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060" firstSheet="7" activeTab="14"/>
  </bookViews>
  <sheets>
    <sheet name="dochodyRM" sheetId="1" r:id="rId1"/>
    <sheet name="wydatkiRM" sheetId="2" r:id="rId2"/>
    <sheet name="inwestycje" sheetId="3" r:id="rId3"/>
    <sheet name="remonty" sheetId="4" r:id="rId4"/>
    <sheet name="zleconeRM" sheetId="5" r:id="rId5"/>
    <sheet name="poroz" sheetId="6" r:id="rId6"/>
    <sheet name="pozabudż" sheetId="7" r:id="rId7"/>
    <sheet name="dotacje" sheetId="8" r:id="rId8"/>
    <sheet name="dochodyPM" sheetId="9" r:id="rId9"/>
    <sheet name="wydatkiPM" sheetId="10" r:id="rId10"/>
    <sheet name="jednostki" sheetId="11" r:id="rId11"/>
    <sheet name="szkoły" sheetId="12" r:id="rId12"/>
    <sheet name="harm doch" sheetId="13" r:id="rId13"/>
    <sheet name="harmonogram wydatków" sheetId="14" r:id="rId14"/>
    <sheet name="zlecone" sheetId="15" r:id="rId15"/>
  </sheets>
  <definedNames>
    <definedName name="_11">#REF!</definedName>
    <definedName name="_17">#REF!</definedName>
    <definedName name="Nazwa_rozdziału">#REF!+#REF!+#REF!+#REF!+#REF!+#REF!+#REF!</definedName>
    <definedName name="NazwaSzkoły">#REF!,#REF!,#REF!,#REF!,#REF!,#REF!</definedName>
    <definedName name="_xlnm.Print_Area" localSheetId="7">'dotacje'!$A$1:$G$24</definedName>
    <definedName name="_xlnm.Print_Area" localSheetId="12">'harm doch'!$A$1:$P$34</definedName>
    <definedName name="_xlnm.Print_Area" localSheetId="13">'harmonogram wydatków'!$A$1:$P$213</definedName>
    <definedName name="_xlnm.Print_Area" localSheetId="2">'inwestycje'!$A$1:$L$52</definedName>
    <definedName name="_xlnm.Print_Area" localSheetId="10">'jednostki'!$A$1:$H$412</definedName>
    <definedName name="_xlnm.Print_Area" localSheetId="6">'pozabudż'!$A$1:$N$26</definedName>
    <definedName name="_xlnm.Print_Area" localSheetId="3">'remonty'!$A$1:$G$29</definedName>
    <definedName name="_xlnm.Print_Area" localSheetId="11">'szkoły'!$A$1:$Z$183</definedName>
    <definedName name="_xlnm.Print_Area" localSheetId="9">'wydatkiPM'!$A$1:$W$265</definedName>
    <definedName name="_xlnm.Print_Area" localSheetId="1">'wydatkiRM'!$A$1:$V$97</definedName>
    <definedName name="_xlnm.Print_Area" localSheetId="4">'zleconeRM'!$A$1:$Y$25</definedName>
    <definedName name="SYMBOL">#REF!</definedName>
    <definedName name="_xlnm.Print_Titles" localSheetId="8">'dochodyPM'!$7:$8</definedName>
    <definedName name="_xlnm.Print_Titles" localSheetId="0">'dochodyRM'!$8:$8</definedName>
    <definedName name="_xlnm.Print_Titles" localSheetId="12">'harm doch'!$7:$9</definedName>
    <definedName name="_xlnm.Print_Titles" localSheetId="13">'harmonogram wydatków'!$7:$9</definedName>
    <definedName name="_xlnm.Print_Titles" localSheetId="2">'inwestycje'!$7:$11</definedName>
    <definedName name="_xlnm.Print_Titles" localSheetId="10">'jednostki'!$7:$9</definedName>
    <definedName name="_xlnm.Print_Titles" localSheetId="11">'szkoły'!$4:$12</definedName>
    <definedName name="_xlnm.Print_Titles" localSheetId="9">'wydatkiPM'!$7:$10</definedName>
    <definedName name="_xlnm.Print_Titles" localSheetId="1">'wydatkiRM'!$7:$10</definedName>
    <definedName name="_xlnm.Print_Titles" localSheetId="14">'zlecone'!$9:$9</definedName>
  </definedNames>
  <calcPr fullCalcOnLoad="1"/>
</workbook>
</file>

<file path=xl/sharedStrings.xml><?xml version="1.0" encoding="utf-8"?>
<sst xmlns="http://schemas.openxmlformats.org/spreadsheetml/2006/main" count="1836" uniqueCount="764">
  <si>
    <t>kolektor sanitarny AN-AS w os. Lipniak do granic miasta</t>
  </si>
  <si>
    <t xml:space="preserve">odprowadzenie wód deszczowych z ulic: Platanowej, Osikowej, Jabłonowej, Skalistej, Sławinkowskiej </t>
  </si>
  <si>
    <t>modernizacja krytej pływalni przy Al. Zygmuntowskich 4</t>
  </si>
  <si>
    <t>modernizacja hali sportowo-widowiskowej przy Al. Zygmuntowskich 4 - etap II</t>
  </si>
  <si>
    <t>Dotacje celowe z budżetu na finansowanie lub dofinansowanie kosztów realizacji inwestycji i zakupów inwestycyjnych zakładów budżetowych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</si>
  <si>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</si>
  <si>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</si>
  <si>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</si>
  <si>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żołnierzy zawodowych 
i nadterminowych oraz funkcjonariuszy</t>
  </si>
  <si>
    <t>Pozostałe należności żołnierzy zawodowych 
i nadterminowych oraz funkcjonariuszy</t>
  </si>
  <si>
    <t>Dodatkowe uposażenie roczne dla żołnierzy zawodowych oraz nagrody roczne 
dla funkcjonariuszy</t>
  </si>
  <si>
    <t>Uposażenia i świadczenia pieniężne wypłacane przez okres roku żołnierzom i funkcjonariuszom zwolnionym ze służby</t>
  </si>
  <si>
    <t>Licea profilowane specjalne</t>
  </si>
  <si>
    <t>Poradnie psychologiczno-pedagogiczne, 
w tym poradnie specjalistyczne</t>
  </si>
  <si>
    <t>Centra kształcenia ustawicznego 
i praktycznego oraz ośrodki dokształcania zawodowego</t>
  </si>
  <si>
    <t>Placówki wychowania pozaszkolnego</t>
  </si>
  <si>
    <t>Internaty i bursy szkolne</t>
  </si>
  <si>
    <t>SKARBNIK MIASTA LUBLIN</t>
  </si>
  <si>
    <t>dr inż. Adam Wasilewski</t>
  </si>
  <si>
    <t xml:space="preserve">       mgr Irena Szumlak</t>
  </si>
  <si>
    <t xml:space="preserve"> Prezydent Miasta Lublin</t>
  </si>
  <si>
    <t xml:space="preserve">                          mgr Irena Szumlak</t>
  </si>
  <si>
    <t>Odsetki od dotacji wykorzystanych niezgodznie 
z przeznaczeniem lub pobranych w nadmiernej wysokości</t>
  </si>
  <si>
    <t>składane pełnowymiarowe lodowisko</t>
  </si>
  <si>
    <t>Zestawienie przychodów i wydatków zakładów budżetowych, gospodarstw pomocniczych</t>
  </si>
  <si>
    <t>w  złotych</t>
  </si>
  <si>
    <t>Przychody / Dochody 
po zmianach</t>
  </si>
  <si>
    <t>Wydatki po zmianach</t>
  </si>
  <si>
    <t xml:space="preserve">w tym: dotacja
z budżetu                                </t>
  </si>
  <si>
    <t>w tym dotacja 
z budżetu</t>
  </si>
  <si>
    <t xml:space="preserve">Zakres dotacji </t>
  </si>
  <si>
    <t xml:space="preserve">w tym:             wynagrodzenia  </t>
  </si>
  <si>
    <t xml:space="preserve">Razem zakłady budżetowe </t>
  </si>
  <si>
    <t>dotacje celowe na inwestycje</t>
  </si>
  <si>
    <t>Miejski Ośrodek Sportu i Rekreacji "Bystrzyca"</t>
  </si>
  <si>
    <t>Razem gospodarstwa pomocnicze</t>
  </si>
  <si>
    <t>Razem rachunki dochodów własnych</t>
  </si>
  <si>
    <t>Młodzieżowe ośrodki socjoterapii</t>
  </si>
  <si>
    <t>Szkolne schroniska młodzieżowe</t>
  </si>
  <si>
    <r>
      <t xml:space="preserve">Dochody gminy ogółem, </t>
    </r>
    <r>
      <rPr>
        <i/>
        <sz val="10"/>
        <rFont val="Arial CE"/>
        <family val="0"/>
      </rPr>
      <t>z tego:</t>
    </r>
  </si>
  <si>
    <t>zwrot dotacji na realizację programu z zakresu opieki nad dzieckiem i rodziną</t>
  </si>
  <si>
    <t>modernizacje obiektów</t>
  </si>
  <si>
    <t>Różne wydatki na rzecz osób fizycznych</t>
  </si>
  <si>
    <t>Specjalny Ośrodek Szkolno - Wychowawczy Nr 1</t>
  </si>
  <si>
    <t>§ 6050</t>
  </si>
  <si>
    <t xml:space="preserve">Wydatki  </t>
  </si>
  <si>
    <t xml:space="preserve">jednostek </t>
  </si>
  <si>
    <r>
      <t>§</t>
    </r>
    <r>
      <rPr>
        <sz val="7"/>
        <rFont val="Arial CE"/>
        <family val="0"/>
      </rPr>
      <t xml:space="preserve"> </t>
    </r>
    <r>
      <rPr>
        <sz val="10"/>
        <rFont val="Arial CE"/>
        <family val="0"/>
      </rPr>
      <t>3260</t>
    </r>
  </si>
  <si>
    <t>Odsetki od dotacji wykorzystanych niezgodznie z przeznaczeniem lub pobranych w nadmiernej wysokości</t>
  </si>
  <si>
    <t>moderrnizacje obiektów</t>
  </si>
  <si>
    <t>Oczyszczanie miast i wsi</t>
  </si>
  <si>
    <t>Rolnictwo i łowiectwo</t>
  </si>
  <si>
    <t>Izby rolnicze</t>
  </si>
  <si>
    <t>Przedszkola specjalne</t>
  </si>
  <si>
    <t>Gimnazja specjalne</t>
  </si>
  <si>
    <t>Dowożenie uczniów do szkół</t>
  </si>
  <si>
    <t>Licea ogólnokształcące specjalne</t>
  </si>
  <si>
    <t>Szkoły artystyczne</t>
  </si>
  <si>
    <t>Szkoły zawodowe specjalne</t>
  </si>
  <si>
    <t>Centra kształcenia ustawicznego i praktycznego oraz ośrodki dokształcania zawodowego</t>
  </si>
  <si>
    <t>Gospodarstwa pomocnicze</t>
  </si>
  <si>
    <t>Świetlice szkolne</t>
  </si>
  <si>
    <t>oczyszczanie miasta</t>
  </si>
  <si>
    <t xml:space="preserve">Pozostała działalność </t>
  </si>
  <si>
    <t>Kary i odszkodowania wypłacane na rzecz osób fizycznych</t>
  </si>
  <si>
    <t>Pozostałe zadania w zakresie upowszechniania kultury</t>
  </si>
  <si>
    <t>rozdz. 85415 - Pomoc materialna dla uczniów</t>
  </si>
  <si>
    <t>Zwalczanie narkomanii</t>
  </si>
  <si>
    <t>3.  Miejski Ośrodek Pomocy Rodzinie</t>
  </si>
  <si>
    <t>akcja "Bezpieczna droga"</t>
  </si>
  <si>
    <t>Wydatki osobowe niezaliczane do wynagrodzeń</t>
  </si>
  <si>
    <t>wydatki na zadania realizowane przez przedszkola specjalne</t>
  </si>
  <si>
    <t>wydatki na zadania realizowane przez gimnazja specjalne</t>
  </si>
  <si>
    <t>realizacja ogólnopolskiego programu rozwoju chórów szkolnych "Śpiewająca Polska"</t>
  </si>
  <si>
    <t>wydatki na zadania realizowane przez placówki wychowania pozaszkolnego</t>
  </si>
  <si>
    <t>zajęcia sportowo-rekreacyjne w szkołach</t>
  </si>
  <si>
    <t>pomoc materialna dla uczniów o charakterze socjalnym</t>
  </si>
  <si>
    <t>Zadania realizowane na podstawie porozumień i umów</t>
  </si>
  <si>
    <t xml:space="preserve">Przedszkole nr 2 </t>
  </si>
  <si>
    <t>Lubelskie Towarzystwo Kajakowe "Fala", ul. Krężnicka 6, 20-518 Lublin</t>
  </si>
  <si>
    <t>Lubelski Klub Karate Kyokushin, ul. Głowackiego 35, 20-060 Lublin</t>
  </si>
  <si>
    <t>Kolejowy Klub Sportowy "Sygnał", ul. Zemborzycka 3, 20-450 Lublin</t>
  </si>
  <si>
    <t>Klub Piłkarski "Wieniawa Lublin", ul. Piłsudskiego 22, 20-011 Lublin</t>
  </si>
  <si>
    <t>Budowlany Klub Sportowy, ul. Inżynierska 10, 20-484 Lublin</t>
  </si>
  <si>
    <t>Klub Sportowy "Budowlani", ul. Krasińskiego 11, 20-709 Lublin</t>
  </si>
  <si>
    <t>Stowarzyszenie Lokalne KALINA Salezjańskiej Organizacji Sportowej, 
ul. Kalinowszczyzna 3, 20-129 Lublin</t>
  </si>
  <si>
    <t>Lubelski Klub Piłkarski "Motor", Al. Zygmuntowskie 5, 20-101 Lublin</t>
  </si>
  <si>
    <t>Uczniowski Osiedlowy Klub Sportowy "Sławin", ul. Zbożowa 75, 20-857 Lublin</t>
  </si>
  <si>
    <t>MKS Towarzystwo Piłki Ręcznej, Al. Zygmuntowskie 5, 20-101 Lublin</t>
  </si>
  <si>
    <t>Uczniowski Klub Sportowy "Dwójka", ul. Lwowska 11, 20-128 Lublin</t>
  </si>
  <si>
    <t>Uczniowski Klub Sportowy "Piątka", ul. Smyczkowa 3, 20-844 Lublin</t>
  </si>
  <si>
    <t>Stowarzyszenie Piłkarskie Nadzieje Motor Lublin, ul. Kuncewiczowej 10, 
20-439 Lublin</t>
  </si>
  <si>
    <t>Miejski Klub Sportowy "Start", al. Piłsudskiego 22, 20-011 Lublin</t>
  </si>
  <si>
    <t>Stowarzyszenie Kultury Fizycznej AZS Klub Środowiskowy, ul. Langiewicza 22, 20-032 Lublin</t>
  </si>
  <si>
    <t>Uczniowski Klub Sportowy "Ruch", ul. Podzamcze 9, 20-126 Lublin</t>
  </si>
  <si>
    <t>Klub Sportowy "Paco", ul. Zana 72, 20-601 Lublin</t>
  </si>
  <si>
    <t>Urzędy miast i miast na prawach powiatu</t>
  </si>
  <si>
    <t xml:space="preserve">wydatki na zadania realizowane przez Urząd Miasta </t>
  </si>
  <si>
    <t>wydatki na zadania realizowane przez Urząd Miasta</t>
  </si>
  <si>
    <t>Zapaśnicze Towarzystwo Sportowe "Sokół", ul. Dunikowskiego 90, 
20-425 Lublin</t>
  </si>
  <si>
    <t>Uczniowskie Towarzystwo Sportowe "Orlik", ul. Rzeckiego 10, 20-637 Lublin</t>
  </si>
  <si>
    <t>ZHP Komenda Chorągwi Komenda Hufca Lublin, ul. Lubartowska 39/10, 
20-116 Lublin</t>
  </si>
  <si>
    <t>wspieranie sportu kwalifikowanego</t>
  </si>
  <si>
    <t>Akademicki Związek Sportowy Klub Uczelniany UMCS; 
ul. Langiewicza 22, 20-032 Lublin</t>
  </si>
  <si>
    <t>Stowarzyszenie Piłki Ręcznej, ul. Mełgiewska 2, 20-209 Lublin</t>
  </si>
  <si>
    <t>wspomaganie procesu rehabilitacji zawodowej 
i społecznej osób niepełnosprawnych</t>
  </si>
  <si>
    <t>Miejski Klub Sportowy "Start"; al. Piłsudskiego 22, 20-011 Lublin</t>
  </si>
  <si>
    <t>Towarzystwo Piłki Siatkowej, Al. Zygmuntowskie 5, 20-101 Lublin</t>
  </si>
  <si>
    <t>Lubelskie Towarzystwo Kajakowe "Fala"; ul. Krężnicka 6, 20-518 Lublin</t>
  </si>
  <si>
    <t>Towarzystwo Żużlowe "Sipma", Al. Zygmuntowskie 5, 20-101 Lublin</t>
  </si>
  <si>
    <t>Klub Sportowy "MANTA", ul. Żeglarska 5a, 20-523 Lublin</t>
  </si>
  <si>
    <t>upowszechnianie kultury fizycznej</t>
  </si>
  <si>
    <t>Klub Oyama Karate Lublin, ul. Piechoty 23, 20-783 Lublin</t>
  </si>
  <si>
    <t>Uczniowski Klub Sportowy "Roxa", ul. Rzeckiego 10, 20-637 Lublin</t>
  </si>
  <si>
    <t>Stowarzyszenie Piłkarskie Nadzieje "Motor Lublin", ul. Kuncewiczowej 10, 
20-439 Lublin</t>
  </si>
  <si>
    <t>Opłaty na rzecz budżetów jednostek samorządu terytorialnego</t>
  </si>
  <si>
    <t>Zakup usług zdrowotnych</t>
  </si>
  <si>
    <t>Zakup pomocy naukowych, dydaktycznych 
i książek</t>
  </si>
  <si>
    <t>Zakup akcesoriów komputerowych, 
w tym programów i licencji</t>
  </si>
  <si>
    <t>Zakup środków żywności</t>
  </si>
  <si>
    <t>Zakup usług dostępu do sieci Internet</t>
  </si>
  <si>
    <t>Zakup usług obejmujacych tłumaczenia</t>
  </si>
  <si>
    <t>"Nadzieja" Charytatywne Stowarzyszenie Niesienia Pomocy Chorym Uzleżnionym od Alkoholu, ul. Abramowicka 2f, 20-442 Lublin</t>
  </si>
  <si>
    <t>Dotacja celowa z budżetu na finansowanie lub dofinansowanie zadań zleconych do realizacji pozostałym jednostkom niezaliczanym do sektora finansów publicznych</t>
  </si>
  <si>
    <t>roboty termomodernizacyjne i ogólnobudowlane DPS Betania</t>
  </si>
  <si>
    <t>rozdz. 85406 - Poradnie psychologiczno - pedagogiczne</t>
  </si>
  <si>
    <t>Promocja jednostek samorządu terytorialnego</t>
  </si>
  <si>
    <t>promocja miasta</t>
  </si>
  <si>
    <t>2.  Dom Pomocy Społecznej Betania</t>
  </si>
  <si>
    <t>Euroregionalny Ośrodek Informacji i Współpracy Kulturalnej w Lublinie</t>
  </si>
  <si>
    <t>i innych zadań zleconych odrębnymi ustawami w 2007 roku (zmiany planu)</t>
  </si>
  <si>
    <t>Zakup akcesoriów komputerowych, w tym programów i licencji</t>
  </si>
  <si>
    <t>prowadzenie profilaktycznej działalności informacyjnej i edukacyjnej w zakresie rozwiązywania problemów alkoholowych i przeciwdziałania narkomanii, 
w szczególności dla dzieci i młodzieży, w tym prowadzenie pozalekcyjnych zajęć sportowych, a także działań na rzecz dożywiania dzieci uczestniczących w pozalekcyjnych programach opiekuńczo-wychowawczych 
i socjoterapeutycznych</t>
  </si>
  <si>
    <t xml:space="preserve">środki w dyspozycji </t>
  </si>
  <si>
    <t>Podróże służbowe krajowe</t>
  </si>
  <si>
    <t>Zakup materiałów papierniczych do sprzętu drukarskiego i urządzeń kserograficznych</t>
  </si>
  <si>
    <t>wydatki na zadania realizowane przez gimnazja</t>
  </si>
  <si>
    <t>wydatki na zadania realizowane przez licea ogólnokształcące</t>
  </si>
  <si>
    <t>wydatki na zadania realizowane przez specjalne ośrodki szkolno-wychowawcze</t>
  </si>
  <si>
    <t>wydatki na zadania realizowane przez stołówki szkolne</t>
  </si>
  <si>
    <t>rozdz. 80110 - Gimnazja</t>
  </si>
  <si>
    <t>Zespół Szkół Ogólnokształcących nr 4</t>
  </si>
  <si>
    <t>Zespół Szkół Ogólnokształcących nr 5</t>
  </si>
  <si>
    <t xml:space="preserve">Zespół Szkół Ekonomicznych </t>
  </si>
  <si>
    <t>Zespół Szkół Transportowo-Komunikacyjnych</t>
  </si>
  <si>
    <t xml:space="preserve">  § 4420</t>
  </si>
  <si>
    <t>zagran.</t>
  </si>
  <si>
    <t>Młodzieżowy Dom Kultury nr 2</t>
  </si>
  <si>
    <t>Poradnia Psychologiczno-Pedagogiczna nr 1</t>
  </si>
  <si>
    <t>Opłaty z tyt.</t>
  </si>
  <si>
    <t>zakupu usług</t>
  </si>
  <si>
    <t>stacjonarnej</t>
  </si>
  <si>
    <t>telekom. tel.</t>
  </si>
  <si>
    <t>Rodziny zastępcze</t>
  </si>
  <si>
    <t>Ogółem</t>
  </si>
  <si>
    <t>Usługi opiekuńcze i specjalistyczne usługi opiekuńcze</t>
  </si>
  <si>
    <t>Zasiłki i pomoc w naturze oraz składki
na ubezpieczenia emerytalne i rentowe</t>
  </si>
  <si>
    <t>Usuwanie skutków klęsk żywiołowych</t>
  </si>
  <si>
    <t>Dotacje celowe z budżetu państwa na zadania zlecone z zakresu administracji rządowej</t>
  </si>
  <si>
    <t>dotacja celowa z budżetu państwa na pomoc dla repatriantów</t>
  </si>
  <si>
    <t>pomoc dla repatriantów</t>
  </si>
  <si>
    <t xml:space="preserve">Gospodarka mieszkaniowa </t>
  </si>
  <si>
    <t>Transport i łączność</t>
  </si>
  <si>
    <t>do zarządzenia nr 386/2007</t>
  </si>
  <si>
    <t xml:space="preserve">do zarządzenia nr 386/2007              </t>
  </si>
  <si>
    <t>Gospodarka nieruchomosciami</t>
  </si>
  <si>
    <t xml:space="preserve">1.1  Wydział Finansowy </t>
  </si>
  <si>
    <t>pomieszczenie na sprzęt sportowy przy Gimnazjun nr 9</t>
  </si>
  <si>
    <t>remonty obiektów</t>
  </si>
  <si>
    <t>Drogi publiczne w miastach na prawach powiatu</t>
  </si>
  <si>
    <t>Drogi publiczne gminne</t>
  </si>
  <si>
    <t>Plany zagospodarowania przestrzennego</t>
  </si>
  <si>
    <t>Cmentarze</t>
  </si>
  <si>
    <t>Powiatowe urzędy pracy</t>
  </si>
  <si>
    <t>Zwiększenia</t>
  </si>
  <si>
    <t>Zmniejszenia</t>
  </si>
  <si>
    <t>Dochody</t>
  </si>
  <si>
    <t>Plan
na 2007 rok
po zmianach</t>
  </si>
  <si>
    <r>
      <t xml:space="preserve">Dochody powiatu ogółem, </t>
    </r>
    <r>
      <rPr>
        <i/>
        <sz val="10"/>
        <rFont val="Arial CE"/>
        <family val="0"/>
      </rPr>
      <t>z tego:</t>
    </r>
  </si>
  <si>
    <t>Dział</t>
  </si>
  <si>
    <t xml:space="preserve">Rozdz.      </t>
  </si>
  <si>
    <t>Dochody budżetu miasta ogółem</t>
  </si>
  <si>
    <t>z tego:</t>
  </si>
  <si>
    <t xml:space="preserve">Dochody własne </t>
  </si>
  <si>
    <t>w złotych</t>
  </si>
  <si>
    <t>Treść 
(nazwa działu, rozdziału, źródła dochodów)</t>
  </si>
  <si>
    <t>Rozdz.</t>
  </si>
  <si>
    <t>Zmiany</t>
  </si>
  <si>
    <t>Plan po zmianach</t>
  </si>
  <si>
    <t xml:space="preserve">Subwencje </t>
  </si>
  <si>
    <t>Dotacje celowe i inne środki na zadania własne</t>
  </si>
  <si>
    <t>Dochody własne</t>
  </si>
  <si>
    <t>Wydatki na zadania własne</t>
  </si>
  <si>
    <t>Wydatki na zadania zlecone</t>
  </si>
  <si>
    <t>Subwencje i dotacja rekompensująca</t>
  </si>
  <si>
    <t>Wydatki na zadania realizowane na podstawie porozumień i umów</t>
  </si>
  <si>
    <t>Zakup usług obejmujących tłumaczenia</t>
  </si>
  <si>
    <t>Zakłady gospodarki mieszkaniowej</t>
  </si>
  <si>
    <t xml:space="preserve">Kolonie i obozy oraz inne formy wypoczynku dla dzieci i młodzieży </t>
  </si>
  <si>
    <t>organizacja obozów szkoleniowych w okresie wakacji letnich</t>
  </si>
  <si>
    <t>010</t>
  </si>
  <si>
    <t>01030</t>
  </si>
  <si>
    <t>Dotacje celowe i inne środki na zadania realizowane na podstawie porozumień i umów</t>
  </si>
  <si>
    <t>wynagrodzenia</t>
  </si>
  <si>
    <t>remonty</t>
  </si>
  <si>
    <t>ogółem</t>
  </si>
  <si>
    <t>Wydatki
wg uchwały 
nr 41/V/2007
Rady Miasta Lublin
z dnia 8.02.2007 r. 
z późn. zm.</t>
  </si>
  <si>
    <t>związanych z realizacją powyższych zadań na 2007 rok  (zmiany planu)</t>
  </si>
  <si>
    <t>Treść
(nazwa działu, rozdziału, zadania)</t>
  </si>
  <si>
    <t>wydatki 
bieżące</t>
  </si>
  <si>
    <t>w tym:</t>
  </si>
  <si>
    <t>wydatki
majątkowe</t>
  </si>
  <si>
    <t>pochodne
od wynagrodzeń</t>
  </si>
  <si>
    <t>dotacje</t>
  </si>
  <si>
    <t>wydatki 
na obsługę 
długu</t>
  </si>
  <si>
    <t>Dotacje celowe otrzymane z powiatu na zadania bieżące realizowane na podstawie porozumień między jednostkami samorządu terytorialnego</t>
  </si>
  <si>
    <t>Rehabilitacja zawodowa i społeczna osób niepełnosprawnych</t>
  </si>
  <si>
    <t>dotacja na osoby z innych powiatów uczestniczące w warsztatach terapii zajęciowej na terenie miasta Lublin</t>
  </si>
  <si>
    <t>prowadzenie warsztatów terapii zajęciowej</t>
  </si>
  <si>
    <t>Dotacja podmiotowa z budżetu dla pozostałych jednostek sektora finansów publicznych</t>
  </si>
  <si>
    <t>strategia działań na rzecz osób niepełnosprawnych</t>
  </si>
  <si>
    <t>Teatr im. J. Osterwy, ul. Narutowicza 17, 20-004 Lublin</t>
  </si>
  <si>
    <t>Dział 853 - Pozostałe zadania w zakresie polityki społecznej</t>
  </si>
  <si>
    <t>rozdz. 85311 - Rehabilitacja zawodowa i społeczna osób niepełnosprawnych</t>
  </si>
  <si>
    <t>§ 4740</t>
  </si>
  <si>
    <t xml:space="preserve">Dochody i wydatki związane z realizacją zadań wykonywanych na podstawie porozumień (umów) między jednostkami </t>
  </si>
  <si>
    <t>samorządu terytorialnego w 2007 roku (zmiany planu)</t>
  </si>
  <si>
    <t xml:space="preserve">Dotacje 
ogółem </t>
  </si>
  <si>
    <t>Wydatki 
ogółem
(5 + 9)</t>
  </si>
  <si>
    <t>Dotacje 
ogółem 
(po zmianach</t>
  </si>
  <si>
    <t>Wydatki 
ogółem
(po zmianach)
(13 + 17)</t>
  </si>
  <si>
    <t>Wydatki
bieżące</t>
  </si>
  <si>
    <t>Wydatki
majątkowe</t>
  </si>
  <si>
    <t>pochodne 
od wynagrodzeń</t>
  </si>
  <si>
    <t>zapewnienie miejsc noclegowych w noclegowaniach, schroniskach, domach dla bezdomnych i ofiar przemocy</t>
  </si>
  <si>
    <t>Bractwo Miłosierdzia im. św. Brata Alberta; ul. Zielona 3, 20-082 Lublin - schronisko dla bezdomnych mężczyzn przy ul. Dolnej Panny Marii 32</t>
  </si>
  <si>
    <t>prowadzenie taniego żywienia w formie kuchni społecznych</t>
  </si>
  <si>
    <t>Bractwo Miłosierdzia im. św. Brata Alberta; ul. Zielona 3, 20-082 Lublin - kuchnia społeczna przy ul. Zielonej 3</t>
  </si>
  <si>
    <t>dotacja na prowadzenie środowiskowych domów samopomocy dla osób z zaburzeniami psychicznymi oraz specjalistycznych ośrodków wsparcia dla ofiar przemocy w rodzinie</t>
  </si>
  <si>
    <t>§ 4280</t>
  </si>
  <si>
    <t>§ 4440</t>
  </si>
  <si>
    <t>Zespół Szkól nr 4 (Szkoła Podstawowa nr 49)</t>
  </si>
  <si>
    <t xml:space="preserve">Zespół Szkól nr 4 </t>
  </si>
  <si>
    <t>§ 3020</t>
  </si>
  <si>
    <t xml:space="preserve">rozdz. 80102 - Szkoły podstawowe specjalne </t>
  </si>
  <si>
    <t>Zespół Szkół nr 4 (Szkoła Podstawowa Specjalna nr 26)</t>
  </si>
  <si>
    <t>wydatki na zadania realizowane przez szkoły podstawowe specjalne</t>
  </si>
  <si>
    <t>Odpisy na zakładowy fundusz świadczeń socjalnych</t>
  </si>
  <si>
    <t>rozdz. 80105 - Przedszkola specjalne</t>
  </si>
  <si>
    <t>rozdz. 80111 - Gimnazja specjalne</t>
  </si>
  <si>
    <t>Zespół Szkół nr 4 (Gimnazjum Specjalne nr 20)</t>
  </si>
  <si>
    <t>rozdz. 80113 - Dowożenie uczniów do szkół</t>
  </si>
  <si>
    <t xml:space="preserve">dowożenie uczniów </t>
  </si>
  <si>
    <t>Zespół Szkół Elektronicznych (X Liceum Ogólnokształcące)</t>
  </si>
  <si>
    <t>Zespół Szkół Ogólnokształcących nr 5 (XIX LO)</t>
  </si>
  <si>
    <t>Zespół Szkół Ogólnokształcących nr 6 (XXII LO)</t>
  </si>
  <si>
    <t xml:space="preserve">  § 4410</t>
  </si>
  <si>
    <t>rozdz. 80195 - Pozostała działalność - realizacja ogólnopolskiego programu rozwoju chórów szkolnych "Śpiewająca Polska"</t>
  </si>
  <si>
    <t xml:space="preserve">rozdz. 80101 - Szkoły podstawowe - akcja "Bezpieczna droga" </t>
  </si>
  <si>
    <t>rozdz. 85401 - Świetlice szkolne</t>
  </si>
  <si>
    <t>wydatki na zadania realizowane przez świetlice szkolne</t>
  </si>
  <si>
    <t>rozdz. 85407 - Placówki wychowania pozaszkolnego</t>
  </si>
  <si>
    <t>stypendia oraz inne formy pomocy dla uczniów</t>
  </si>
  <si>
    <t xml:space="preserve">stypendia oraz inne formy pomocy dla uczniów </t>
  </si>
  <si>
    <t>§ 4260</t>
  </si>
  <si>
    <t>Dział 926 - Kultura fizyczna i sport</t>
  </si>
  <si>
    <t>zajęcia sportowo - rekreacyjne w szkołach</t>
  </si>
  <si>
    <t>świadczenia dla bezrobotnych za wykonywanie prac społecznie użytecznych</t>
  </si>
  <si>
    <t>§ 3110</t>
  </si>
  <si>
    <t xml:space="preserve">Lubelskie Towarzystwo Dobroczynności, ul. Bronowicka 3, 20-301 Lublin; Środowiskowy Dom Samopomocy "Roztocze" przy ul. Wallenroda 2A i Centrum Wsparcia przy ul. Bronowickiej 3 </t>
  </si>
  <si>
    <t>wydatki 
z tytułu poręczeń 
i gwarancji</t>
  </si>
  <si>
    <t>Wydatki budżetu miasta ogółem</t>
  </si>
  <si>
    <t>Prezydenta Miasta Lublin</t>
  </si>
  <si>
    <t>Podział planowanych dochodów i wydatków budżetu miasta</t>
  </si>
  <si>
    <t>na 2007 rok według jednostek organizacyjnych realizujących budżet</t>
  </si>
  <si>
    <t>Dz.</t>
  </si>
  <si>
    <t>§</t>
  </si>
  <si>
    <t>Treść</t>
  </si>
  <si>
    <t>Wydatki</t>
  </si>
  <si>
    <t>OGÓŁEM</t>
  </si>
  <si>
    <t>1. Urząd Miasta</t>
  </si>
  <si>
    <t xml:space="preserve">Dochody gminy, z tego: </t>
  </si>
  <si>
    <t>Dochody powiatu, z tego:</t>
  </si>
  <si>
    <t>Harmonogram realizacji dochodów budżetu miasta  w 2007 roku</t>
  </si>
  <si>
    <t xml:space="preserve">Prezydenta Miasta Lublin </t>
  </si>
  <si>
    <t>Miesiące</t>
  </si>
  <si>
    <t xml:space="preserve">Rozdz. </t>
  </si>
  <si>
    <t xml:space="preserve"> (nazwa działu, rozdziału)</t>
  </si>
  <si>
    <t>na 2007 rok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</si>
  <si>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</si>
  <si>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</si>
  <si>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</si>
  <si>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</si>
  <si>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</si>
  <si>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</si>
  <si>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</si>
  <si>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</si>
  <si>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</si>
  <si>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</si>
  <si>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</si>
  <si>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</si>
  <si>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Dochody ogółem</t>
  </si>
  <si>
    <t>Dochody gminy, z tego:</t>
  </si>
  <si>
    <t>wydatki</t>
  </si>
  <si>
    <t>1.1 Wydział Finansowy</t>
  </si>
  <si>
    <t>Harmonogram realizacji wydatków budżetu miasta w 2007 roku</t>
  </si>
  <si>
    <t>(nazwa działu, rozdziału)</t>
  </si>
  <si>
    <t>Wydatki ogółem</t>
  </si>
  <si>
    <t>Wydatki na zadania z zakresu administracji rządowej wykonywane przez powiat</t>
  </si>
  <si>
    <t>Bezpieczeństwo publiczne i ochrona przeciwpożarowa</t>
  </si>
  <si>
    <t>Plan według uchwały 
nr 41/V/2007 
Rady Miasta Lublin 
z dnia 8.02.2007 r.
z późn. zm.</t>
  </si>
  <si>
    <t xml:space="preserve">Plan finansowy zadań z zakresu administracji rządowej i innych zadań zleconych ustawami </t>
  </si>
  <si>
    <t xml:space="preserve">oraz plan dochodów, które podlegają przekazaniu do budżetu państwa </t>
  </si>
  <si>
    <t>Rozdz.
§</t>
  </si>
  <si>
    <t xml:space="preserve">Treść   </t>
  </si>
  <si>
    <t>Stowarzyszenie "Kontakt", ul. Skierki 12, 20-601 Lublin</t>
  </si>
  <si>
    <t>(nazwa działu, rozdziału, źródła dochodów, zadania, paragrafu)</t>
  </si>
  <si>
    <t>Zadania zlecone ogółem</t>
  </si>
  <si>
    <t>Zadania ustawowo zlecone gminie</t>
  </si>
  <si>
    <t>Administracja publiczna</t>
  </si>
  <si>
    <t>Wynagrodzenia bezosobowe</t>
  </si>
  <si>
    <t>Zakup materiałów i wyposażenia</t>
  </si>
  <si>
    <t>Zakup usług pozostałych</t>
  </si>
  <si>
    <t>Ochrona zdrowia</t>
  </si>
  <si>
    <t>Pomoc społeczna</t>
  </si>
  <si>
    <t>Zadania z zakresu administracji rządowej wykonywane przez powiat</t>
  </si>
  <si>
    <t>Wydatki majątkowe na 2007 rok (zmiany planu)</t>
  </si>
  <si>
    <t>Plan remontów na 2007 rok (zmiany planu)</t>
  </si>
  <si>
    <t>Treść
(nazwa działu, rozdziału, zadania, paragrafu)</t>
  </si>
  <si>
    <t>Dotacje celowe otrzymane z budżetu państwa na zadania bieżące z zakresu administracji rządowej oraz inne zadania zlecone ustawami realizowane przez powiat</t>
  </si>
  <si>
    <t>Działalność usługowa</t>
  </si>
  <si>
    <t>Składki na ubezpieczenie zdrowotne oraz świadczenia dla osób nieobjętych obowiązkiem ubezpieczenia zdrowotnego</t>
  </si>
  <si>
    <t>Dochody
po zmianach</t>
  </si>
  <si>
    <t>Wydatki
po zmianach</t>
  </si>
  <si>
    <t>Przeciwdziałanie alkoholizmowi</t>
  </si>
  <si>
    <t>Gminny Program Profilaktyki i Rozwiązywania Problemów Alkoholowych</t>
  </si>
  <si>
    <r>
      <t>***</t>
    </r>
    <r>
      <rPr>
        <sz val="12"/>
        <rFont val="Arial CE"/>
        <family val="0"/>
      </rPr>
      <t xml:space="preserve"> budowa 4 JRG Małaszewicze</t>
    </r>
  </si>
  <si>
    <t xml:space="preserve">  ** zakres rzeczowy: przystosowanie budynku dla osób niepełnosprawnych (rozpoczęcie robót budowlanych szachtu windowego), całkowita wartość zadania: 792.000 zł, lata realizacji: 2007 - 2008</t>
  </si>
  <si>
    <t xml:space="preserve">    * zakres rzeczowy: wykonanie i montaż</t>
  </si>
  <si>
    <r>
      <t xml:space="preserve">inwestycje </t>
    </r>
    <r>
      <rPr>
        <sz val="12"/>
        <rFont val="Arial"/>
        <family val="2"/>
      </rPr>
      <t>***</t>
    </r>
  </si>
  <si>
    <t>Ogółem wydatki majątkowe</t>
  </si>
  <si>
    <t>Gospodarka ściekowa i ochrona wód</t>
  </si>
  <si>
    <t>Rady Miasta Lublin</t>
  </si>
  <si>
    <t xml:space="preserve">Plan według </t>
  </si>
  <si>
    <t>z tego źródła finansowania:</t>
  </si>
  <si>
    <t xml:space="preserve">Planowane </t>
  </si>
  <si>
    <t xml:space="preserve">   Nazwa: działu, rozdziału, zadania</t>
  </si>
  <si>
    <t>uchwały nr 41/V/2007</t>
  </si>
  <si>
    <t xml:space="preserve">dochody własne </t>
  </si>
  <si>
    <t>środki europejskie</t>
  </si>
  <si>
    <t>środki pochodzące</t>
  </si>
  <si>
    <t xml:space="preserve">            </t>
  </si>
  <si>
    <t xml:space="preserve">i inne środki </t>
  </si>
  <si>
    <t>z budżetu państwa</t>
  </si>
  <si>
    <t>zwrotne</t>
  </si>
  <si>
    <t>z dnia 29 czerwca 2007 r.</t>
  </si>
  <si>
    <t xml:space="preserve">z dnia 29 czerwca 2007 r.        </t>
  </si>
  <si>
    <t>Zespoły do spraw orzekania o niepełnosprawności</t>
  </si>
  <si>
    <t>wydatki na zadania realizowane przez Miejski Zespół do Spraw Orzekania 
o Niepełnosprawności</t>
  </si>
  <si>
    <t>wydatki na zadania realizowane przez Miejski Zespół do Spraw Orzekania o Niepełnosprawności</t>
  </si>
  <si>
    <t>Komendy powiatowe Państwowej Straży Pożarnej</t>
  </si>
  <si>
    <t xml:space="preserve">Dochody od osób prawnych, od osób fizycznych i od innych jednostek nieposiadających osobowości prawnej oraz wydatki związane z ich poborem </t>
  </si>
  <si>
    <t>Obsługa długu publicznego</t>
  </si>
  <si>
    <t>Obsługa papierów wartościowych, kredytów 
i pożyczek jednostek samorządu terytorialnego</t>
  </si>
  <si>
    <t>odsetki od pożyczek i kredytów i inne</t>
  </si>
  <si>
    <t>Odsetki i dyskonto od krajowych skarbowych papierów wartościowych oraz od krajowych pożyczek i kredytów</t>
  </si>
  <si>
    <t>inwestycje, w tym:</t>
  </si>
  <si>
    <t>Dotacje celowe otrzymane z budżetu państwa na realizację zadań bieżących 
z zakresu administracji rządowej oraz innych zadań zleconych gminie ustawami</t>
  </si>
  <si>
    <t>dotacja celowa z budżetu państwa na finansowanie zadań bieżących z zakresu gospodarki nieruchomościami</t>
  </si>
  <si>
    <t>gospodarka nieruchomościami</t>
  </si>
  <si>
    <t>Dotacje celowe otrzymane z budżetu państwa na realizację własnych zadań bieżących gmin</t>
  </si>
  <si>
    <t>dotacja celowa z budżetu państwa na dofinansowanie pracodawcom kosztów przygotowania zawodowego młodocianych pracowników</t>
  </si>
  <si>
    <t>dofinansowanie pracodawcom kosztów przygotowania zawodowego młodocianych pracowników</t>
  </si>
  <si>
    <t>Pobór podatków, opłat i niepodatkowych należności budżetowych</t>
  </si>
  <si>
    <t>wynagrodzenie za inkaso podatków i opłat</t>
  </si>
  <si>
    <t xml:space="preserve">i inne bezzwrotne </t>
  </si>
  <si>
    <t>po zmianach</t>
  </si>
  <si>
    <t>z dnia 08.02.2007 r.
z późn. zm.</t>
  </si>
  <si>
    <t xml:space="preserve">Gospodarka komunalna i ochrona środowiska </t>
  </si>
  <si>
    <t>Załącznik nr 6</t>
  </si>
  <si>
    <t>do uchwały nr</t>
  </si>
  <si>
    <t xml:space="preserve">Dochody i wydatki związane z realizacją zadań z zakresu administracji rządowej </t>
  </si>
  <si>
    <t>z dnia</t>
  </si>
  <si>
    <t>Dotacje ogółem</t>
  </si>
  <si>
    <t>Wydatki ogółem 
(5+9)</t>
  </si>
  <si>
    <t>%</t>
  </si>
  <si>
    <t>5:4</t>
  </si>
  <si>
    <t>gmina</t>
  </si>
  <si>
    <t>powiat</t>
  </si>
  <si>
    <t>Pozostałe zadania w zakresie polityki społecznej</t>
  </si>
  <si>
    <t>Ośrodki wsparcia</t>
  </si>
  <si>
    <t>Różne rozliczenia</t>
  </si>
  <si>
    <t>Rezerwy ogólne i celowe</t>
  </si>
  <si>
    <t>Różne opłaty i składki</t>
  </si>
  <si>
    <t xml:space="preserve">Dotacje celowe z budżetu państwa na zadania z zakresu administracji rządowej </t>
  </si>
  <si>
    <t>Oświata i wychowanie</t>
  </si>
  <si>
    <t>Szkoły podstawowe</t>
  </si>
  <si>
    <t>Szkoła Podstawowa nr 21</t>
  </si>
  <si>
    <t xml:space="preserve">Szkoły zawodowe </t>
  </si>
  <si>
    <t>Szkoły zawodowe</t>
  </si>
  <si>
    <t>Opłaty z tytułu zakupu usług telekomunikacyjnych telefonii stacjonarnej</t>
  </si>
  <si>
    <t>Pozostała działalność</t>
  </si>
  <si>
    <t>Dotacja celowa z budżetu na finansowanie lub dofinansowanie zadań zleconych do realizacji stowarzyszeniom</t>
  </si>
  <si>
    <t>Edukacyjna opieka wychowawcza</t>
  </si>
  <si>
    <t>Inwestycje</t>
  </si>
  <si>
    <t xml:space="preserve">       Nazwa</t>
  </si>
  <si>
    <t>§ 4170</t>
  </si>
  <si>
    <t>§ 4110</t>
  </si>
  <si>
    <t>§ 4120</t>
  </si>
  <si>
    <t>§ 3240</t>
  </si>
  <si>
    <t>§ 4210</t>
  </si>
  <si>
    <t>Szkoły i placówki oświatowe - wydatki (zmiany)</t>
  </si>
  <si>
    <t>Treść 
(nazwa działu, rozdziału, źródła dochodów, paragrafu)</t>
  </si>
  <si>
    <t>§ 4240</t>
  </si>
  <si>
    <t>§ 4300</t>
  </si>
  <si>
    <t>§ 4430</t>
  </si>
  <si>
    <t>§ 4750</t>
  </si>
  <si>
    <t>§ 6060</t>
  </si>
  <si>
    <t xml:space="preserve">           paragrafu</t>
  </si>
  <si>
    <t>Składki na</t>
  </si>
  <si>
    <t>Składki</t>
  </si>
  <si>
    <t>Stypendia</t>
  </si>
  <si>
    <t xml:space="preserve">    Zakup</t>
  </si>
  <si>
    <t>Zakup</t>
  </si>
  <si>
    <t xml:space="preserve">Zakup </t>
  </si>
  <si>
    <t>Podróże</t>
  </si>
  <si>
    <t>Różne</t>
  </si>
  <si>
    <t>Wydatki na</t>
  </si>
  <si>
    <t>osobowe</t>
  </si>
  <si>
    <t>bezosobowe</t>
  </si>
  <si>
    <t>ubezpiecz.</t>
  </si>
  <si>
    <t xml:space="preserve">na </t>
  </si>
  <si>
    <t>dla</t>
  </si>
  <si>
    <t>pomocy</t>
  </si>
  <si>
    <t xml:space="preserve">materiałów </t>
  </si>
  <si>
    <t xml:space="preserve">usług </t>
  </si>
  <si>
    <t>usług</t>
  </si>
  <si>
    <t>służbowe</t>
  </si>
  <si>
    <t>opłaty</t>
  </si>
  <si>
    <t>akcesoriów</t>
  </si>
  <si>
    <t>zakupy</t>
  </si>
  <si>
    <t>Razem</t>
  </si>
  <si>
    <t>społeczne</t>
  </si>
  <si>
    <t>Fundusz</t>
  </si>
  <si>
    <t>uczniów</t>
  </si>
  <si>
    <t>naukowych,</t>
  </si>
  <si>
    <t>pozostałych</t>
  </si>
  <si>
    <t>i składki</t>
  </si>
  <si>
    <t>inwestycyjne</t>
  </si>
  <si>
    <t>Pracy</t>
  </si>
  <si>
    <t>jednostek</t>
  </si>
  <si>
    <t xml:space="preserve">       szkoły</t>
  </si>
  <si>
    <t>i książek</t>
  </si>
  <si>
    <t>i licencji</t>
  </si>
  <si>
    <t>budżetowych</t>
  </si>
  <si>
    <t xml:space="preserve">  OGÓŁEM</t>
  </si>
  <si>
    <t>Dział 801 - Oświata  i Wychowanie</t>
  </si>
  <si>
    <r>
      <t>z tego:</t>
    </r>
    <r>
      <rPr>
        <b/>
        <sz val="10"/>
        <rFont val="Arial CE"/>
        <family val="2"/>
      </rPr>
      <t xml:space="preserve">
Zadania własne</t>
    </r>
  </si>
  <si>
    <t>finansów publicznych (zmiany planu)</t>
  </si>
  <si>
    <t>rozdz. 80101 - Szkoły podstawowe</t>
  </si>
  <si>
    <t>Szkoła Podstawowa nr 2</t>
  </si>
  <si>
    <t>Szkoła Podstawowa nr 3</t>
  </si>
  <si>
    <t>Szkoła Podstawowa nr 4</t>
  </si>
  <si>
    <t>Szkoła Podstawowa nr 6</t>
  </si>
  <si>
    <t>Szkoła Podstawowa nr 7</t>
  </si>
  <si>
    <t>Szkoła Podstawowa nr 14</t>
  </si>
  <si>
    <t>Szkoła Podstawowa nr 20</t>
  </si>
  <si>
    <t>Szkoła Podstawowa nr 23</t>
  </si>
  <si>
    <r>
      <t xml:space="preserve">pomieszczenie na sprzęt sportowy 
przy Gimnazjum nr 9 </t>
    </r>
    <r>
      <rPr>
        <sz val="12"/>
        <rFont val="Arial"/>
        <family val="2"/>
      </rPr>
      <t>*</t>
    </r>
  </si>
  <si>
    <t>Szkoła Podstawowa nr 24</t>
  </si>
  <si>
    <t>Szkoła Podstawowa nr 25</t>
  </si>
  <si>
    <t>Szkoła Podstawowa nr 27</t>
  </si>
  <si>
    <t>Szkoła Podstawowa nr 28</t>
  </si>
  <si>
    <t>Szkoła Podstawowa nr 32</t>
  </si>
  <si>
    <t>Szkoła Podstawowa nr 34</t>
  </si>
  <si>
    <t>Szkoła Podstawowa nr 38</t>
  </si>
  <si>
    <t>Szkoła Podstawowa nr 39</t>
  </si>
  <si>
    <t>Szkoła Podstawowa nr 43</t>
  </si>
  <si>
    <t>Szkoła Podstawowa nr 46</t>
  </si>
  <si>
    <t>Szkoła Podstawowa nr 47</t>
  </si>
  <si>
    <t>Szkoła Podstawowa nr 51</t>
  </si>
  <si>
    <t>Szkoła Podstawowa nr 52</t>
  </si>
  <si>
    <t xml:space="preserve">Zespół Szkół Ogólnokształcących nr 4 </t>
  </si>
  <si>
    <t>rozdz. 80104 - Przedszkola</t>
  </si>
  <si>
    <t>Wydatki rzeczowe</t>
  </si>
  <si>
    <t>Specjalny Ośrodek Szkolno - Wychowawczy dla Dzieci 
i Młodzieży Słabo Widzącej</t>
  </si>
  <si>
    <t>Specjalny Ośrodek Szkolno - Wychowawczy dla Dzieci 
i Młodzieży Niesłyszącej i Słabo Słyszącej</t>
  </si>
  <si>
    <t>rozdz. 85495 - Pozostała działalność (Stołówki szkolne)</t>
  </si>
  <si>
    <t>Przedszkole nr 18</t>
  </si>
  <si>
    <t>Przedszkole nr 22</t>
  </si>
  <si>
    <t>Przedszkole nr 28</t>
  </si>
  <si>
    <t>Dotacja z budżetu 
na 2007 rok 
według uchwały 
nr 41/V/2007 
Rady Miasta Lublin 
z dnia 8.02.2007 r.
z późn. zm.</t>
  </si>
  <si>
    <t>Przedszkole nr 37</t>
  </si>
  <si>
    <t>Przedszkole nr 43</t>
  </si>
  <si>
    <t>Przedszkole nr 49</t>
  </si>
  <si>
    <t>Przedszkole nr 69</t>
  </si>
  <si>
    <t>Przedszkole nr 70</t>
  </si>
  <si>
    <t>Przedszkole Specjalne nr 11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</si>
  <si>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</si>
  <si>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</si>
  <si>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</si>
  <si>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</si>
  <si>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</si>
  <si>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</si>
  <si>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</si>
  <si>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</si>
  <si>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</si>
  <si>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</si>
  <si>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14</t>
  </si>
  <si>
    <t>Gimnazjum nr 15</t>
  </si>
  <si>
    <r>
      <t xml:space="preserve">modernizacje obiektów </t>
    </r>
    <r>
      <rPr>
        <sz val="12"/>
        <rFont val="Arial"/>
        <family val="2"/>
      </rPr>
      <t>**</t>
    </r>
  </si>
  <si>
    <t>Dotacje ogółem 
(po zmianach)</t>
  </si>
  <si>
    <t>Inne formy pomocy dla uczniów</t>
  </si>
  <si>
    <t>Gimnazjum nr 16</t>
  </si>
  <si>
    <t>Gimnazjum nr 17</t>
  </si>
  <si>
    <t>Gimnazjum nr 18</t>
  </si>
  <si>
    <t>Gimnazjum nr 19</t>
  </si>
  <si>
    <t>rozdz. 80120 - Licea ogólnokształcące</t>
  </si>
  <si>
    <t>I Liceum Ogólnokształcące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</si>
  <si>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</si>
  <si>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</si>
  <si>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</si>
  <si>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</si>
  <si>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</si>
  <si>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 Liceum Ogólnokształcące</t>
  </si>
  <si>
    <t>IX Liceum Ogólnokształcące</t>
  </si>
  <si>
    <t>rozdz. 80130 - Szkoły zawodowe</t>
  </si>
  <si>
    <t>Zespół Szkół Ekonomicznych</t>
  </si>
  <si>
    <t>Zespół Szkół Elektronicznych</t>
  </si>
  <si>
    <t>Zespół Szkół Chemicznych i Przemysłu Spożywczego</t>
  </si>
  <si>
    <t>Specjalny Ośrodek Szkolno-Wychowawczy nr 1</t>
  </si>
  <si>
    <t>wieloletni program "Pomoc państwa w zakresie dożywiania"</t>
  </si>
  <si>
    <t>Dział 852 - Pomoc społeczna</t>
  </si>
  <si>
    <t>rozdz. 85295 - Pozostała działalność</t>
  </si>
  <si>
    <t>przeprowadzenie poboru do wojska</t>
  </si>
  <si>
    <t>organizacja obozów szkoleniowych i imprez sportowo-rekreacyjnych 
w okresie ferii zimowych i wakacji letnich</t>
  </si>
  <si>
    <t>Uczniowski Klub Sportowy "Skarpa", ul. Radosci 13, 20-593 Lublin</t>
  </si>
  <si>
    <t>Stowarzyszenie Młodzieżowy Klub Sportowy "Viking Lublinianka", 
ul. Leszczyńskiego 19, 20-068 Lublin</t>
  </si>
  <si>
    <t>Lubelski Klub Sportowy Taekwon-do, ul. Nowowiejskiego 1/1, 20-880 Lublin</t>
  </si>
  <si>
    <t>Uczniowski Klub Sportowy "Widok" SP nr 51, ul. Bursztynowa 22, 
20-576 Lublin</t>
  </si>
  <si>
    <t>Stowarzyszenie Młodzieżowy Klub Sportowy "Viking Lublinianka", 
ul. Leszczyńskiego 19, 20-023 Lublin</t>
  </si>
  <si>
    <t>MKS "Kalina Lublin"; ul. Kleeberga 12, 20-243 Lublin</t>
  </si>
  <si>
    <t>Stowarzyszenie Lokalne "KALINA" Salezjańskiej Organizacji Sportowej, 
ul. Kalinowszczyzna 3, 20-129 Lublin</t>
  </si>
  <si>
    <t>Stowarzyszenie Kultury Fizycznej AZS Klub Środowiskowy Oddział w Lublinie, 
ul. Langiewicza 22, 20-032 Lublin</t>
  </si>
  <si>
    <t>zasiłki celowe dla rodzin poszkodowanych w wyniku zdarzeń losowych</t>
  </si>
  <si>
    <t>dotacja celowa z budżetu państwa na wypłaty zasiłków celowych dla rodzin poszkodowanych w wyniku zdarzeń losowych</t>
  </si>
  <si>
    <t>Opłaty z tytułuzakupu usług telekomunikacyjnych telefonii stacjonarnej</t>
  </si>
  <si>
    <t>Fundacja "Praesterno", Oddział Lublin, ul. Organowa 4, 20-882 Lublin</t>
  </si>
  <si>
    <t>Związek Harcerstwa Polskiego - Komenda Hufca Lublin, ul. Lubartowska 39/10, 20-116 Lublin</t>
  </si>
  <si>
    <t>Klub Sportowy "UNIA", ul. Leszczyńskiego 19/9, 20-068 Lublin</t>
  </si>
  <si>
    <t>działalność Komisji Rozwiązywania Problemów Alkoholowych</t>
  </si>
  <si>
    <t>Koszty postępowania sądowego i prokuratorskiego</t>
  </si>
  <si>
    <t>Lecznictwo ambulatoryjne</t>
  </si>
  <si>
    <t>Lecznictwo stomatologiczne</t>
  </si>
  <si>
    <t>rehabilitacja osób niepełnosprawnych zwiększająca ich samodzielność fizyczną i psychiczną</t>
  </si>
  <si>
    <t>Poradnie psychologiczno - pedagogiczne</t>
  </si>
  <si>
    <t>Poradnie psychologiczno - pedagogiczne, w tym poradnie specjalistyczne</t>
  </si>
  <si>
    <t>wydatki na zadania realizowane przez poradnie psychologiczno-pedagogiczne</t>
  </si>
  <si>
    <t>Dział 854 - Edukacyjna opieka wychowawcza</t>
  </si>
  <si>
    <t>rozdz. 85403 - Specjalne ośrodki szkolno-wychowawcze</t>
  </si>
  <si>
    <t>prowadzenie profilaktycznej działalności informacyjnej 
i edukacyjnej w zakresie rozwiązywania problemów alkoholowych i przeciwdziałania narkomanii, 
w szczególności dla dzieci i młodzieży, w tym prowadzenie pozalekcyjnych zajęć sportowych, 
a także działań na rzecz dożywiania dzieci uczestniczących w pozalekcyjnych programach opiekuńczo-wychowawczych i socjoterapeutycznych</t>
  </si>
  <si>
    <t>Załącznik nr 1</t>
  </si>
  <si>
    <t>Załącznik nr 3</t>
  </si>
  <si>
    <t>Załącznik nr 4</t>
  </si>
  <si>
    <t>Załącznik nr 5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</si>
  <si>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</si>
  <si>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</si>
  <si>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</si>
  <si>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</si>
  <si>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</si>
  <si>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</si>
  <si>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</si>
  <si>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6.  Szkoły i placówki oświatowe</t>
  </si>
  <si>
    <t>1.8  Wydział Strategii i Rozwoju</t>
  </si>
  <si>
    <t>1.7  Wydział Spraw Społecznych</t>
  </si>
  <si>
    <t>Zadania zlecone</t>
  </si>
  <si>
    <t>Podróże służbowe zagraniczne</t>
  </si>
  <si>
    <t>projekty w ramach programu Socrates - Comenius</t>
  </si>
  <si>
    <t>Zwrot dotacji wykorzystanych niezgodnie 
z przeznaczeniem lub pobranych w nadmiernej wysokości</t>
  </si>
  <si>
    <t xml:space="preserve">Wykaz zadań miasta realizowanych przez podmioty niezaliczane do sektora </t>
  </si>
  <si>
    <t xml:space="preserve">                                                         w złotych</t>
  </si>
  <si>
    <t>Nazwa działu, rozdziału, zadania</t>
  </si>
  <si>
    <t>Dotacja 
po zmianach</t>
  </si>
  <si>
    <t>Przeznaczenie dotacji (cel publiczny)</t>
  </si>
  <si>
    <t>Ogółem, z tego:</t>
  </si>
  <si>
    <t>Zadania z zakresu oświaty</t>
  </si>
  <si>
    <t>Zadania z zakresu pomocy społecznej</t>
  </si>
  <si>
    <t>Zadania z zakresu rehabilitacji zawodowej i społecznej oraz zatrudniania osób niepełnosprawnych</t>
  </si>
  <si>
    <t>Zadania z zakresu odnowy i konserwacji zabytków</t>
  </si>
  <si>
    <t>Zadania realizowane na podstawie ustawy o działalności pożytku publicznego i o wolontariacie</t>
  </si>
  <si>
    <t>Młodzieżowy Dom Kultury</t>
  </si>
  <si>
    <t>Dział 851 - Ochrona zdrowia</t>
  </si>
  <si>
    <t>rozdz. 85154 - Przeciwdziałanie alkoholizmowi</t>
  </si>
  <si>
    <t>Szkoły podstawowe specjalne</t>
  </si>
  <si>
    <t>Oddziały przedszkolne w szkołach podstawowych</t>
  </si>
  <si>
    <t>Przedszkola</t>
  </si>
  <si>
    <t>Gimnazja</t>
  </si>
  <si>
    <t>Licea ogólnokształcące</t>
  </si>
  <si>
    <t>Licea profilowane</t>
  </si>
  <si>
    <t>Specjalne ośrodki szkolno-wychowawcze</t>
  </si>
  <si>
    <t>Pomoc materialna dla uczniów</t>
  </si>
  <si>
    <t>Kultura fizyczna i sport</t>
  </si>
  <si>
    <t>Zadania w zakresie kultury fizycznej i sportu</t>
  </si>
  <si>
    <t xml:space="preserve">Przedszkola </t>
  </si>
  <si>
    <t>Dokształcanie i doskonalenie nauczycieli</t>
  </si>
  <si>
    <t>Zakup energii</t>
  </si>
  <si>
    <t>Wydatki budżetu miasta na 2007 rok (zmiany planu)</t>
  </si>
  <si>
    <t>Dochody budżetu miasta na 2007 rok (zmiany planu)</t>
  </si>
  <si>
    <t>(zmiany planu)</t>
  </si>
  <si>
    <t>§ 4270</t>
  </si>
  <si>
    <t xml:space="preserve">Nazwa: działu, rozdziału, zadania </t>
  </si>
  <si>
    <t>Zmniejszenie</t>
  </si>
  <si>
    <t>Ogółem remonty</t>
  </si>
  <si>
    <t>Zadania własne</t>
  </si>
  <si>
    <t>Wydatki na zadania ustawowo zlecone gminie</t>
  </si>
  <si>
    <t>Pozostałe zadania w zakresie kultury</t>
  </si>
  <si>
    <t>Dochody
wg uchwały 
nr 41/V/2007
Rady Miasta Lublin
z dnia 8.02.2007 r. 
z późn. zm.</t>
  </si>
  <si>
    <t>Dotacja celowa z budżetu na finansowanie lub dofinansowanie zadań zleconych do realizacji fundacjom</t>
  </si>
  <si>
    <t>Zespół Szkół Ogólnokształcących nr 6 (SP nr 17)</t>
  </si>
  <si>
    <t>Zespół Szkół Ogólnokształcących nr 5 (SP nr 22)</t>
  </si>
  <si>
    <t>Domy pomocy społecznej</t>
  </si>
  <si>
    <t>Gospodarka mieszkaniowa</t>
  </si>
  <si>
    <t>Gospodarka gruntami i nieruchomościami</t>
  </si>
  <si>
    <t>Pomoc dla repatriantów</t>
  </si>
  <si>
    <t>rezerwa budżetowa</t>
  </si>
  <si>
    <t>Rezerwy</t>
  </si>
  <si>
    <t>Różne rozliczenia finansowe</t>
  </si>
  <si>
    <t>wydatki na zadania realizowane przez przedszkola</t>
  </si>
  <si>
    <t>zakupy inwestycyjne</t>
  </si>
  <si>
    <t>Wpłaty na Państwowy Fundusz Rehabilitacji Osób Niepełnosprawnych</t>
  </si>
  <si>
    <t>Załącznik nr 2</t>
  </si>
  <si>
    <t>Wydatki na zakupy inwestycyjne jednostek budżetowych</t>
  </si>
  <si>
    <t>Gospodarka odpadami</t>
  </si>
  <si>
    <t>Gospodarka komunalna i ochrona środowiska</t>
  </si>
  <si>
    <t>Zwrot dotacji wykorzystanych niezgodnie z przeznaczeniem lub pobranych w nadmiernej wysokości</t>
  </si>
  <si>
    <t>Zakup usług dostepu do sieci Internet</t>
  </si>
  <si>
    <t>1.1  Wydział Finansowy</t>
  </si>
  <si>
    <t>1.2  Wydział Geodezji i Gospodarki Nieruchomościami</t>
  </si>
  <si>
    <t>1.3  Wydział Gospodarki Komunalnej</t>
  </si>
  <si>
    <t>1.4  Wydział Organizacyjny</t>
  </si>
  <si>
    <t>1.5  Wydział Oświaty i Wychowania</t>
  </si>
  <si>
    <t>1.6  Wydział Spraw Administracyjnych</t>
  </si>
  <si>
    <t>1.9  Kancelaria Prezydenta Miasta</t>
  </si>
  <si>
    <t xml:space="preserve"> 4.  Komenda Miejska Państwowej Straży Pożarnej</t>
  </si>
  <si>
    <t>5.  Szkoły i placówki oświatowe</t>
  </si>
  <si>
    <t>Charytatywne Stowarzyszenie Niesienia Pomocy Chorym "Misericordia", 
ul. Abramowicka 2, 20-440 Lublin</t>
  </si>
  <si>
    <t>Stowarzyszenie Piłkarskie Nadzieje - Motor Lublin, ul. Kuncewiczowej 10, 
20-439 Lublin</t>
  </si>
  <si>
    <t>Specjalny Ośrodek Szkolno-Wychowawczy nr 2</t>
  </si>
  <si>
    <t xml:space="preserve">Charytatywne Stowarzyszenie Niesienia Pomocy Chorym "Misericordia", 
ul. Abramowicka 2, 20-440 Lublin; Środowiskowy Dom Samopomocy 
przy ul. Abramowickiej </t>
  </si>
  <si>
    <t>Odpisy</t>
  </si>
  <si>
    <t>na zakładowy</t>
  </si>
  <si>
    <t>fundusz</t>
  </si>
  <si>
    <t>socjalnych</t>
  </si>
  <si>
    <t>świadczeń</t>
  </si>
  <si>
    <t>niezalicz.</t>
  </si>
  <si>
    <t xml:space="preserve">do </t>
  </si>
  <si>
    <t xml:space="preserve">Świadczenia </t>
  </si>
  <si>
    <t>wynagr.</t>
  </si>
  <si>
    <t>energii</t>
  </si>
  <si>
    <t>zdrowotnych</t>
  </si>
  <si>
    <t xml:space="preserve">Podróże </t>
  </si>
  <si>
    <t>krajowe</t>
  </si>
  <si>
    <t xml:space="preserve"> programów</t>
  </si>
  <si>
    <t>komput., w tym</t>
  </si>
  <si>
    <t>i wyposaż.</t>
  </si>
  <si>
    <t>Wynagr.</t>
  </si>
  <si>
    <t>papierniczych</t>
  </si>
  <si>
    <t>i urzadzeń</t>
  </si>
  <si>
    <t xml:space="preserve"> drukarskiego</t>
  </si>
  <si>
    <t xml:space="preserve"> kserograf.</t>
  </si>
  <si>
    <t>dydaktyczn.</t>
  </si>
  <si>
    <t>Pochodne od wynagr.</t>
  </si>
  <si>
    <t>Zakup mat.</t>
  </si>
  <si>
    <t>do sprzętu</t>
  </si>
  <si>
    <t>remont.</t>
  </si>
  <si>
    <t>rozdz. 92605 - Zadania w zakresie kultury fizycznej 
i sportu</t>
  </si>
  <si>
    <t>prowadzenie profilaktycznej działalności informacyjnej 
i edukacyjnej w zakresie rozwiązywania problemów alkoholowych i przeciwdziałania narkomanii, 
w szczególności dla dzieci i młodzieży, w tym prowadzenie pozalekcyjnych zajęć sportowych, a także działań na rzecz dożywiania dzieci uczestniczących w pozalekcyjnych programach opiekuńczo-wychowawczych 
i socjoterapeutycznych</t>
  </si>
  <si>
    <t>1.3  Wydział Organizacyjny</t>
  </si>
  <si>
    <t>1.4  Wydział Oświaty i Wychowania</t>
  </si>
  <si>
    <t>1.5  Wydział Spraw Społecznych</t>
  </si>
  <si>
    <t>1.6  Wydział Strategii i Rozwoju</t>
  </si>
  <si>
    <t xml:space="preserve">1.7  Kancelaria Prezydenta Miasta </t>
  </si>
  <si>
    <t>2.  Dom Pomocy Społecznej 
Betania</t>
  </si>
  <si>
    <t>4.  Miejski Urząd Pracy</t>
  </si>
  <si>
    <t>5.  Komenda Miejska Państwowej Straży Pożarnej</t>
  </si>
  <si>
    <t xml:space="preserve">Dochody od osób prawnych, od osób fizycznych 
i od innych jednostek nieposiadających osobowości prawnej oraz wydatki związane z ich poborem </t>
  </si>
  <si>
    <t>Zespoły do spraw orzekania 
o niepełnosprawności</t>
  </si>
  <si>
    <t>Opłaty za administrowanie i czynsze za budynki, lokale i pomieszczenia garażowe</t>
  </si>
  <si>
    <t>Stowarzyszenie "Źródło" Osób Niepełnosprawnych Umysłowo, Ich Rodzin 
i Przyjaciół, ul. Filaretów 7, 20-609 Lublin</t>
  </si>
  <si>
    <t>Uposażenia i świadczenia pieniężne wypłacane na okres roku żołnierzom 
i funkcjonariuszom zwolnionym ze służby</t>
  </si>
  <si>
    <t>Fundusz Obrony Życia Archidiecezji Lubelskiej; ul. Chmielewskiego 9, 
20-620 Lublin - Dom Samotnej Matki przy ul. Chmielewskiego 9</t>
  </si>
  <si>
    <t>Dotacje celowe i inne środki na zadania realizowane na podstawie porozumień 
i umów</t>
  </si>
  <si>
    <t>dokształcanie i doskonalenie zawodowe nauczycieli</t>
  </si>
  <si>
    <t>Składki na ubezpieczenie społeczne</t>
  </si>
  <si>
    <t>Składki na Fundusz Pracy</t>
  </si>
  <si>
    <t>Szkolenia pracowników niebędących członkami korpusu służby cywilnej</t>
  </si>
  <si>
    <t>Składki na ubezpieczenia społeczne</t>
  </si>
  <si>
    <t>Kultura i ochrona dziedzictwa narodowego</t>
  </si>
  <si>
    <t>Gospodarka gruntami i nieruchomosciami</t>
  </si>
  <si>
    <t>wydatki związane z utrzymaniem zasobów komunalnych i sprzedażą mienia komunalnego oraz szacunki nieruchomości</t>
  </si>
  <si>
    <t>środki w dyspozycji wydziału</t>
  </si>
  <si>
    <t>Bezpieczeństwo publiczne i ochrona  przeciwpożarowa</t>
  </si>
  <si>
    <t>Komendy powiatowe Państwowej  Straży Pożarnej</t>
  </si>
  <si>
    <t>dotacja celowa z budżetu państwa na utrzymanie Komendy Miejskiej Państwowej Straży Pożarnej</t>
  </si>
  <si>
    <t>dotacja celowa z budżetu państwa na inwestycje dla Komendy Miejskiej Państwowej Straży Pożarnej</t>
  </si>
  <si>
    <t xml:space="preserve">składane pełnowymiarowe lodowisko </t>
  </si>
  <si>
    <t>modernizacja hali sportowo-widowiskowej przy 
Al. Zygmuntowskich 4 
- etap II</t>
  </si>
  <si>
    <t>z dnia 29 czerwca 2007 roku</t>
  </si>
  <si>
    <t>Załącznik nr 14</t>
  </si>
  <si>
    <t>Przychody/Dochody 
wg uchwały nr 41/V/2007 
Rady Miasta Lublin 
z dnia 8.02.2007 r. 
z późn. zm.</t>
  </si>
  <si>
    <t>Wydatki wg uchwały 
nr 41/V/2007 Rady Miasta Lublin 
z dnia 8.02.2007 r. 
z późn. zm.</t>
  </si>
  <si>
    <t>oraz rachunku dochodów własnych na 2007 rok (zmiany planu)</t>
  </si>
  <si>
    <t>Dotacje celowe otrzymane z budżetu państwa na inwestycje i zakupy inwestycyjne z zakresu administracji rządowej oraz inne zadania zlecone ustawami realizowane przez powiat</t>
  </si>
  <si>
    <t>wydatki na zadania realizowane przez Komendę Miejską Państwowej Straży Pożarnej</t>
  </si>
  <si>
    <t>inwestycje</t>
  </si>
  <si>
    <t>Stypendia dla uczniów</t>
  </si>
  <si>
    <t>wydatki na zadania realizowane przez szkoły podstawowe</t>
  </si>
  <si>
    <t>remonty szkół</t>
  </si>
  <si>
    <t>Zakup usług remontowych</t>
  </si>
  <si>
    <t>remonty przedszkoli</t>
  </si>
  <si>
    <t xml:space="preserve">Zakup usług remontowych </t>
  </si>
  <si>
    <t>wydatki na zadania realizowane przez domy pomocy społecznej</t>
  </si>
  <si>
    <t>Komisje poborowe</t>
  </si>
  <si>
    <t>Wydatki inwestycyjne jednostek budżetowych</t>
  </si>
  <si>
    <t>wydatki na zadania realizowane przez szkoły zawodowe</t>
  </si>
  <si>
    <t>Świadczenia społeczne</t>
  </si>
  <si>
    <t>rozdz.80146 - Dokształcanie i doskonalenie nauczycieli</t>
  </si>
  <si>
    <t>§ 4700</t>
  </si>
  <si>
    <t>Szkolenia prac.</t>
  </si>
  <si>
    <t xml:space="preserve">niebędących </t>
  </si>
  <si>
    <t>cywilnej</t>
  </si>
  <si>
    <t xml:space="preserve">członkami </t>
  </si>
  <si>
    <t xml:space="preserve">korpusu służby </t>
  </si>
  <si>
    <t>Szkoła Podstawowa nr 40</t>
  </si>
  <si>
    <t xml:space="preserve"> IX Liceum Ogólnokształcące</t>
  </si>
  <si>
    <t xml:space="preserve">Zespół Szkół Ogólnokształcących nr 6 </t>
  </si>
  <si>
    <t xml:space="preserve">Zespół Szkół nr 5 </t>
  </si>
  <si>
    <t xml:space="preserve">Zespół Szkół nr 7 </t>
  </si>
  <si>
    <t xml:space="preserve">Inne formy </t>
  </si>
  <si>
    <t xml:space="preserve">pomocy </t>
  </si>
  <si>
    <t>dla uczniów</t>
  </si>
  <si>
    <t>§ 4140</t>
  </si>
  <si>
    <t>Wpłaty</t>
  </si>
  <si>
    <t>na PFRON</t>
  </si>
  <si>
    <t>§ 4370</t>
  </si>
  <si>
    <t>drogi krajowe, wojewódzkie i powiatowe</t>
  </si>
  <si>
    <t>sygnalizacje świetlne</t>
  </si>
  <si>
    <t>poprawa bezpieczeństwa na ul. Kunickiego</t>
  </si>
  <si>
    <t>Lokalny transport zbiorowy</t>
  </si>
  <si>
    <t>Utrzymanie zieleni w miastach i gminach</t>
  </si>
  <si>
    <t>Oświetlenie ulic, placów i dróg</t>
  </si>
  <si>
    <t>Centra kultury i sztuki</t>
  </si>
  <si>
    <t>Ochrona i konserwacja zabytków</t>
  </si>
  <si>
    <t>Obiekty sportowe</t>
  </si>
  <si>
    <t>Instytucje kultury fizycznej</t>
  </si>
  <si>
    <t>Dotacja podmiotowa z budżetu dla jednostek niezaliczanych do sektora finansów publicznych</t>
  </si>
  <si>
    <t xml:space="preserve">Dotacje celowe z budżetu państwa na zadania zlecone z zakresu administracji rządowej </t>
  </si>
  <si>
    <t>Wydatki ogółem 
(po zmianach)
(13+17)</t>
  </si>
  <si>
    <t>dotacja dla MOSiR "Bystrzyca"</t>
  </si>
  <si>
    <t>modernizacja krytej pływalni przy 
Al. Zygmuntowskich 4</t>
  </si>
  <si>
    <t>modernizacja bazy rekreacyjnej nad Zalewem Zemborzyckim</t>
  </si>
  <si>
    <t>modernizacja hali sportowo-widowiskowej
przy Al. Zygmuntowskich 4 - etap II</t>
  </si>
  <si>
    <t>Dotacje celowe z budżetu na finansowanie lub dofinansowanie kosztów realizacji inwestycji 
i zakupów inwestycyjnych zakładów budżetowych</t>
  </si>
  <si>
    <t>inwestycje, z tego: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</si>
</sst>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  <numFmt numFmtId="177" formatCode="#,##0_ ;[Red]\-#,##0\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\ h\ h:m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  <numFmt numFmtId="208" formatCode="_-* #,##0.0\ _z_ł_-;\-* #,##0.0\ _z_ł_-;_-* &quot;-&quot;??\ _z_ł_-;_-@_-"/>
    <numFmt numFmtId="209" formatCode="#,##0.00_ ;\-#,##0.00\ "/>
    <numFmt numFmtId="210" formatCode="#,##0\ &quot;zł&quot;;[Green]\-#,##0\ &quot;zł&quot;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i/>
      <sz val="12"/>
      <name val="Arial CE"/>
      <family val="2"/>
    </font>
    <font>
      <b/>
      <u val="single"/>
      <sz val="10"/>
      <name val="Arial CE"/>
      <family val="0"/>
    </font>
    <font>
      <sz val="10"/>
      <color indexed="8"/>
      <name val="Arial CE"/>
      <family val="0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b/>
      <i/>
      <u val="single"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sz val="10"/>
      <color indexed="10"/>
      <name val="Arial CE"/>
      <family val="2"/>
    </font>
    <font>
      <sz val="10"/>
      <color indexed="8"/>
      <name val="Arial"/>
      <family val="0"/>
    </font>
    <font>
      <sz val="10"/>
      <name val="Arial"/>
      <family val="0"/>
    </font>
    <font>
      <i/>
      <sz val="11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12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u val="single"/>
      <sz val="10"/>
      <name val="Arial CE"/>
      <family val="0"/>
    </font>
    <font>
      <sz val="8.5"/>
      <name val="Arial CE"/>
      <family val="0"/>
    </font>
    <font>
      <b/>
      <sz val="12"/>
      <color indexed="12"/>
      <name val="Arial CE"/>
      <family val="2"/>
    </font>
    <font>
      <i/>
      <sz val="10"/>
      <color indexed="12"/>
      <name val="Arial CE"/>
      <family val="2"/>
    </font>
    <font>
      <sz val="8"/>
      <color indexed="12"/>
      <name val="Arial CE"/>
      <family val="2"/>
    </font>
    <font>
      <sz val="11"/>
      <color indexed="12"/>
      <name val="Arial CE"/>
      <family val="2"/>
    </font>
    <font>
      <i/>
      <sz val="12"/>
      <color indexed="12"/>
      <name val="Arial CE"/>
      <family val="2"/>
    </font>
    <font>
      <sz val="12"/>
      <color indexed="10"/>
      <name val="Arial CE"/>
      <family val="2"/>
    </font>
    <font>
      <b/>
      <sz val="11"/>
      <color indexed="12"/>
      <name val="Arial CE"/>
      <family val="0"/>
    </font>
    <font>
      <vertAlign val="superscript"/>
      <sz val="10"/>
      <color indexed="12"/>
      <name val="Arial CE"/>
      <family val="0"/>
    </font>
    <font>
      <b/>
      <sz val="15"/>
      <name val="Arial CE"/>
      <family val="0"/>
    </font>
    <font>
      <b/>
      <i/>
      <sz val="9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color indexed="8"/>
      <name val="Arial CE"/>
      <family val="2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name val="Arial CE"/>
      <family val="0"/>
    </font>
    <font>
      <sz val="12"/>
      <name val="Arial"/>
      <family val="0"/>
    </font>
    <font>
      <i/>
      <sz val="14"/>
      <name val="Arial CE"/>
      <family val="0"/>
    </font>
    <font>
      <sz val="13"/>
      <name val="Arial CE"/>
      <family val="0"/>
    </font>
    <font>
      <i/>
      <sz val="13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tted"/>
      <bottom style="thin"/>
    </border>
    <border>
      <left style="thin"/>
      <right style="thin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ashDotDot"/>
    </border>
    <border>
      <left style="thin"/>
      <right style="thin"/>
      <top style="hair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ashDotDot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ashDotDot"/>
      <bottom style="dotted"/>
    </border>
    <border>
      <left style="thin"/>
      <right style="medium"/>
      <top style="medium"/>
      <bottom style="thin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dashDotDot"/>
    </border>
    <border>
      <left style="thin"/>
      <right style="thin"/>
      <top style="dashDotDot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ashDotDot"/>
      <bottom style="dotted"/>
    </border>
    <border>
      <left style="thin"/>
      <right style="medium"/>
      <top style="dashDotDot"/>
      <bottom style="dotted"/>
    </border>
    <border>
      <left style="medium"/>
      <right>
        <color indexed="63"/>
      </right>
      <top style="thin"/>
      <bottom style="dashDotDot"/>
    </border>
    <border>
      <left style="medium"/>
      <right>
        <color indexed="63"/>
      </right>
      <top style="dashDotDot"/>
      <bottom style="thin"/>
    </border>
    <border>
      <left style="thin"/>
      <right style="thin"/>
      <top style="dashDotDot"/>
      <bottom style="thin"/>
    </border>
    <border>
      <left style="thin"/>
      <right style="medium"/>
      <top style="thin"/>
      <bottom style="dashDotDot"/>
    </border>
    <border>
      <left style="thin"/>
      <right style="medium"/>
      <top style="dashDotDot"/>
      <bottom>
        <color indexed="63"/>
      </bottom>
    </border>
    <border>
      <left style="thin"/>
      <right style="medium"/>
      <top style="dashDotDot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ashDotDot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dashDotDot"/>
    </border>
    <border>
      <left style="medium"/>
      <right style="thin"/>
      <top style="dashDotDot"/>
      <bottom style="dotted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" fillId="3" borderId="4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0" fillId="2" borderId="0" xfId="0" applyFont="1" applyFill="1" applyAlignment="1">
      <alignment/>
    </xf>
    <xf numFmtId="3" fontId="1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3" fontId="6" fillId="2" borderId="4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right"/>
    </xf>
    <xf numFmtId="3" fontId="14" fillId="2" borderId="1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3" fontId="14" fillId="2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3" fontId="4" fillId="2" borderId="9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wrapText="1"/>
    </xf>
    <xf numFmtId="3" fontId="8" fillId="2" borderId="0" xfId="0" applyNumberFormat="1" applyFont="1" applyFill="1" applyAlignment="1">
      <alignment horizontal="right"/>
    </xf>
    <xf numFmtId="0" fontId="8" fillId="2" borderId="12" xfId="0" applyFont="1" applyFill="1" applyBorder="1" applyAlignment="1">
      <alignment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/>
    </xf>
    <xf numFmtId="0" fontId="5" fillId="2" borderId="4" xfId="0" applyFont="1" applyFill="1" applyBorder="1" applyAlignment="1">
      <alignment horizontal="left" wrapText="1"/>
    </xf>
    <xf numFmtId="3" fontId="5" fillId="2" borderId="3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3" fontId="5" fillId="2" borderId="15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3" fontId="16" fillId="2" borderId="3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3" fontId="17" fillId="2" borderId="9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18" fillId="2" borderId="3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 horizontal="right" wrapText="1"/>
    </xf>
    <xf numFmtId="3" fontId="18" fillId="2" borderId="3" xfId="0" applyNumberFormat="1" applyFont="1" applyFill="1" applyBorder="1" applyAlignment="1">
      <alignment horizontal="right" wrapText="1"/>
    </xf>
    <xf numFmtId="3" fontId="8" fillId="4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3" fontId="8" fillId="2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2" borderId="4" xfId="0" applyFont="1" applyFill="1" applyBorder="1" applyAlignment="1">
      <alignment wrapText="1"/>
    </xf>
    <xf numFmtId="0" fontId="6" fillId="0" borderId="0" xfId="0" applyFont="1" applyAlignment="1">
      <alignment/>
    </xf>
    <xf numFmtId="0" fontId="4" fillId="2" borderId="9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2" borderId="3" xfId="0" applyFont="1" applyFill="1" applyBorder="1" applyAlignment="1">
      <alignment/>
    </xf>
    <xf numFmtId="0" fontId="21" fillId="2" borderId="20" xfId="0" applyFont="1" applyFill="1" applyBorder="1" applyAlignment="1">
      <alignment horizontal="left" wrapText="1"/>
    </xf>
    <xf numFmtId="3" fontId="21" fillId="2" borderId="9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22" fillId="0" borderId="0" xfId="0" applyFont="1" applyAlignment="1">
      <alignment/>
    </xf>
    <xf numFmtId="3" fontId="1" fillId="0" borderId="6" xfId="0" applyNumberFormat="1" applyFont="1" applyFill="1" applyBorder="1" applyAlignment="1">
      <alignment wrapText="1"/>
    </xf>
    <xf numFmtId="3" fontId="6" fillId="2" borderId="4" xfId="0" applyNumberFormat="1" applyFont="1" applyFill="1" applyBorder="1" applyAlignment="1">
      <alignment wrapText="1"/>
    </xf>
    <xf numFmtId="0" fontId="0" fillId="0" borderId="4" xfId="0" applyFont="1" applyBorder="1" applyAlignment="1">
      <alignment horizontal="right"/>
    </xf>
    <xf numFmtId="3" fontId="21" fillId="0" borderId="9" xfId="0" applyNumberFormat="1" applyFont="1" applyBorder="1" applyAlignment="1">
      <alignment wrapText="1"/>
    </xf>
    <xf numFmtId="0" fontId="0" fillId="0" borderId="3" xfId="0" applyFont="1" applyBorder="1" applyAlignment="1">
      <alignment horizontal="right"/>
    </xf>
    <xf numFmtId="3" fontId="1" fillId="0" borderId="4" xfId="0" applyNumberFormat="1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6" fillId="0" borderId="3" xfId="0" applyFont="1" applyFill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6" fillId="2" borderId="3" xfId="0" applyFont="1" applyFill="1" applyBorder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3" fontId="6" fillId="2" borderId="26" xfId="0" applyNumberFormat="1" applyFont="1" applyFill="1" applyBorder="1" applyAlignment="1">
      <alignment horizontal="right" wrapText="1"/>
    </xf>
    <xf numFmtId="3" fontId="6" fillId="3" borderId="26" xfId="0" applyNumberFormat="1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3" fontId="9" fillId="0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7" xfId="15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6" fillId="2" borderId="26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3" borderId="12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10" xfId="0" applyFont="1" applyFill="1" applyBorder="1" applyAlignment="1">
      <alignment horizontal="left"/>
    </xf>
    <xf numFmtId="3" fontId="1" fillId="3" borderId="10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/>
    </xf>
    <xf numFmtId="0" fontId="4" fillId="3" borderId="9" xfId="0" applyFont="1" applyFill="1" applyBorder="1" applyAlignment="1">
      <alignment horizontal="left"/>
    </xf>
    <xf numFmtId="3" fontId="4" fillId="3" borderId="9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6" fillId="0" borderId="7" xfId="0" applyFont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3" borderId="29" xfId="0" applyFont="1" applyFill="1" applyBorder="1" applyAlignment="1">
      <alignment horizontal="left" wrapText="1"/>
    </xf>
    <xf numFmtId="0" fontId="0" fillId="0" borderId="4" xfId="0" applyFont="1" applyBorder="1" applyAlignment="1">
      <alignment/>
    </xf>
    <xf numFmtId="3" fontId="7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 wrapText="1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 horizontal="left"/>
    </xf>
    <xf numFmtId="3" fontId="1" fillId="0" borderId="31" xfId="15" applyNumberFormat="1" applyFont="1" applyFill="1" applyBorder="1" applyAlignment="1">
      <alignment/>
    </xf>
    <xf numFmtId="3" fontId="1" fillId="0" borderId="32" xfId="15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 wrapText="1"/>
    </xf>
    <xf numFmtId="3" fontId="9" fillId="0" borderId="7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21" fillId="0" borderId="37" xfId="0" applyNumberFormat="1" applyFont="1" applyFill="1" applyBorder="1" applyAlignment="1">
      <alignment horizontal="center" wrapText="1"/>
    </xf>
    <xf numFmtId="3" fontId="21" fillId="0" borderId="3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6" fillId="2" borderId="2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39" xfId="0" applyNumberFormat="1" applyFont="1" applyFill="1" applyBorder="1" applyAlignment="1">
      <alignment horizontal="left" vertical="center"/>
    </xf>
    <xf numFmtId="3" fontId="1" fillId="0" borderId="40" xfId="0" applyNumberFormat="1" applyFont="1" applyFill="1" applyBorder="1" applyAlignment="1">
      <alignment horizontal="left" vertical="center"/>
    </xf>
    <xf numFmtId="3" fontId="12" fillId="0" borderId="4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/>
    </xf>
    <xf numFmtId="3" fontId="1" fillId="0" borderId="2" xfId="0" applyNumberFormat="1" applyFont="1" applyFill="1" applyBorder="1" applyAlignment="1">
      <alignment horizontal="left" vertical="center"/>
    </xf>
    <xf numFmtId="3" fontId="8" fillId="0" borderId="42" xfId="0" applyNumberFormat="1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6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3" borderId="9" xfId="0" applyFont="1" applyFill="1" applyBorder="1" applyAlignment="1">
      <alignment wrapText="1"/>
    </xf>
    <xf numFmtId="10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wrapText="1"/>
    </xf>
    <xf numFmtId="10" fontId="0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left" vertical="center"/>
    </xf>
    <xf numFmtId="3" fontId="9" fillId="0" borderId="39" xfId="0" applyNumberFormat="1" applyFont="1" applyBorder="1" applyAlignment="1">
      <alignment horizontal="left" vertical="center"/>
    </xf>
    <xf numFmtId="3" fontId="8" fillId="0" borderId="42" xfId="0" applyNumberFormat="1" applyFont="1" applyBorder="1" applyAlignment="1">
      <alignment horizontal="centerContinuous" vertical="center"/>
    </xf>
    <xf numFmtId="10" fontId="8" fillId="0" borderId="12" xfId="0" applyNumberFormat="1" applyFont="1" applyBorder="1" applyAlignment="1">
      <alignment horizontal="centerContinuous" vertical="center"/>
    </xf>
    <xf numFmtId="3" fontId="9" fillId="0" borderId="40" xfId="0" applyNumberFormat="1" applyFont="1" applyBorder="1" applyAlignment="1">
      <alignment horizontal="left" vertical="center"/>
    </xf>
    <xf numFmtId="10" fontId="9" fillId="0" borderId="17" xfId="0" applyNumberFormat="1" applyFont="1" applyBorder="1" applyAlignment="1">
      <alignment horizontal="centerContinuous" vertical="center"/>
    </xf>
    <xf numFmtId="3" fontId="12" fillId="0" borderId="41" xfId="0" applyNumberFormat="1" applyFont="1" applyBorder="1" applyAlignment="1">
      <alignment horizontal="center" vertical="center" wrapText="1"/>
    </xf>
    <xf numFmtId="10" fontId="9" fillId="0" borderId="4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 wrapText="1"/>
    </xf>
    <xf numFmtId="3" fontId="9" fillId="0" borderId="2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10" fontId="9" fillId="0" borderId="48" xfId="0" applyNumberFormat="1" applyFont="1" applyBorder="1" applyAlignment="1">
      <alignment/>
    </xf>
    <xf numFmtId="10" fontId="21" fillId="0" borderId="4" xfId="0" applyNumberFormat="1" applyFont="1" applyBorder="1" applyAlignment="1">
      <alignment/>
    </xf>
    <xf numFmtId="0" fontId="1" fillId="0" borderId="19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10" fontId="9" fillId="0" borderId="6" xfId="0" applyNumberFormat="1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3" fontId="0" fillId="0" borderId="4" xfId="0" applyNumberFormat="1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10" fontId="7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10" fontId="7" fillId="0" borderId="4" xfId="0" applyNumberFormat="1" applyFont="1" applyBorder="1" applyAlignment="1">
      <alignment/>
    </xf>
    <xf numFmtId="0" fontId="0" fillId="2" borderId="49" xfId="0" applyFont="1" applyFill="1" applyBorder="1" applyAlignment="1">
      <alignment wrapText="1"/>
    </xf>
    <xf numFmtId="0" fontId="0" fillId="0" borderId="50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0" fontId="1" fillId="0" borderId="19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2" borderId="16" xfId="0" applyFont="1" applyFill="1" applyBorder="1" applyAlignment="1">
      <alignment wrapText="1"/>
    </xf>
    <xf numFmtId="3" fontId="0" fillId="0" borderId="16" xfId="0" applyNumberFormat="1" applyFont="1" applyBorder="1" applyAlignment="1">
      <alignment/>
    </xf>
    <xf numFmtId="0" fontId="7" fillId="0" borderId="0" xfId="0" applyFont="1" applyAlignment="1">
      <alignment wrapText="1"/>
    </xf>
    <xf numFmtId="1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3" fontId="6" fillId="0" borderId="3" xfId="0" applyNumberFormat="1" applyFont="1" applyFill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5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1" fillId="0" borderId="52" xfId="0" applyNumberFormat="1" applyFont="1" applyBorder="1" applyAlignment="1">
      <alignment wrapText="1"/>
    </xf>
    <xf numFmtId="0" fontId="1" fillId="0" borderId="52" xfId="0" applyFont="1" applyBorder="1" applyAlignment="1">
      <alignment wrapText="1"/>
    </xf>
    <xf numFmtId="3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3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left" wrapText="1"/>
    </xf>
    <xf numFmtId="0" fontId="0" fillId="0" borderId="3" xfId="0" applyBorder="1" applyAlignment="1">
      <alignment/>
    </xf>
    <xf numFmtId="0" fontId="30" fillId="2" borderId="14" xfId="0" applyFont="1" applyFill="1" applyBorder="1" applyAlignment="1">
      <alignment/>
    </xf>
    <xf numFmtId="0" fontId="29" fillId="2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8" fillId="2" borderId="4" xfId="0" applyFont="1" applyFill="1" applyBorder="1" applyAlignment="1" quotePrefix="1">
      <alignment horizontal="right"/>
    </xf>
    <xf numFmtId="3" fontId="6" fillId="2" borderId="7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9" fillId="0" borderId="7" xfId="0" applyNumberFormat="1" applyFont="1" applyBorder="1" applyAlignment="1">
      <alignment wrapText="1"/>
    </xf>
    <xf numFmtId="3" fontId="32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 wrapText="1"/>
    </xf>
    <xf numFmtId="3" fontId="6" fillId="0" borderId="7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/>
    </xf>
    <xf numFmtId="0" fontId="8" fillId="2" borderId="4" xfId="0" applyFont="1" applyFill="1" applyBorder="1" applyAlignment="1">
      <alignment/>
    </xf>
    <xf numFmtId="3" fontId="24" fillId="0" borderId="14" xfId="0" applyNumberFormat="1" applyFont="1" applyFill="1" applyBorder="1" applyAlignment="1">
      <alignment horizontal="center"/>
    </xf>
    <xf numFmtId="3" fontId="1" fillId="0" borderId="32" xfId="15" applyNumberFormat="1" applyFont="1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3" fontId="4" fillId="2" borderId="3" xfId="0" applyNumberFormat="1" applyFont="1" applyFill="1" applyBorder="1" applyAlignment="1">
      <alignment/>
    </xf>
    <xf numFmtId="0" fontId="6" fillId="2" borderId="51" xfId="0" applyFont="1" applyFill="1" applyBorder="1" applyAlignment="1">
      <alignment wrapText="1"/>
    </xf>
    <xf numFmtId="3" fontId="6" fillId="2" borderId="5" xfId="0" applyNumberFormat="1" applyFont="1" applyFill="1" applyBorder="1" applyAlignment="1">
      <alignment/>
    </xf>
    <xf numFmtId="0" fontId="6" fillId="2" borderId="7" xfId="0" applyFont="1" applyFill="1" applyBorder="1" applyAlignment="1">
      <alignment wrapText="1"/>
    </xf>
    <xf numFmtId="3" fontId="4" fillId="2" borderId="7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/>
    </xf>
    <xf numFmtId="3" fontId="12" fillId="0" borderId="53" xfId="15" applyNumberFormat="1" applyFont="1" applyFill="1" applyBorder="1" applyAlignment="1">
      <alignment horizontal="left"/>
    </xf>
    <xf numFmtId="3" fontId="33" fillId="0" borderId="3" xfId="0" applyNumberFormat="1" applyFont="1" applyFill="1" applyBorder="1" applyAlignment="1">
      <alignment horizontal="center"/>
    </xf>
    <xf numFmtId="3" fontId="33" fillId="0" borderId="14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/>
    </xf>
    <xf numFmtId="0" fontId="6" fillId="3" borderId="4" xfId="0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21" fillId="0" borderId="9" xfId="0" applyFont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31" fillId="2" borderId="3" xfId="0" applyFont="1" applyFill="1" applyBorder="1" applyAlignment="1">
      <alignment/>
    </xf>
    <xf numFmtId="3" fontId="0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6" fillId="0" borderId="26" xfId="0" applyNumberFormat="1" applyFont="1" applyBorder="1" applyAlignment="1">
      <alignment wrapText="1"/>
    </xf>
    <xf numFmtId="3" fontId="1" fillId="0" borderId="26" xfId="0" applyNumberFormat="1" applyFont="1" applyBorder="1" applyAlignment="1">
      <alignment wrapText="1"/>
    </xf>
    <xf numFmtId="3" fontId="4" fillId="3" borderId="9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3" fontId="0" fillId="0" borderId="33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wrapText="1"/>
    </xf>
    <xf numFmtId="0" fontId="6" fillId="2" borderId="4" xfId="0" applyFont="1" applyFill="1" applyBorder="1" applyAlignment="1">
      <alignment vertical="justify" wrapText="1"/>
    </xf>
    <xf numFmtId="0" fontId="6" fillId="2" borderId="11" xfId="0" applyFont="1" applyFill="1" applyBorder="1" applyAlignment="1">
      <alignment/>
    </xf>
    <xf numFmtId="0" fontId="4" fillId="3" borderId="4" xfId="0" applyFont="1" applyFill="1" applyBorder="1" applyAlignment="1">
      <alignment wrapText="1"/>
    </xf>
    <xf numFmtId="0" fontId="0" fillId="2" borderId="14" xfId="0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/>
    </xf>
    <xf numFmtId="0" fontId="8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6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9" xfId="0" applyFont="1" applyFill="1" applyBorder="1" applyAlignment="1">
      <alignment wrapText="1"/>
    </xf>
    <xf numFmtId="0" fontId="5" fillId="2" borderId="11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8" fillId="2" borderId="16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6" fillId="0" borderId="3" xfId="0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vertical="center" wrapText="1"/>
    </xf>
    <xf numFmtId="0" fontId="17" fillId="2" borderId="4" xfId="0" applyFont="1" applyFill="1" applyBorder="1" applyAlignment="1">
      <alignment/>
    </xf>
    <xf numFmtId="0" fontId="8" fillId="3" borderId="4" xfId="0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3" fontId="6" fillId="0" borderId="0" xfId="0" applyNumberFormat="1" applyFont="1" applyAlignment="1">
      <alignment horizontal="right"/>
    </xf>
    <xf numFmtId="0" fontId="13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3" fontId="9" fillId="0" borderId="27" xfId="0" applyNumberFormat="1" applyFont="1" applyFill="1" applyBorder="1" applyAlignment="1">
      <alignment vertical="center" wrapText="1"/>
    </xf>
    <xf numFmtId="3" fontId="9" fillId="0" borderId="27" xfId="15" applyNumberFormat="1" applyFont="1" applyFill="1" applyBorder="1" applyAlignment="1">
      <alignment vertical="center"/>
    </xf>
    <xf numFmtId="3" fontId="7" fillId="0" borderId="4" xfId="15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21" fillId="0" borderId="57" xfId="15" applyNumberFormat="1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8" fillId="0" borderId="0" xfId="0" applyFont="1" applyAlignment="1">
      <alignment/>
    </xf>
    <xf numFmtId="3" fontId="2" fillId="0" borderId="14" xfId="0" applyNumberFormat="1" applyFont="1" applyFill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" borderId="6" xfId="0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59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6" fillId="2" borderId="4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6" xfId="0" applyFont="1" applyFill="1" applyBorder="1" applyAlignment="1">
      <alignment horizontal="left" wrapText="1"/>
    </xf>
    <xf numFmtId="3" fontId="6" fillId="0" borderId="2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3" fontId="19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0" fontId="5" fillId="2" borderId="12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3" fontId="5" fillId="2" borderId="28" xfId="0" applyNumberFormat="1" applyFont="1" applyFill="1" applyBorder="1" applyAlignment="1">
      <alignment horizontal="center" vertical="center"/>
    </xf>
    <xf numFmtId="3" fontId="5" fillId="2" borderId="60" xfId="0" applyNumberFormat="1" applyFont="1" applyFill="1" applyBorder="1" applyAlignment="1">
      <alignment horizontal="center" vertical="center"/>
    </xf>
    <xf numFmtId="3" fontId="5" fillId="2" borderId="61" xfId="0" applyNumberFormat="1" applyFont="1" applyFill="1" applyBorder="1" applyAlignment="1">
      <alignment horizontal="centerContinuous" vertical="center"/>
    </xf>
    <xf numFmtId="3" fontId="5" fillId="2" borderId="62" xfId="0" applyNumberFormat="1" applyFont="1" applyFill="1" applyBorder="1" applyAlignment="1">
      <alignment horizontal="centerContinuous" vertical="center"/>
    </xf>
    <xf numFmtId="0" fontId="9" fillId="2" borderId="1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/>
    </xf>
    <xf numFmtId="3" fontId="9" fillId="2" borderId="24" xfId="0" applyNumberFormat="1" applyFont="1" applyFill="1" applyBorder="1" applyAlignment="1">
      <alignment horizontal="center" vertical="center" wrapText="1"/>
    </xf>
    <xf numFmtId="3" fontId="5" fillId="2" borderId="4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7" fillId="2" borderId="1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3" fontId="8" fillId="2" borderId="4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16" fillId="2" borderId="11" xfId="0" applyNumberFormat="1" applyFont="1" applyFill="1" applyBorder="1" applyAlignment="1">
      <alignment/>
    </xf>
    <xf numFmtId="0" fontId="16" fillId="2" borderId="63" xfId="0" applyFont="1" applyFill="1" applyBorder="1" applyAlignment="1">
      <alignment horizontal="center" wrapText="1"/>
    </xf>
    <xf numFmtId="0" fontId="5" fillId="2" borderId="19" xfId="0" applyFont="1" applyFill="1" applyBorder="1" applyAlignment="1" quotePrefix="1">
      <alignment horizontal="right"/>
    </xf>
    <xf numFmtId="0" fontId="5" fillId="2" borderId="19" xfId="0" applyFont="1" applyFill="1" applyBorder="1" applyAlignment="1">
      <alignment/>
    </xf>
    <xf numFmtId="3" fontId="5" fillId="2" borderId="19" xfId="0" applyNumberFormat="1" applyFont="1" applyFill="1" applyBorder="1" applyAlignment="1">
      <alignment wrapText="1"/>
    </xf>
    <xf numFmtId="3" fontId="5" fillId="2" borderId="19" xfId="0" applyNumberFormat="1" applyFont="1" applyFill="1" applyBorder="1" applyAlignment="1">
      <alignment/>
    </xf>
    <xf numFmtId="0" fontId="5" fillId="2" borderId="19" xfId="0" applyFont="1" applyFill="1" applyBorder="1" applyAlignment="1">
      <alignment wrapText="1"/>
    </xf>
    <xf numFmtId="0" fontId="5" fillId="2" borderId="6" xfId="0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0" fontId="0" fillId="2" borderId="64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3" fontId="29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wrapText="1"/>
    </xf>
    <xf numFmtId="3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0" fontId="6" fillId="0" borderId="8" xfId="0" applyFont="1" applyFill="1" applyBorder="1" applyAlignment="1">
      <alignment wrapText="1"/>
    </xf>
    <xf numFmtId="3" fontId="6" fillId="0" borderId="8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0" fontId="6" fillId="0" borderId="51" xfId="0" applyFont="1" applyFill="1" applyBorder="1" applyAlignment="1">
      <alignment wrapText="1"/>
    </xf>
    <xf numFmtId="3" fontId="6" fillId="0" borderId="51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31" fillId="2" borderId="0" xfId="0" applyFont="1" applyFill="1" applyAlignment="1">
      <alignment/>
    </xf>
    <xf numFmtId="0" fontId="31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64" xfId="0" applyFont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3" fontId="1" fillId="0" borderId="4" xfId="0" applyNumberFormat="1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3" fontId="6" fillId="0" borderId="65" xfId="0" applyNumberFormat="1" applyFont="1" applyFill="1" applyBorder="1" applyAlignment="1">
      <alignment/>
    </xf>
    <xf numFmtId="0" fontId="0" fillId="0" borderId="64" xfId="0" applyFont="1" applyFill="1" applyBorder="1" applyAlignment="1">
      <alignment wrapText="1"/>
    </xf>
    <xf numFmtId="3" fontId="0" fillId="0" borderId="64" xfId="0" applyNumberFormat="1" applyFont="1" applyFill="1" applyBorder="1" applyAlignment="1">
      <alignment/>
    </xf>
    <xf numFmtId="0" fontId="0" fillId="2" borderId="66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29" fillId="2" borderId="0" xfId="0" applyFont="1" applyFill="1" applyAlignment="1">
      <alignment/>
    </xf>
    <xf numFmtId="3" fontId="29" fillId="2" borderId="0" xfId="0" applyNumberFormat="1" applyFont="1" applyFill="1" applyAlignment="1">
      <alignment/>
    </xf>
    <xf numFmtId="0" fontId="31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29" fillId="2" borderId="0" xfId="0" applyFont="1" applyFill="1" applyBorder="1" applyAlignment="1">
      <alignment wrapText="1"/>
    </xf>
    <xf numFmtId="3" fontId="29" fillId="2" borderId="0" xfId="0" applyNumberFormat="1" applyFont="1" applyFill="1" applyBorder="1" applyAlignment="1">
      <alignment/>
    </xf>
    <xf numFmtId="0" fontId="29" fillId="2" borderId="0" xfId="0" applyFont="1" applyFill="1" applyAlignment="1">
      <alignment wrapText="1"/>
    </xf>
    <xf numFmtId="0" fontId="38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3" fontId="0" fillId="0" borderId="5" xfId="0" applyNumberFormat="1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1" fillId="3" borderId="19" xfId="0" applyFont="1" applyFill="1" applyBorder="1" applyAlignment="1">
      <alignment horizontal="right"/>
    </xf>
    <xf numFmtId="0" fontId="1" fillId="3" borderId="19" xfId="0" applyFont="1" applyFill="1" applyBorder="1" applyAlignment="1">
      <alignment wrapText="1"/>
    </xf>
    <xf numFmtId="3" fontId="1" fillId="3" borderId="19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3" borderId="4" xfId="0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1" fontId="1" fillId="0" borderId="6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1" fontId="0" fillId="0" borderId="5" xfId="0" applyNumberFormat="1" applyFont="1" applyBorder="1" applyAlignment="1">
      <alignment wrapText="1"/>
    </xf>
    <xf numFmtId="3" fontId="6" fillId="2" borderId="4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wrapText="1"/>
    </xf>
    <xf numFmtId="0" fontId="0" fillId="2" borderId="49" xfId="0" applyFont="1" applyFill="1" applyBorder="1" applyAlignment="1">
      <alignment/>
    </xf>
    <xf numFmtId="0" fontId="6" fillId="0" borderId="3" xfId="0" applyFont="1" applyFill="1" applyBorder="1" applyAlignment="1">
      <alignment horizontal="left" wrapText="1"/>
    </xf>
    <xf numFmtId="3" fontId="6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right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3" borderId="10" xfId="0" applyFont="1" applyFill="1" applyBorder="1" applyAlignment="1">
      <alignment horizontal="right"/>
    </xf>
    <xf numFmtId="0" fontId="1" fillId="3" borderId="25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3" borderId="3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19" xfId="0" applyFont="1" applyFill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" fillId="3" borderId="9" xfId="0" applyFont="1" applyFill="1" applyBorder="1" applyAlignment="1">
      <alignment/>
    </xf>
    <xf numFmtId="3" fontId="1" fillId="3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9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horizontal="right"/>
    </xf>
    <xf numFmtId="0" fontId="4" fillId="3" borderId="6" xfId="0" applyFont="1" applyFill="1" applyBorder="1" applyAlignment="1">
      <alignment/>
    </xf>
    <xf numFmtId="3" fontId="1" fillId="3" borderId="19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left"/>
    </xf>
    <xf numFmtId="3" fontId="1" fillId="3" borderId="3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1" fillId="0" borderId="7" xfId="0" applyFont="1" applyFill="1" applyBorder="1" applyAlignment="1">
      <alignment wrapText="1"/>
    </xf>
    <xf numFmtId="3" fontId="1" fillId="0" borderId="7" xfId="0" applyNumberFormat="1" applyFont="1" applyFill="1" applyBorder="1" applyAlignment="1">
      <alignment/>
    </xf>
    <xf numFmtId="0" fontId="5" fillId="2" borderId="6" xfId="0" applyFont="1" applyFill="1" applyBorder="1" applyAlignment="1" quotePrefix="1">
      <alignment horizontal="right"/>
    </xf>
    <xf numFmtId="3" fontId="6" fillId="2" borderId="4" xfId="0" applyNumberFormat="1" applyFont="1" applyFill="1" applyBorder="1" applyAlignment="1">
      <alignment horizontal="left"/>
    </xf>
    <xf numFmtId="0" fontId="0" fillId="2" borderId="49" xfId="0" applyFont="1" applyFill="1" applyBorder="1" applyAlignment="1">
      <alignment wrapText="1"/>
    </xf>
    <xf numFmtId="3" fontId="16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1" fontId="0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" fontId="6" fillId="2" borderId="26" xfId="0" applyNumberFormat="1" applyFont="1" applyFill="1" applyBorder="1" applyAlignment="1">
      <alignment wrapText="1"/>
    </xf>
    <xf numFmtId="3" fontId="6" fillId="2" borderId="26" xfId="0" applyNumberFormat="1" applyFont="1" applyFill="1" applyBorder="1" applyAlignment="1">
      <alignment wrapText="1"/>
    </xf>
    <xf numFmtId="3" fontId="31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1" fillId="0" borderId="3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right"/>
    </xf>
    <xf numFmtId="3" fontId="9" fillId="0" borderId="67" xfId="15" applyNumberFormat="1" applyFont="1" applyFill="1" applyBorder="1" applyAlignment="1">
      <alignment vertical="center"/>
    </xf>
    <xf numFmtId="3" fontId="7" fillId="0" borderId="7" xfId="15" applyNumberFormat="1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1" fillId="2" borderId="1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9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wrapText="1"/>
    </xf>
    <xf numFmtId="3" fontId="5" fillId="2" borderId="6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2" fontId="8" fillId="2" borderId="7" xfId="0" applyNumberFormat="1" applyFont="1" applyFill="1" applyBorder="1" applyAlignment="1">
      <alignment wrapText="1"/>
    </xf>
    <xf numFmtId="3" fontId="8" fillId="2" borderId="7" xfId="0" applyNumberFormat="1" applyFont="1" applyFill="1" applyBorder="1" applyAlignment="1">
      <alignment/>
    </xf>
    <xf numFmtId="1" fontId="7" fillId="0" borderId="3" xfId="0" applyNumberFormat="1" applyFont="1" applyBorder="1" applyAlignment="1">
      <alignment/>
    </xf>
    <xf numFmtId="3" fontId="7" fillId="0" borderId="11" xfId="0" applyNumberFormat="1" applyFont="1" applyBorder="1" applyAlignment="1">
      <alignment wrapText="1"/>
    </xf>
    <xf numFmtId="1" fontId="3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7" fillId="0" borderId="0" xfId="0" applyFont="1" applyAlignment="1">
      <alignment/>
    </xf>
    <xf numFmtId="1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3" xfId="0" applyFont="1" applyBorder="1" applyAlignment="1">
      <alignment horizontal="center" vertical="top" wrapText="1"/>
    </xf>
    <xf numFmtId="0" fontId="7" fillId="0" borderId="7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5" fillId="0" borderId="3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7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72" xfId="0" applyNumberFormat="1" applyFont="1" applyBorder="1" applyAlignment="1">
      <alignment/>
    </xf>
    <xf numFmtId="3" fontId="7" fillId="0" borderId="72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" fontId="9" fillId="2" borderId="27" xfId="0" applyNumberFormat="1" applyFont="1" applyFill="1" applyBorder="1" applyAlignment="1">
      <alignment/>
    </xf>
    <xf numFmtId="1" fontId="9" fillId="2" borderId="27" xfId="0" applyNumberFormat="1" applyFont="1" applyFill="1" applyBorder="1" applyAlignment="1">
      <alignment/>
    </xf>
    <xf numFmtId="3" fontId="9" fillId="2" borderId="27" xfId="0" applyNumberFormat="1" applyFont="1" applyFill="1" applyBorder="1" applyAlignment="1">
      <alignment wrapText="1"/>
    </xf>
    <xf numFmtId="1" fontId="9" fillId="0" borderId="3" xfId="0" applyNumberFormat="1" applyFont="1" applyBorder="1" applyAlignment="1">
      <alignment/>
    </xf>
    <xf numFmtId="1" fontId="9" fillId="0" borderId="7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wrapText="1"/>
    </xf>
    <xf numFmtId="1" fontId="7" fillId="0" borderId="4" xfId="0" applyNumberFormat="1" applyFont="1" applyBorder="1" applyAlignment="1">
      <alignment/>
    </xf>
    <xf numFmtId="3" fontId="7" fillId="0" borderId="7" xfId="0" applyNumberFormat="1" applyFont="1" applyBorder="1" applyAlignment="1">
      <alignment wrapText="1"/>
    </xf>
    <xf numFmtId="3" fontId="1" fillId="0" borderId="7" xfId="0" applyNumberFormat="1" applyFont="1" applyFill="1" applyBorder="1" applyAlignment="1">
      <alignment horizontal="right" wrapText="1"/>
    </xf>
    <xf numFmtId="3" fontId="1" fillId="2" borderId="7" xfId="0" applyNumberFormat="1" applyFont="1" applyFill="1" applyBorder="1" applyAlignment="1">
      <alignment horizontal="right" wrapText="1"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0" fillId="2" borderId="6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3" fontId="0" fillId="0" borderId="7" xfId="0" applyNumberFormat="1" applyFont="1" applyFill="1" applyBorder="1" applyAlignment="1">
      <alignment horizontal="right" wrapText="1"/>
    </xf>
    <xf numFmtId="3" fontId="0" fillId="2" borderId="7" xfId="0" applyNumberFormat="1" applyFont="1" applyFill="1" applyBorder="1" applyAlignment="1">
      <alignment horizontal="right" wrapText="1"/>
    </xf>
    <xf numFmtId="3" fontId="0" fillId="2" borderId="11" xfId="0" applyNumberFormat="1" applyFont="1" applyFill="1" applyBorder="1" applyAlignment="1">
      <alignment horizontal="right" wrapText="1"/>
    </xf>
    <xf numFmtId="3" fontId="39" fillId="2" borderId="4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right"/>
    </xf>
    <xf numFmtId="0" fontId="0" fillId="2" borderId="74" xfId="0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0" fontId="6" fillId="3" borderId="3" xfId="0" applyFont="1" applyFill="1" applyBorder="1" applyAlignment="1">
      <alignment horizontal="right"/>
    </xf>
    <xf numFmtId="0" fontId="6" fillId="2" borderId="35" xfId="0" applyFont="1" applyFill="1" applyBorder="1" applyAlignment="1">
      <alignment/>
    </xf>
    <xf numFmtId="0" fontId="6" fillId="2" borderId="4" xfId="0" applyFont="1" applyFill="1" applyBorder="1" applyAlignment="1">
      <alignment horizontal="left" wrapText="1"/>
    </xf>
    <xf numFmtId="3" fontId="6" fillId="3" borderId="4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0" fontId="0" fillId="2" borderId="75" xfId="0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6" fillId="3" borderId="4" xfId="0" applyFont="1" applyFill="1" applyBorder="1" applyAlignment="1">
      <alignment horizontal="right"/>
    </xf>
    <xf numFmtId="3" fontId="6" fillId="2" borderId="35" xfId="0" applyNumberFormat="1" applyFont="1" applyFill="1" applyBorder="1" applyAlignment="1">
      <alignment wrapText="1"/>
    </xf>
    <xf numFmtId="0" fontId="14" fillId="2" borderId="3" xfId="0" applyFont="1" applyFill="1" applyBorder="1" applyAlignment="1">
      <alignment horizontal="center"/>
    </xf>
    <xf numFmtId="3" fontId="6" fillId="0" borderId="26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3" borderId="14" xfId="0" applyFont="1" applyFill="1" applyBorder="1" applyAlignment="1">
      <alignment horizontal="right"/>
    </xf>
    <xf numFmtId="0" fontId="1" fillId="0" borderId="19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6" fillId="3" borderId="35" xfId="0" applyFont="1" applyFill="1" applyBorder="1" applyAlignment="1">
      <alignment horizontal="right"/>
    </xf>
    <xf numFmtId="0" fontId="6" fillId="3" borderId="76" xfId="0" applyFont="1" applyFill="1" applyBorder="1" applyAlignment="1">
      <alignment horizontal="right"/>
    </xf>
    <xf numFmtId="0" fontId="6" fillId="2" borderId="76" xfId="0" applyFont="1" applyFill="1" applyBorder="1" applyAlignment="1">
      <alignment wrapText="1"/>
    </xf>
    <xf numFmtId="3" fontId="6" fillId="2" borderId="11" xfId="0" applyNumberFormat="1" applyFont="1" applyFill="1" applyBorder="1" applyAlignment="1">
      <alignment wrapText="1"/>
    </xf>
    <xf numFmtId="0" fontId="6" fillId="2" borderId="77" xfId="0" applyFont="1" applyFill="1" applyBorder="1" applyAlignment="1">
      <alignment wrapText="1"/>
    </xf>
    <xf numFmtId="3" fontId="6" fillId="2" borderId="51" xfId="0" applyNumberFormat="1" applyFont="1" applyFill="1" applyBorder="1" applyAlignment="1">
      <alignment wrapText="1"/>
    </xf>
    <xf numFmtId="1" fontId="9" fillId="2" borderId="27" xfId="0" applyNumberFormat="1" applyFont="1" applyFill="1" applyBorder="1" applyAlignment="1">
      <alignment/>
    </xf>
    <xf numFmtId="1" fontId="9" fillId="2" borderId="27" xfId="0" applyNumberFormat="1" applyFont="1" applyFill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3" fontId="7" fillId="0" borderId="78" xfId="0" applyNumberFormat="1" applyFont="1" applyBorder="1" applyAlignment="1">
      <alignment/>
    </xf>
    <xf numFmtId="3" fontId="7" fillId="0" borderId="79" xfId="0" applyNumberFormat="1" applyFont="1" applyBorder="1" applyAlignment="1">
      <alignment/>
    </xf>
    <xf numFmtId="3" fontId="9" fillId="2" borderId="8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9" fillId="0" borderId="79" xfId="0" applyNumberFormat="1" applyFont="1" applyBorder="1" applyAlignment="1">
      <alignment/>
    </xf>
    <xf numFmtId="3" fontId="9" fillId="0" borderId="7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31" fillId="2" borderId="0" xfId="0" applyFont="1" applyFill="1" applyBorder="1" applyAlignment="1">
      <alignment/>
    </xf>
    <xf numFmtId="0" fontId="31" fillId="0" borderId="0" xfId="0" applyFont="1" applyFill="1" applyBorder="1" applyAlignment="1">
      <alignment wrapText="1"/>
    </xf>
    <xf numFmtId="3" fontId="31" fillId="0" borderId="0" xfId="0" applyNumberFormat="1" applyFont="1" applyFill="1" applyBorder="1" applyAlignment="1">
      <alignment horizontal="right" wrapText="1"/>
    </xf>
    <xf numFmtId="3" fontId="31" fillId="2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3" borderId="4" xfId="0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0" borderId="8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6" fillId="0" borderId="81" xfId="0" applyFont="1" applyBorder="1" applyAlignment="1">
      <alignment wrapText="1"/>
    </xf>
    <xf numFmtId="0" fontId="6" fillId="0" borderId="82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6" fillId="2" borderId="81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/>
    </xf>
    <xf numFmtId="3" fontId="6" fillId="2" borderId="81" xfId="0" applyNumberFormat="1" applyFont="1" applyFill="1" applyBorder="1" applyAlignment="1">
      <alignment/>
    </xf>
    <xf numFmtId="0" fontId="6" fillId="2" borderId="81" xfId="0" applyFont="1" applyFill="1" applyBorder="1" applyAlignment="1">
      <alignment wrapText="1"/>
    </xf>
    <xf numFmtId="0" fontId="6" fillId="2" borderId="5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3" fontId="7" fillId="0" borderId="23" xfId="0" applyNumberFormat="1" applyFont="1" applyBorder="1" applyAlignment="1">
      <alignment wrapText="1"/>
    </xf>
    <xf numFmtId="3" fontId="9" fillId="2" borderId="27" xfId="0" applyNumberFormat="1" applyFont="1" applyFill="1" applyBorder="1" applyAlignment="1">
      <alignment wrapText="1"/>
    </xf>
    <xf numFmtId="3" fontId="7" fillId="0" borderId="64" xfId="0" applyNumberFormat="1" applyFont="1" applyFill="1" applyBorder="1" applyAlignment="1">
      <alignment wrapText="1"/>
    </xf>
    <xf numFmtId="3" fontId="7" fillId="0" borderId="26" xfId="0" applyNumberFormat="1" applyFont="1" applyBorder="1" applyAlignment="1">
      <alignment wrapText="1"/>
    </xf>
    <xf numFmtId="3" fontId="7" fillId="0" borderId="83" xfId="0" applyNumberFormat="1" applyFont="1" applyBorder="1" applyAlignment="1">
      <alignment wrapText="1"/>
    </xf>
    <xf numFmtId="3" fontId="7" fillId="0" borderId="3" xfId="0" applyNumberFormat="1" applyFont="1" applyFill="1" applyBorder="1" applyAlignment="1">
      <alignment wrapText="1"/>
    </xf>
    <xf numFmtId="3" fontId="9" fillId="2" borderId="2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0" fontId="6" fillId="2" borderId="14" xfId="0" applyFont="1" applyFill="1" applyBorder="1" applyAlignment="1">
      <alignment wrapText="1"/>
    </xf>
    <xf numFmtId="3" fontId="6" fillId="0" borderId="3" xfId="0" applyNumberFormat="1" applyFont="1" applyBorder="1" applyAlignment="1">
      <alignment/>
    </xf>
    <xf numFmtId="0" fontId="6" fillId="2" borderId="84" xfId="0" applyFont="1" applyFill="1" applyBorder="1" applyAlignment="1">
      <alignment/>
    </xf>
    <xf numFmtId="0" fontId="6" fillId="2" borderId="84" xfId="0" applyFont="1" applyFill="1" applyBorder="1" applyAlignment="1">
      <alignment wrapText="1"/>
    </xf>
    <xf numFmtId="0" fontId="6" fillId="3" borderId="14" xfId="0" applyFont="1" applyFill="1" applyBorder="1" applyAlignment="1">
      <alignment horizontal="right"/>
    </xf>
    <xf numFmtId="3" fontId="6" fillId="0" borderId="51" xfId="0" applyNumberFormat="1" applyFont="1" applyBorder="1" applyAlignment="1">
      <alignment/>
    </xf>
    <xf numFmtId="3" fontId="6" fillId="2" borderId="3" xfId="0" applyNumberFormat="1" applyFont="1" applyFill="1" applyBorder="1" applyAlignment="1">
      <alignment wrapText="1"/>
    </xf>
    <xf numFmtId="0" fontId="6" fillId="3" borderId="84" xfId="0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1" fillId="2" borderId="19" xfId="0" applyFont="1" applyFill="1" applyBorder="1" applyAlignment="1">
      <alignment/>
    </xf>
    <xf numFmtId="0" fontId="6" fillId="2" borderId="29" xfId="0" applyFont="1" applyFill="1" applyBorder="1" applyAlignment="1">
      <alignment wrapText="1"/>
    </xf>
    <xf numFmtId="3" fontId="6" fillId="2" borderId="8" xfId="0" applyNumberFormat="1" applyFont="1" applyFill="1" applyBorder="1" applyAlignment="1">
      <alignment wrapText="1"/>
    </xf>
    <xf numFmtId="0" fontId="0" fillId="2" borderId="64" xfId="0" applyFont="1" applyFill="1" applyBorder="1" applyAlignment="1">
      <alignment wrapText="1"/>
    </xf>
    <xf numFmtId="3" fontId="40" fillId="0" borderId="0" xfId="0" applyNumberFormat="1" applyFont="1" applyFill="1" applyBorder="1" applyAlignment="1">
      <alignment vertical="center"/>
    </xf>
    <xf numFmtId="0" fontId="24" fillId="0" borderId="0" xfId="20" applyFont="1">
      <alignment/>
      <protection/>
    </xf>
    <xf numFmtId="3" fontId="0" fillId="0" borderId="0" xfId="20" applyNumberFormat="1" applyFont="1">
      <alignment/>
      <protection/>
    </xf>
    <xf numFmtId="0" fontId="44" fillId="0" borderId="0" xfId="20" applyFont="1">
      <alignment/>
      <protection/>
    </xf>
    <xf numFmtId="0" fontId="45" fillId="0" borderId="0" xfId="20" applyFont="1" applyAlignment="1">
      <alignment horizontal="right"/>
      <protection/>
    </xf>
    <xf numFmtId="0" fontId="24" fillId="0" borderId="7" xfId="20" applyFont="1" applyBorder="1" applyAlignment="1">
      <alignment horizontal="center" vertical="center" wrapText="1"/>
      <protection/>
    </xf>
    <xf numFmtId="0" fontId="46" fillId="0" borderId="0" xfId="20" applyFont="1" applyAlignment="1">
      <alignment horizontal="center" vertical="center" wrapText="1"/>
      <protection/>
    </xf>
    <xf numFmtId="0" fontId="47" fillId="0" borderId="7" xfId="20" applyFont="1" applyBorder="1" applyAlignment="1">
      <alignment horizontal="center"/>
      <protection/>
    </xf>
    <xf numFmtId="0" fontId="47" fillId="0" borderId="0" xfId="20" applyFont="1" applyAlignment="1">
      <alignment horizontal="center"/>
      <protection/>
    </xf>
    <xf numFmtId="0" fontId="1" fillId="0" borderId="7" xfId="0" applyFont="1" applyBorder="1" applyAlignment="1">
      <alignment/>
    </xf>
    <xf numFmtId="0" fontId="0" fillId="2" borderId="5" xfId="0" applyFont="1" applyFill="1" applyBorder="1" applyAlignment="1">
      <alignment wrapText="1"/>
    </xf>
    <xf numFmtId="0" fontId="7" fillId="2" borderId="3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3" fontId="0" fillId="2" borderId="5" xfId="0" applyNumberFormat="1" applyFont="1" applyFill="1" applyBorder="1" applyAlignment="1">
      <alignment wrapText="1"/>
    </xf>
    <xf numFmtId="3" fontId="6" fillId="2" borderId="29" xfId="0" applyNumberFormat="1" applyFont="1" applyFill="1" applyBorder="1" applyAlignment="1">
      <alignment wrapText="1"/>
    </xf>
    <xf numFmtId="3" fontId="6" fillId="2" borderId="81" xfId="0" applyNumberFormat="1" applyFont="1" applyFill="1" applyBorder="1" applyAlignment="1">
      <alignment wrapText="1"/>
    </xf>
    <xf numFmtId="0" fontId="48" fillId="0" borderId="81" xfId="0" applyFont="1" applyBorder="1" applyAlignment="1">
      <alignment wrapText="1"/>
    </xf>
    <xf numFmtId="3" fontId="0" fillId="2" borderId="64" xfId="0" applyNumberFormat="1" applyFont="1" applyFill="1" applyBorder="1" applyAlignment="1">
      <alignment wrapText="1"/>
    </xf>
    <xf numFmtId="3" fontId="48" fillId="0" borderId="81" xfId="0" applyNumberFormat="1" applyFont="1" applyBorder="1" applyAlignment="1">
      <alignment wrapText="1"/>
    </xf>
    <xf numFmtId="3" fontId="4" fillId="2" borderId="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3" fontId="0" fillId="0" borderId="5" xfId="0" applyNumberFormat="1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29" xfId="0" applyNumberFormat="1" applyFont="1" applyFill="1" applyBorder="1" applyAlignment="1">
      <alignment horizontal="right" wrapText="1"/>
    </xf>
    <xf numFmtId="3" fontId="1" fillId="0" borderId="51" xfId="0" applyNumberFormat="1" applyFont="1" applyFill="1" applyBorder="1" applyAlignment="1">
      <alignment horizontal="right" wrapText="1"/>
    </xf>
    <xf numFmtId="3" fontId="6" fillId="0" borderId="51" xfId="0" applyNumberFormat="1" applyFont="1" applyFill="1" applyBorder="1" applyAlignment="1">
      <alignment horizontal="right" wrapText="1"/>
    </xf>
    <xf numFmtId="0" fontId="8" fillId="2" borderId="7" xfId="0" applyFont="1" applyFill="1" applyBorder="1" applyAlignment="1">
      <alignment/>
    </xf>
    <xf numFmtId="0" fontId="8" fillId="2" borderId="7" xfId="0" applyFont="1" applyFill="1" applyBorder="1" applyAlignment="1">
      <alignment wrapText="1"/>
    </xf>
    <xf numFmtId="0" fontId="8" fillId="2" borderId="11" xfId="0" applyFont="1" applyFill="1" applyBorder="1" applyAlignment="1">
      <alignment/>
    </xf>
    <xf numFmtId="0" fontId="8" fillId="2" borderId="11" xfId="0" applyFont="1" applyFill="1" applyBorder="1" applyAlignment="1">
      <alignment wrapText="1"/>
    </xf>
    <xf numFmtId="3" fontId="8" fillId="2" borderId="11" xfId="0" applyNumberFormat="1" applyFont="1" applyFill="1" applyBorder="1" applyAlignment="1">
      <alignment/>
    </xf>
    <xf numFmtId="0" fontId="6" fillId="0" borderId="82" xfId="0" applyFont="1" applyFill="1" applyBorder="1" applyAlignment="1">
      <alignment wrapText="1"/>
    </xf>
    <xf numFmtId="0" fontId="1" fillId="2" borderId="4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9" fillId="0" borderId="3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1" fillId="0" borderId="8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1" fillId="0" borderId="85" xfId="0" applyNumberFormat="1" applyFont="1" applyFill="1" applyBorder="1" applyAlignment="1">
      <alignment vertical="center" wrapText="1"/>
    </xf>
    <xf numFmtId="3" fontId="0" fillId="0" borderId="87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/>
    </xf>
    <xf numFmtId="2" fontId="8" fillId="2" borderId="4" xfId="0" applyNumberFormat="1" applyFont="1" applyFill="1" applyBorder="1" applyAlignment="1">
      <alignment wrapText="1"/>
    </xf>
    <xf numFmtId="0" fontId="25" fillId="2" borderId="3" xfId="0" applyFont="1" applyFill="1" applyBorder="1" applyAlignment="1">
      <alignment/>
    </xf>
    <xf numFmtId="0" fontId="25" fillId="2" borderId="4" xfId="0" applyFont="1" applyFill="1" applyBorder="1" applyAlignment="1">
      <alignment wrapText="1"/>
    </xf>
    <xf numFmtId="3" fontId="25" fillId="2" borderId="4" xfId="0" applyNumberFormat="1" applyFont="1" applyFill="1" applyBorder="1" applyAlignment="1">
      <alignment wrapText="1"/>
    </xf>
    <xf numFmtId="3" fontId="6" fillId="2" borderId="51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6" fillId="0" borderId="29" xfId="0" applyNumberFormat="1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3" fontId="0" fillId="0" borderId="64" xfId="0" applyNumberFormat="1" applyFont="1" applyBorder="1" applyAlignment="1">
      <alignment wrapText="1"/>
    </xf>
    <xf numFmtId="0" fontId="6" fillId="0" borderId="26" xfId="0" applyFont="1" applyFill="1" applyBorder="1" applyAlignment="1">
      <alignment wrapText="1"/>
    </xf>
    <xf numFmtId="3" fontId="6" fillId="0" borderId="51" xfId="0" applyNumberFormat="1" applyFont="1" applyBorder="1" applyAlignment="1">
      <alignment wrapText="1"/>
    </xf>
    <xf numFmtId="3" fontId="1" fillId="2" borderId="4" xfId="0" applyNumberFormat="1" applyFont="1" applyFill="1" applyBorder="1" applyAlignment="1">
      <alignment wrapText="1"/>
    </xf>
    <xf numFmtId="3" fontId="6" fillId="0" borderId="26" xfId="0" applyNumberFormat="1" applyFont="1" applyFill="1" applyBorder="1" applyAlignment="1">
      <alignment wrapText="1"/>
    </xf>
    <xf numFmtId="3" fontId="1" fillId="2" borderId="11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0" xfId="0" applyFont="1" applyFill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5" fillId="2" borderId="19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71" xfId="0" applyFont="1" applyFill="1" applyBorder="1" applyAlignment="1">
      <alignment wrapText="1"/>
    </xf>
    <xf numFmtId="3" fontId="5" fillId="2" borderId="25" xfId="0" applyNumberFormat="1" applyFont="1" applyFill="1" applyBorder="1" applyAlignment="1">
      <alignment/>
    </xf>
    <xf numFmtId="0" fontId="8" fillId="2" borderId="35" xfId="0" applyFont="1" applyFill="1" applyBorder="1" applyAlignment="1">
      <alignment/>
    </xf>
    <xf numFmtId="0" fontId="8" fillId="2" borderId="78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3" fontId="1" fillId="0" borderId="16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wrapText="1"/>
    </xf>
    <xf numFmtId="0" fontId="6" fillId="2" borderId="89" xfId="0" applyFont="1" applyFill="1" applyBorder="1" applyAlignment="1">
      <alignment wrapText="1"/>
    </xf>
    <xf numFmtId="3" fontId="6" fillId="0" borderId="89" xfId="0" applyNumberFormat="1" applyFont="1" applyBorder="1" applyAlignment="1">
      <alignment/>
    </xf>
    <xf numFmtId="0" fontId="9" fillId="0" borderId="6" xfId="0" applyFont="1" applyFill="1" applyBorder="1" applyAlignment="1">
      <alignment wrapText="1"/>
    </xf>
    <xf numFmtId="3" fontId="9" fillId="2" borderId="80" xfId="0" applyNumberFormat="1" applyFont="1" applyFill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2" borderId="46" xfId="0" applyNumberFormat="1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3" fontId="9" fillId="0" borderId="79" xfId="0" applyNumberFormat="1" applyFont="1" applyBorder="1" applyAlignment="1">
      <alignment/>
    </xf>
    <xf numFmtId="3" fontId="9" fillId="0" borderId="78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3" fontId="7" fillId="0" borderId="5" xfId="0" applyNumberFormat="1" applyFont="1" applyBorder="1" applyAlignment="1">
      <alignment wrapText="1"/>
    </xf>
    <xf numFmtId="3" fontId="7" fillId="0" borderId="9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3" fontId="7" fillId="0" borderId="3" xfId="0" applyNumberFormat="1" applyFont="1" applyBorder="1" applyAlignment="1">
      <alignment wrapText="1"/>
    </xf>
    <xf numFmtId="0" fontId="6" fillId="0" borderId="51" xfId="0" applyFont="1" applyFill="1" applyBorder="1" applyAlignment="1">
      <alignment horizontal="left" wrapText="1"/>
    </xf>
    <xf numFmtId="3" fontId="6" fillId="0" borderId="51" xfId="0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>
      <alignment horizontal="right"/>
    </xf>
    <xf numFmtId="0" fontId="6" fillId="0" borderId="89" xfId="0" applyFont="1" applyFill="1" applyBorder="1" applyAlignment="1">
      <alignment horizontal="left" wrapText="1"/>
    </xf>
    <xf numFmtId="3" fontId="6" fillId="0" borderId="89" xfId="0" applyNumberFormat="1" applyFont="1" applyFill="1" applyBorder="1" applyAlignment="1">
      <alignment horizontal="right"/>
    </xf>
    <xf numFmtId="3" fontId="4" fillId="0" borderId="91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21" fillId="0" borderId="72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wrapText="1"/>
    </xf>
    <xf numFmtId="3" fontId="9" fillId="0" borderId="92" xfId="0" applyNumberFormat="1" applyFont="1" applyFill="1" applyBorder="1" applyAlignment="1">
      <alignment vertical="center"/>
    </xf>
    <xf numFmtId="3" fontId="21" fillId="0" borderId="93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6" fillId="0" borderId="7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84" xfId="0" applyFont="1" applyBorder="1" applyAlignment="1">
      <alignment/>
    </xf>
    <xf numFmtId="3" fontId="25" fillId="0" borderId="26" xfId="0" applyNumberFormat="1" applyFont="1" applyBorder="1" applyAlignment="1">
      <alignment wrapText="1"/>
    </xf>
    <xf numFmtId="3" fontId="25" fillId="0" borderId="7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" fillId="0" borderId="7" xfId="0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81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6" fillId="2" borderId="51" xfId="0" applyNumberFormat="1" applyFont="1" applyFill="1" applyBorder="1" applyAlignment="1">
      <alignment/>
    </xf>
    <xf numFmtId="3" fontId="4" fillId="2" borderId="29" xfId="0" applyNumberFormat="1" applyFont="1" applyFill="1" applyBorder="1" applyAlignment="1">
      <alignment/>
    </xf>
    <xf numFmtId="0" fontId="6" fillId="2" borderId="82" xfId="0" applyFont="1" applyFill="1" applyBorder="1" applyAlignment="1">
      <alignment wrapText="1"/>
    </xf>
    <xf numFmtId="3" fontId="4" fillId="2" borderId="82" xfId="0" applyNumberFormat="1" applyFont="1" applyFill="1" applyBorder="1" applyAlignment="1">
      <alignment/>
    </xf>
    <xf numFmtId="3" fontId="6" fillId="2" borderId="82" xfId="0" applyNumberFormat="1" applyFont="1" applyFill="1" applyBorder="1" applyAlignment="1">
      <alignment/>
    </xf>
    <xf numFmtId="0" fontId="6" fillId="2" borderId="81" xfId="0" applyFont="1" applyFill="1" applyBorder="1" applyAlignment="1">
      <alignment/>
    </xf>
    <xf numFmtId="0" fontId="6" fillId="2" borderId="7" xfId="0" applyFont="1" applyFill="1" applyBorder="1" applyAlignment="1">
      <alignment wrapText="1"/>
    </xf>
    <xf numFmtId="0" fontId="9" fillId="0" borderId="85" xfId="0" applyFont="1" applyFill="1" applyBorder="1" applyAlignment="1">
      <alignment vertical="center" wrapText="1"/>
    </xf>
    <xf numFmtId="1" fontId="0" fillId="0" borderId="94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0" fontId="0" fillId="0" borderId="50" xfId="0" applyFont="1" applyBorder="1" applyAlignment="1">
      <alignment wrapText="1"/>
    </xf>
    <xf numFmtId="3" fontId="0" fillId="0" borderId="50" xfId="0" applyNumberFormat="1" applyFont="1" applyFill="1" applyBorder="1" applyAlignment="1">
      <alignment/>
    </xf>
    <xf numFmtId="3" fontId="6" fillId="0" borderId="64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0" xfId="0" applyFont="1" applyFill="1" applyAlignment="1">
      <alignment/>
    </xf>
    <xf numFmtId="0" fontId="8" fillId="2" borderId="11" xfId="0" applyFont="1" applyFill="1" applyBorder="1" applyAlignment="1">
      <alignment/>
    </xf>
    <xf numFmtId="0" fontId="8" fillId="2" borderId="72" xfId="0" applyFont="1" applyFill="1" applyBorder="1" applyAlignment="1">
      <alignment/>
    </xf>
    <xf numFmtId="0" fontId="16" fillId="2" borderId="23" xfId="0" applyFont="1" applyFill="1" applyBorder="1" applyAlignment="1">
      <alignment horizontal="center" wrapText="1"/>
    </xf>
    <xf numFmtId="0" fontId="17" fillId="2" borderId="48" xfId="0" applyFont="1" applyFill="1" applyBorder="1" applyAlignment="1">
      <alignment wrapText="1"/>
    </xf>
    <xf numFmtId="0" fontId="5" fillId="2" borderId="95" xfId="0" applyFont="1" applyFill="1" applyBorder="1" applyAlignment="1">
      <alignment horizontal="center"/>
    </xf>
    <xf numFmtId="0" fontId="5" fillId="2" borderId="96" xfId="0" applyFont="1" applyFill="1" applyBorder="1" applyAlignment="1">
      <alignment wrapText="1"/>
    </xf>
    <xf numFmtId="0" fontId="6" fillId="2" borderId="29" xfId="0" applyFont="1" applyFill="1" applyBorder="1" applyAlignment="1">
      <alignment wrapText="1"/>
    </xf>
    <xf numFmtId="0" fontId="8" fillId="2" borderId="79" xfId="0" applyFont="1" applyFill="1" applyBorder="1" applyAlignment="1">
      <alignment wrapText="1"/>
    </xf>
    <xf numFmtId="0" fontId="8" fillId="2" borderId="14" xfId="0" applyFont="1" applyFill="1" applyBorder="1" applyAlignment="1">
      <alignment/>
    </xf>
    <xf numFmtId="0" fontId="6" fillId="0" borderId="4" xfId="0" applyFont="1" applyBorder="1" applyAlignment="1">
      <alignment/>
    </xf>
    <xf numFmtId="0" fontId="0" fillId="2" borderId="3" xfId="0" applyFont="1" applyFill="1" applyBorder="1" applyAlignment="1">
      <alignment wrapText="1"/>
    </xf>
    <xf numFmtId="0" fontId="6" fillId="2" borderId="3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4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0" fillId="2" borderId="50" xfId="0" applyFont="1" applyFill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6" fillId="2" borderId="26" xfId="0" applyFont="1" applyFill="1" applyBorder="1" applyAlignment="1">
      <alignment wrapText="1"/>
    </xf>
    <xf numFmtId="3" fontId="6" fillId="0" borderId="26" xfId="0" applyNumberFormat="1" applyFont="1" applyBorder="1" applyAlignment="1">
      <alignment wrapText="1"/>
    </xf>
    <xf numFmtId="0" fontId="6" fillId="2" borderId="0" xfId="0" applyFont="1" applyFill="1" applyAlignment="1">
      <alignment/>
    </xf>
    <xf numFmtId="3" fontId="0" fillId="0" borderId="64" xfId="0" applyNumberFormat="1" applyFont="1" applyBorder="1" applyAlignment="1">
      <alignment wrapText="1"/>
    </xf>
    <xf numFmtId="3" fontId="6" fillId="2" borderId="8" xfId="0" applyNumberFormat="1" applyFont="1" applyFill="1" applyBorder="1" applyAlignment="1">
      <alignment wrapText="1"/>
    </xf>
    <xf numFmtId="0" fontId="6" fillId="2" borderId="81" xfId="0" applyFont="1" applyFill="1" applyBorder="1" applyAlignment="1">
      <alignment wrapText="1"/>
    </xf>
    <xf numFmtId="3" fontId="6" fillId="2" borderId="81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0" fontId="0" fillId="2" borderId="11" xfId="0" applyFont="1" applyFill="1" applyBorder="1" applyAlignment="1">
      <alignment wrapText="1"/>
    </xf>
    <xf numFmtId="0" fontId="0" fillId="2" borderId="97" xfId="0" applyFont="1" applyFill="1" applyBorder="1" applyAlignment="1">
      <alignment wrapText="1"/>
    </xf>
    <xf numFmtId="3" fontId="0" fillId="0" borderId="97" xfId="0" applyNumberFormat="1" applyFont="1" applyBorder="1" applyAlignment="1">
      <alignment wrapText="1"/>
    </xf>
    <xf numFmtId="3" fontId="0" fillId="0" borderId="98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wrapText="1"/>
    </xf>
    <xf numFmtId="3" fontId="0" fillId="0" borderId="86" xfId="0" applyNumberFormat="1" applyFon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 wrapText="1"/>
    </xf>
    <xf numFmtId="3" fontId="0" fillId="0" borderId="9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0" fontId="6" fillId="0" borderId="4" xfId="0" applyFont="1" applyBorder="1" applyAlignment="1">
      <alignment wrapText="1"/>
    </xf>
    <xf numFmtId="3" fontId="0" fillId="0" borderId="3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 wrapText="1"/>
    </xf>
    <xf numFmtId="3" fontId="9" fillId="0" borderId="98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/>
    </xf>
    <xf numFmtId="3" fontId="0" fillId="0" borderId="86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0" fontId="6" fillId="2" borderId="51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3" fontId="0" fillId="2" borderId="11" xfId="0" applyNumberFormat="1" applyFont="1" applyFill="1" applyBorder="1" applyAlignment="1">
      <alignment/>
    </xf>
    <xf numFmtId="0" fontId="6" fillId="0" borderId="26" xfId="0" applyFont="1" applyBorder="1" applyAlignment="1">
      <alignment wrapText="1"/>
    </xf>
    <xf numFmtId="3" fontId="0" fillId="0" borderId="36" xfId="0" applyNumberFormat="1" applyFont="1" applyFill="1" applyBorder="1" applyAlignment="1">
      <alignment vertical="center" wrapText="1"/>
    </xf>
    <xf numFmtId="3" fontId="0" fillId="0" borderId="99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0" fillId="0" borderId="94" xfId="0" applyNumberFormat="1" applyFont="1" applyFill="1" applyBorder="1" applyAlignment="1">
      <alignment vertical="center"/>
    </xf>
    <xf numFmtId="3" fontId="1" fillId="0" borderId="58" xfId="0" applyNumberFormat="1" applyFont="1" applyFill="1" applyBorder="1" applyAlignment="1">
      <alignment vertical="center"/>
    </xf>
    <xf numFmtId="1" fontId="0" fillId="0" borderId="86" xfId="0" applyNumberFormat="1" applyFont="1" applyFill="1" applyBorder="1" applyAlignment="1">
      <alignment vertical="center" wrapText="1"/>
    </xf>
    <xf numFmtId="0" fontId="0" fillId="0" borderId="86" xfId="0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 wrapText="1"/>
    </xf>
    <xf numFmtId="3" fontId="0" fillId="0" borderId="88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1" fillId="0" borderId="56" xfId="0" applyNumberFormat="1" applyFont="1" applyFill="1" applyBorder="1" applyAlignment="1">
      <alignment vertical="center"/>
    </xf>
    <xf numFmtId="3" fontId="6" fillId="0" borderId="78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6" fillId="0" borderId="79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3" fontId="0" fillId="0" borderId="7" xfId="15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9" fillId="0" borderId="101" xfId="0" applyNumberFormat="1" applyFont="1" applyFill="1" applyBorder="1" applyAlignment="1">
      <alignment vertical="center"/>
    </xf>
    <xf numFmtId="1" fontId="0" fillId="0" borderId="33" xfId="0" applyNumberFormat="1" applyFont="1" applyFill="1" applyBorder="1" applyAlignment="1">
      <alignment vertical="center" wrapText="1"/>
    </xf>
    <xf numFmtId="3" fontId="7" fillId="0" borderId="102" xfId="0" applyNumberFormat="1" applyFont="1" applyFill="1" applyBorder="1" applyAlignment="1">
      <alignment vertical="center"/>
    </xf>
    <xf numFmtId="3" fontId="0" fillId="5" borderId="36" xfId="0" applyNumberFormat="1" applyFont="1" applyFill="1" applyBorder="1" applyAlignment="1">
      <alignment vertical="center" wrapText="1"/>
    </xf>
    <xf numFmtId="3" fontId="7" fillId="0" borderId="7" xfId="19" applyNumberFormat="1" applyFont="1" applyBorder="1" applyAlignment="1">
      <alignment vertical="center"/>
      <protection/>
    </xf>
    <xf numFmtId="3" fontId="49" fillId="0" borderId="7" xfId="18" applyNumberFormat="1" applyFont="1" applyBorder="1" applyAlignment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0" fillId="5" borderId="94" xfId="0" applyNumberFormat="1" applyFont="1" applyFill="1" applyBorder="1" applyAlignment="1">
      <alignment vertical="center" wrapText="1"/>
    </xf>
    <xf numFmtId="3" fontId="0" fillId="5" borderId="36" xfId="0" applyNumberFormat="1" applyFont="1" applyFill="1" applyBorder="1" applyAlignment="1">
      <alignment vertical="center" wrapText="1"/>
    </xf>
    <xf numFmtId="3" fontId="46" fillId="0" borderId="6" xfId="20" applyNumberFormat="1" applyFont="1" applyBorder="1" applyAlignment="1">
      <alignment horizontal="right"/>
      <protection/>
    </xf>
    <xf numFmtId="0" fontId="24" fillId="0" borderId="0" xfId="20" applyFont="1" applyAlignment="1">
      <alignment horizontal="center"/>
      <protection/>
    </xf>
    <xf numFmtId="0" fontId="24" fillId="0" borderId="7" xfId="20" applyFont="1" applyBorder="1" applyAlignment="1">
      <alignment horizontal="center"/>
      <protection/>
    </xf>
    <xf numFmtId="3" fontId="24" fillId="0" borderId="7" xfId="20" applyNumberFormat="1" applyFont="1" applyBorder="1">
      <alignment/>
      <protection/>
    </xf>
    <xf numFmtId="3" fontId="24" fillId="0" borderId="4" xfId="20" applyNumberFormat="1" applyFont="1" applyBorder="1">
      <alignment/>
      <protection/>
    </xf>
    <xf numFmtId="0" fontId="24" fillId="0" borderId="0" xfId="20" applyFont="1">
      <alignment/>
      <protection/>
    </xf>
    <xf numFmtId="0" fontId="6" fillId="0" borderId="26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/>
    </xf>
    <xf numFmtId="1" fontId="7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7" xfId="15" applyNumberFormat="1" applyFont="1" applyFill="1" applyBorder="1" applyAlignment="1">
      <alignment vertical="center"/>
    </xf>
    <xf numFmtId="3" fontId="9" fillId="0" borderId="67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 wrapText="1"/>
    </xf>
    <xf numFmtId="0" fontId="1" fillId="2" borderId="25" xfId="0" applyFont="1" applyFill="1" applyBorder="1" applyAlignment="1">
      <alignment wrapText="1"/>
    </xf>
    <xf numFmtId="0" fontId="0" fillId="2" borderId="0" xfId="0" applyFill="1" applyAlignment="1">
      <alignment/>
    </xf>
    <xf numFmtId="3" fontId="1" fillId="2" borderId="25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1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9" fillId="0" borderId="5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3" fontId="6" fillId="2" borderId="26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wrapText="1"/>
    </xf>
    <xf numFmtId="3" fontId="6" fillId="2" borderId="0" xfId="0" applyNumberFormat="1" applyFont="1" applyFill="1" applyAlignment="1">
      <alignment/>
    </xf>
    <xf numFmtId="3" fontId="1" fillId="2" borderId="7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3" fontId="0" fillId="0" borderId="50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 wrapText="1"/>
    </xf>
    <xf numFmtId="3" fontId="6" fillId="0" borderId="3" xfId="0" applyNumberFormat="1" applyFont="1" applyFill="1" applyBorder="1" applyAlignment="1">
      <alignment wrapText="1"/>
    </xf>
    <xf numFmtId="0" fontId="6" fillId="0" borderId="81" xfId="0" applyFont="1" applyFill="1" applyBorder="1" applyAlignment="1">
      <alignment wrapText="1"/>
    </xf>
    <xf numFmtId="3" fontId="6" fillId="0" borderId="81" xfId="0" applyNumberFormat="1" applyFont="1" applyFill="1" applyBorder="1" applyAlignment="1">
      <alignment wrapText="1"/>
    </xf>
    <xf numFmtId="0" fontId="0" fillId="0" borderId="64" xfId="0" applyFont="1" applyFill="1" applyBorder="1" applyAlignment="1">
      <alignment wrapText="1"/>
    </xf>
    <xf numFmtId="3" fontId="0" fillId="0" borderId="64" xfId="0" applyNumberFormat="1" applyFont="1" applyFill="1" applyBorder="1" applyAlignment="1">
      <alignment wrapText="1"/>
    </xf>
    <xf numFmtId="3" fontId="0" fillId="0" borderId="97" xfId="0" applyNumberFormat="1" applyFont="1" applyBorder="1" applyAlignment="1">
      <alignment wrapText="1"/>
    </xf>
    <xf numFmtId="0" fontId="6" fillId="2" borderId="81" xfId="0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3" fontId="14" fillId="2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3" fontId="6" fillId="0" borderId="97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2" borderId="5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 wrapText="1"/>
    </xf>
    <xf numFmtId="3" fontId="6" fillId="0" borderId="81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3" fontId="6" fillId="3" borderId="3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wrapText="1"/>
    </xf>
    <xf numFmtId="0" fontId="0" fillId="0" borderId="4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0" borderId="81" xfId="0" applyFont="1" applyFill="1" applyBorder="1" applyAlignment="1">
      <alignment horizontal="left" wrapText="1"/>
    </xf>
    <xf numFmtId="0" fontId="0" fillId="0" borderId="97" xfId="0" applyFont="1" applyBorder="1" applyAlignment="1">
      <alignment wrapText="1"/>
    </xf>
    <xf numFmtId="0" fontId="4" fillId="2" borderId="35" xfId="0" applyFont="1" applyFill="1" applyBorder="1" applyAlignment="1">
      <alignment/>
    </xf>
    <xf numFmtId="3" fontId="4" fillId="2" borderId="35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6" fillId="2" borderId="7" xfId="0" applyNumberFormat="1" applyFont="1" applyFill="1" applyBorder="1" applyAlignment="1">
      <alignment horizontal="left"/>
    </xf>
    <xf numFmtId="0" fontId="6" fillId="2" borderId="65" xfId="0" applyFont="1" applyFill="1" applyBorder="1" applyAlignment="1">
      <alignment wrapText="1"/>
    </xf>
    <xf numFmtId="3" fontId="6" fillId="0" borderId="65" xfId="0" applyNumberFormat="1" applyFont="1" applyBorder="1" applyAlignment="1">
      <alignment/>
    </xf>
    <xf numFmtId="0" fontId="0" fillId="0" borderId="64" xfId="0" applyFont="1" applyBorder="1" applyAlignment="1">
      <alignment wrapText="1"/>
    </xf>
    <xf numFmtId="3" fontId="6" fillId="2" borderId="50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3" fontId="9" fillId="0" borderId="92" xfId="19" applyNumberFormat="1" applyFont="1" applyBorder="1" applyAlignment="1">
      <alignment vertical="center"/>
      <protection/>
    </xf>
    <xf numFmtId="3" fontId="9" fillId="0" borderId="103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vertical="center"/>
    </xf>
    <xf numFmtId="3" fontId="9" fillId="0" borderId="93" xfId="0" applyNumberFormat="1" applyFont="1" applyFill="1" applyBorder="1" applyAlignment="1">
      <alignment vertical="center"/>
    </xf>
    <xf numFmtId="3" fontId="0" fillId="0" borderId="100" xfId="0" applyNumberFormat="1" applyFont="1" applyFill="1" applyBorder="1" applyAlignment="1">
      <alignment vertical="center"/>
    </xf>
    <xf numFmtId="3" fontId="9" fillId="0" borderId="67" xfId="0" applyNumberFormat="1" applyFont="1" applyFill="1" applyBorder="1" applyAlignment="1">
      <alignment vertical="center" wrapText="1"/>
    </xf>
    <xf numFmtId="3" fontId="0" fillId="0" borderId="94" xfId="0" applyNumberFormat="1" applyFont="1" applyFill="1" applyBorder="1" applyAlignment="1">
      <alignment vertical="center" wrapText="1"/>
    </xf>
    <xf numFmtId="3" fontId="0" fillId="0" borderId="9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9" fillId="0" borderId="92" xfId="15" applyNumberFormat="1" applyFont="1" applyFill="1" applyBorder="1" applyAlignment="1">
      <alignment vertical="center"/>
    </xf>
    <xf numFmtId="3" fontId="6" fillId="0" borderId="105" xfId="0" applyNumberFormat="1" applyFont="1" applyFill="1" applyBorder="1" applyAlignment="1">
      <alignment vertical="center" wrapText="1"/>
    </xf>
    <xf numFmtId="3" fontId="25" fillId="0" borderId="97" xfId="15" applyNumberFormat="1" applyFont="1" applyFill="1" applyBorder="1" applyAlignment="1">
      <alignment vertical="center"/>
    </xf>
    <xf numFmtId="3" fontId="21" fillId="0" borderId="106" xfId="15" applyNumberFormat="1" applyFont="1" applyFill="1" applyBorder="1" applyAlignment="1">
      <alignment vertical="center"/>
    </xf>
    <xf numFmtId="3" fontId="4" fillId="0" borderId="107" xfId="0" applyNumberFormat="1" applyFont="1" applyFill="1" applyBorder="1" applyAlignment="1">
      <alignment vertical="center" wrapText="1"/>
    </xf>
    <xf numFmtId="3" fontId="21" fillId="0" borderId="50" xfId="15" applyNumberFormat="1" applyFont="1" applyFill="1" applyBorder="1" applyAlignment="1">
      <alignment vertical="center"/>
    </xf>
    <xf numFmtId="1" fontId="0" fillId="0" borderId="108" xfId="0" applyNumberFormat="1" applyFont="1" applyFill="1" applyBorder="1" applyAlignment="1">
      <alignment vertical="center" wrapText="1"/>
    </xf>
    <xf numFmtId="3" fontId="7" fillId="0" borderId="109" xfId="0" applyNumberFormat="1" applyFont="1" applyFill="1" applyBorder="1" applyAlignment="1">
      <alignment vertical="center"/>
    </xf>
    <xf numFmtId="3" fontId="21" fillId="0" borderId="110" xfId="0" applyNumberFormat="1" applyFont="1" applyFill="1" applyBorder="1" applyAlignment="1">
      <alignment vertical="center"/>
    </xf>
    <xf numFmtId="3" fontId="9" fillId="0" borderId="111" xfId="0" applyNumberFormat="1" applyFont="1" applyFill="1" applyBorder="1" applyAlignment="1">
      <alignment vertical="center"/>
    </xf>
    <xf numFmtId="3" fontId="9" fillId="0" borderId="112" xfId="0" applyNumberFormat="1" applyFont="1" applyFill="1" applyBorder="1" applyAlignment="1">
      <alignment vertical="center"/>
    </xf>
    <xf numFmtId="3" fontId="9" fillId="0" borderId="113" xfId="0" applyNumberFormat="1" applyFont="1" applyFill="1" applyBorder="1" applyAlignment="1">
      <alignment vertical="center"/>
    </xf>
    <xf numFmtId="3" fontId="0" fillId="0" borderId="114" xfId="0" applyNumberFormat="1" applyFont="1" applyFill="1" applyBorder="1" applyAlignment="1">
      <alignment vertical="center" wrapText="1"/>
    </xf>
    <xf numFmtId="3" fontId="9" fillId="0" borderId="106" xfId="0" applyNumberFormat="1" applyFont="1" applyFill="1" applyBorder="1" applyAlignment="1">
      <alignment vertical="center"/>
    </xf>
    <xf numFmtId="3" fontId="0" fillId="0" borderId="100" xfId="0" applyNumberFormat="1" applyFont="1" applyFill="1" applyBorder="1" applyAlignment="1">
      <alignment vertical="center" wrapText="1"/>
    </xf>
    <xf numFmtId="0" fontId="4" fillId="0" borderId="115" xfId="0" applyFont="1" applyFill="1" applyBorder="1" applyAlignment="1">
      <alignment vertical="center" wrapText="1"/>
    </xf>
    <xf numFmtId="3" fontId="21" fillId="0" borderId="57" xfId="0" applyNumberFormat="1" applyFont="1" applyFill="1" applyBorder="1" applyAlignment="1">
      <alignment vertical="center"/>
    </xf>
    <xf numFmtId="3" fontId="21" fillId="0" borderId="101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4" xfId="15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100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Continuous"/>
    </xf>
    <xf numFmtId="3" fontId="27" fillId="0" borderId="31" xfId="15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center"/>
    </xf>
    <xf numFmtId="3" fontId="1" fillId="0" borderId="93" xfId="0" applyNumberFormat="1" applyFont="1" applyFill="1" applyBorder="1" applyAlignment="1">
      <alignment/>
    </xf>
    <xf numFmtId="0" fontId="1" fillId="0" borderId="113" xfId="0" applyFont="1" applyFill="1" applyBorder="1" applyAlignment="1">
      <alignment horizontal="center"/>
    </xf>
    <xf numFmtId="0" fontId="1" fillId="0" borderId="103" xfId="0" applyFont="1" applyFill="1" applyBorder="1" applyAlignment="1">
      <alignment horizontal="center"/>
    </xf>
    <xf numFmtId="3" fontId="3" fillId="0" borderId="67" xfId="0" applyNumberFormat="1" applyFont="1" applyFill="1" applyBorder="1" applyAlignment="1">
      <alignment horizontal="center"/>
    </xf>
    <xf numFmtId="3" fontId="21" fillId="0" borderId="116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horizontal="right" vertical="center"/>
    </xf>
    <xf numFmtId="3" fontId="9" fillId="0" borderId="92" xfId="0" applyNumberFormat="1" applyFont="1" applyFill="1" applyBorder="1" applyAlignment="1">
      <alignment vertical="center" wrapText="1"/>
    </xf>
    <xf numFmtId="3" fontId="9" fillId="0" borderId="67" xfId="19" applyNumberFormat="1" applyFont="1" applyBorder="1" applyAlignment="1">
      <alignment vertical="center"/>
      <protection/>
    </xf>
    <xf numFmtId="3" fontId="9" fillId="0" borderId="117" xfId="19" applyNumberFormat="1" applyFont="1" applyBorder="1" applyAlignment="1">
      <alignment vertical="center"/>
      <protection/>
    </xf>
    <xf numFmtId="3" fontId="9" fillId="0" borderId="118" xfId="19" applyNumberFormat="1" applyFont="1" applyBorder="1" applyAlignment="1">
      <alignment vertical="center"/>
      <protection/>
    </xf>
    <xf numFmtId="3" fontId="9" fillId="0" borderId="93" xfId="0" applyNumberFormat="1" applyFont="1" applyFill="1" applyBorder="1" applyAlignment="1">
      <alignment vertical="center" wrapText="1"/>
    </xf>
    <xf numFmtId="3" fontId="9" fillId="0" borderId="103" xfId="15" applyNumberFormat="1" applyFont="1" applyFill="1" applyBorder="1" applyAlignment="1">
      <alignment vertical="center"/>
    </xf>
    <xf numFmtId="3" fontId="9" fillId="0" borderId="117" xfId="15" applyNumberFormat="1" applyFont="1" applyFill="1" applyBorder="1" applyAlignment="1">
      <alignment vertical="center"/>
    </xf>
    <xf numFmtId="3" fontId="21" fillId="0" borderId="101" xfId="15" applyNumberFormat="1" applyFont="1" applyFill="1" applyBorder="1" applyAlignment="1">
      <alignment vertical="center"/>
    </xf>
    <xf numFmtId="3" fontId="0" fillId="0" borderId="100" xfId="0" applyNumberFormat="1" applyFont="1" applyFill="1" applyBorder="1" applyAlignment="1">
      <alignment horizontal="left"/>
    </xf>
    <xf numFmtId="0" fontId="4" fillId="2" borderId="115" xfId="0" applyFont="1" applyFill="1" applyBorder="1" applyAlignment="1">
      <alignment wrapText="1"/>
    </xf>
    <xf numFmtId="0" fontId="4" fillId="2" borderId="119" xfId="0" applyFont="1" applyFill="1" applyBorder="1" applyAlignment="1">
      <alignment/>
    </xf>
    <xf numFmtId="0" fontId="6" fillId="2" borderId="120" xfId="0" applyFont="1" applyFill="1" applyBorder="1" applyAlignment="1">
      <alignment wrapText="1"/>
    </xf>
    <xf numFmtId="0" fontId="4" fillId="0" borderId="119" xfId="0" applyFont="1" applyBorder="1" applyAlignment="1">
      <alignment wrapText="1"/>
    </xf>
    <xf numFmtId="0" fontId="4" fillId="2" borderId="119" xfId="0" applyFont="1" applyFill="1" applyBorder="1" applyAlignment="1">
      <alignment vertical="center"/>
    </xf>
    <xf numFmtId="0" fontId="6" fillId="2" borderId="120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0" fontId="17" fillId="2" borderId="38" xfId="0" applyFont="1" applyFill="1" applyBorder="1" applyAlignment="1">
      <alignment wrapText="1"/>
    </xf>
    <xf numFmtId="3" fontId="17" fillId="2" borderId="38" xfId="0" applyNumberFormat="1" applyFont="1" applyFill="1" applyBorder="1" applyAlignment="1">
      <alignment/>
    </xf>
    <xf numFmtId="0" fontId="4" fillId="0" borderId="121" xfId="0" applyFont="1" applyBorder="1" applyAlignment="1">
      <alignment horizontal="left"/>
    </xf>
    <xf numFmtId="0" fontId="0" fillId="0" borderId="122" xfId="0" applyFont="1" applyBorder="1" applyAlignment="1">
      <alignment/>
    </xf>
    <xf numFmtId="0" fontId="4" fillId="0" borderId="52" xfId="0" applyFont="1" applyBorder="1" applyAlignment="1">
      <alignment wrapText="1"/>
    </xf>
    <xf numFmtId="3" fontId="4" fillId="0" borderId="52" xfId="0" applyNumberFormat="1" applyFont="1" applyBorder="1" applyAlignment="1">
      <alignment/>
    </xf>
    <xf numFmtId="10" fontId="21" fillId="0" borderId="4" xfId="0" applyNumberFormat="1" applyFont="1" applyBorder="1" applyAlignment="1">
      <alignment/>
    </xf>
    <xf numFmtId="0" fontId="18" fillId="2" borderId="3" xfId="0" applyFont="1" applyFill="1" applyBorder="1" applyAlignment="1">
      <alignment wrapText="1"/>
    </xf>
    <xf numFmtId="0" fontId="7" fillId="2" borderId="0" xfId="0" applyFont="1" applyFill="1" applyAlignment="1">
      <alignment horizontal="left"/>
    </xf>
    <xf numFmtId="3" fontId="6" fillId="0" borderId="7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0" fillId="2" borderId="7" xfId="0" applyFont="1" applyFill="1" applyBorder="1" applyAlignment="1">
      <alignment/>
    </xf>
    <xf numFmtId="0" fontId="0" fillId="2" borderId="84" xfId="0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0" fontId="1" fillId="3" borderId="38" xfId="0" applyFont="1" applyFill="1" applyBorder="1" applyAlignment="1">
      <alignment wrapText="1"/>
    </xf>
    <xf numFmtId="3" fontId="1" fillId="3" borderId="38" xfId="0" applyNumberFormat="1" applyFont="1" applyFill="1" applyBorder="1" applyAlignment="1">
      <alignment/>
    </xf>
    <xf numFmtId="3" fontId="1" fillId="3" borderId="38" xfId="0" applyNumberFormat="1" applyFont="1" applyFill="1" applyBorder="1" applyAlignment="1">
      <alignment wrapText="1"/>
    </xf>
    <xf numFmtId="0" fontId="0" fillId="2" borderId="84" xfId="0" applyFont="1" applyFill="1" applyBorder="1" applyAlignment="1">
      <alignment horizontal="left" wrapText="1"/>
    </xf>
    <xf numFmtId="3" fontId="0" fillId="3" borderId="7" xfId="0" applyNumberFormat="1" applyFont="1" applyFill="1" applyBorder="1" applyAlignment="1">
      <alignment wrapText="1"/>
    </xf>
    <xf numFmtId="0" fontId="1" fillId="3" borderId="72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0" fillId="0" borderId="64" xfId="0" applyFont="1" applyBorder="1" applyAlignment="1">
      <alignment wrapText="1"/>
    </xf>
    <xf numFmtId="3" fontId="0" fillId="0" borderId="3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wrapText="1"/>
    </xf>
    <xf numFmtId="3" fontId="6" fillId="2" borderId="4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3" fontId="6" fillId="0" borderId="89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19" xfId="0" applyFont="1" applyFill="1" applyBorder="1" applyAlignment="1">
      <alignment wrapText="1"/>
    </xf>
    <xf numFmtId="3" fontId="1" fillId="3" borderId="19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3" borderId="4" xfId="0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3" fontId="0" fillId="3" borderId="5" xfId="0" applyNumberFormat="1" applyFont="1" applyFill="1" applyBorder="1" applyAlignment="1">
      <alignment wrapText="1"/>
    </xf>
    <xf numFmtId="0" fontId="6" fillId="0" borderId="65" xfId="0" applyFont="1" applyBorder="1" applyAlignment="1">
      <alignment wrapText="1"/>
    </xf>
    <xf numFmtId="0" fontId="0" fillId="3" borderId="11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4" fillId="3" borderId="38" xfId="0" applyFont="1" applyFill="1" applyBorder="1" applyAlignment="1">
      <alignment wrapText="1"/>
    </xf>
    <xf numFmtId="3" fontId="4" fillId="3" borderId="38" xfId="0" applyNumberFormat="1" applyFont="1" applyFill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6" fillId="2" borderId="35" xfId="0" applyFont="1" applyFill="1" applyBorder="1" applyAlignment="1">
      <alignment/>
    </xf>
    <xf numFmtId="3" fontId="6" fillId="3" borderId="26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right"/>
    </xf>
    <xf numFmtId="0" fontId="1" fillId="2" borderId="14" xfId="0" applyFont="1" applyFill="1" applyBorder="1" applyAlignment="1">
      <alignment/>
    </xf>
    <xf numFmtId="0" fontId="1" fillId="2" borderId="14" xfId="0" applyFont="1" applyFill="1" applyBorder="1" applyAlignment="1">
      <alignment wrapText="1"/>
    </xf>
    <xf numFmtId="0" fontId="0" fillId="2" borderId="72" xfId="0" applyFont="1" applyFill="1" applyBorder="1" applyAlignment="1">
      <alignment horizontal="right"/>
    </xf>
    <xf numFmtId="0" fontId="1" fillId="2" borderId="16" xfId="0" applyFont="1" applyFill="1" applyBorder="1" applyAlignment="1">
      <alignment/>
    </xf>
    <xf numFmtId="0" fontId="1" fillId="2" borderId="31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7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right"/>
    </xf>
    <xf numFmtId="0" fontId="6" fillId="2" borderId="35" xfId="0" applyFont="1" applyFill="1" applyBorder="1" applyAlignment="1">
      <alignment horizontal="left" wrapText="1"/>
    </xf>
    <xf numFmtId="0" fontId="1" fillId="2" borderId="6" xfId="0" applyFont="1" applyFill="1" applyBorder="1" applyAlignment="1" quotePrefix="1">
      <alignment/>
    </xf>
    <xf numFmtId="0" fontId="1" fillId="2" borderId="19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8" xfId="0" applyFont="1" applyFill="1" applyBorder="1" applyAlignment="1">
      <alignment horizontal="left" wrapText="1"/>
    </xf>
    <xf numFmtId="0" fontId="1" fillId="2" borderId="4" xfId="0" applyFont="1" applyFill="1" applyBorder="1" applyAlignment="1" quotePrefix="1">
      <alignment horizontal="right"/>
    </xf>
    <xf numFmtId="0" fontId="1" fillId="2" borderId="35" xfId="0" applyFont="1" applyFill="1" applyBorder="1" applyAlignment="1">
      <alignment/>
    </xf>
    <xf numFmtId="0" fontId="1" fillId="2" borderId="35" xfId="0" applyFont="1" applyFill="1" applyBorder="1" applyAlignment="1">
      <alignment horizontal="left" wrapText="1"/>
    </xf>
    <xf numFmtId="0" fontId="0" fillId="2" borderId="74" xfId="0" applyFont="1" applyFill="1" applyBorder="1" applyAlignment="1">
      <alignment wrapText="1"/>
    </xf>
    <xf numFmtId="0" fontId="6" fillId="2" borderId="35" xfId="0" applyFont="1" applyFill="1" applyBorder="1" applyAlignment="1">
      <alignment/>
    </xf>
    <xf numFmtId="3" fontId="0" fillId="3" borderId="7" xfId="0" applyNumberFormat="1" applyFont="1" applyFill="1" applyBorder="1" applyAlignment="1">
      <alignment wrapText="1"/>
    </xf>
    <xf numFmtId="0" fontId="0" fillId="2" borderId="8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4" xfId="0" applyFont="1" applyBorder="1" applyAlignment="1">
      <alignment/>
    </xf>
    <xf numFmtId="0" fontId="1" fillId="3" borderId="7" xfId="0" applyFont="1" applyFill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right" wrapText="1"/>
    </xf>
    <xf numFmtId="3" fontId="0" fillId="0" borderId="5" xfId="0" applyNumberFormat="1" applyFont="1" applyBorder="1" applyAlignment="1">
      <alignment/>
    </xf>
    <xf numFmtId="0" fontId="6" fillId="0" borderId="4" xfId="0" applyFont="1" applyBorder="1" applyAlignment="1" quotePrefix="1">
      <alignment horizontal="right"/>
    </xf>
    <xf numFmtId="0" fontId="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 wrapText="1"/>
    </xf>
    <xf numFmtId="0" fontId="8" fillId="2" borderId="72" xfId="0" applyFont="1" applyFill="1" applyBorder="1" applyAlignment="1">
      <alignment/>
    </xf>
    <xf numFmtId="0" fontId="18" fillId="2" borderId="3" xfId="0" applyFont="1" applyFill="1" applyBorder="1" applyAlignment="1">
      <alignment horizontal="left" wrapText="1"/>
    </xf>
    <xf numFmtId="3" fontId="39" fillId="2" borderId="16" xfId="0" applyNumberFormat="1" applyFont="1" applyFill="1" applyBorder="1" applyAlignment="1">
      <alignment horizontal="right" wrapText="1"/>
    </xf>
    <xf numFmtId="0" fontId="5" fillId="2" borderId="18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3" fontId="39" fillId="2" borderId="7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7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right"/>
    </xf>
    <xf numFmtId="0" fontId="0" fillId="3" borderId="7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4" fillId="2" borderId="38" xfId="0" applyNumberFormat="1" applyFont="1" applyFill="1" applyBorder="1" applyAlignment="1">
      <alignment/>
    </xf>
    <xf numFmtId="0" fontId="6" fillId="3" borderId="7" xfId="0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10" fontId="9" fillId="0" borderId="6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4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39" fillId="2" borderId="4" xfId="0" applyNumberFormat="1" applyFont="1" applyFill="1" applyBorder="1" applyAlignment="1">
      <alignment horizontal="right"/>
    </xf>
    <xf numFmtId="0" fontId="7" fillId="0" borderId="26" xfId="0" applyFont="1" applyBorder="1" applyAlignment="1">
      <alignment wrapText="1"/>
    </xf>
    <xf numFmtId="3" fontId="21" fillId="0" borderId="9" xfId="0" applyNumberFormat="1" applyFont="1" applyBorder="1" applyAlignment="1">
      <alignment wrapText="1"/>
    </xf>
    <xf numFmtId="0" fontId="0" fillId="0" borderId="14" xfId="0" applyFont="1" applyBorder="1" applyAlignment="1">
      <alignment/>
    </xf>
    <xf numFmtId="0" fontId="0" fillId="3" borderId="14" xfId="0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wrapText="1"/>
    </xf>
    <xf numFmtId="3" fontId="6" fillId="2" borderId="3" xfId="0" applyNumberFormat="1" applyFont="1" applyFill="1" applyBorder="1" applyAlignment="1">
      <alignment/>
    </xf>
    <xf numFmtId="3" fontId="6" fillId="3" borderId="29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/>
    </xf>
    <xf numFmtId="0" fontId="6" fillId="2" borderId="7" xfId="0" applyNumberFormat="1" applyFont="1" applyFill="1" applyBorder="1" applyAlignment="1">
      <alignment/>
    </xf>
    <xf numFmtId="3" fontId="6" fillId="3" borderId="29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3" fontId="6" fillId="0" borderId="8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Continuous"/>
    </xf>
    <xf numFmtId="0" fontId="24" fillId="0" borderId="58" xfId="0" applyFont="1" applyBorder="1" applyAlignment="1">
      <alignment horizontal="center"/>
    </xf>
    <xf numFmtId="0" fontId="24" fillId="0" borderId="58" xfId="0" applyNumberFormat="1" applyFont="1" applyBorder="1" applyAlignment="1">
      <alignment horizontal="center"/>
    </xf>
    <xf numFmtId="0" fontId="24" fillId="0" borderId="58" xfId="0" applyFont="1" applyBorder="1" applyAlignment="1">
      <alignment wrapText="1"/>
    </xf>
    <xf numFmtId="0" fontId="24" fillId="0" borderId="58" xfId="0" applyFont="1" applyBorder="1" applyAlignment="1">
      <alignment/>
    </xf>
    <xf numFmtId="0" fontId="24" fillId="0" borderId="5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wrapText="1"/>
    </xf>
    <xf numFmtId="0" fontId="46" fillId="0" borderId="28" xfId="0" applyFont="1" applyBorder="1" applyAlignment="1">
      <alignment/>
    </xf>
    <xf numFmtId="0" fontId="46" fillId="0" borderId="2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7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23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1" xfId="0" applyFont="1" applyBorder="1" applyAlignment="1">
      <alignment horizontal="center"/>
    </xf>
    <xf numFmtId="0" fontId="47" fillId="0" borderId="1" xfId="0" applyNumberFormat="1" applyFont="1" applyBorder="1" applyAlignment="1">
      <alignment horizontal="center"/>
    </xf>
    <xf numFmtId="0" fontId="47" fillId="0" borderId="1" xfId="0" applyFont="1" applyBorder="1" applyAlignment="1">
      <alignment horizontal="center" wrapText="1"/>
    </xf>
    <xf numFmtId="0" fontId="47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3" fontId="52" fillId="0" borderId="3" xfId="0" applyNumberFormat="1" applyFont="1" applyBorder="1" applyAlignment="1">
      <alignment/>
    </xf>
    <xf numFmtId="0" fontId="52" fillId="0" borderId="3" xfId="0" applyNumberFormat="1" applyFont="1" applyBorder="1" applyAlignment="1">
      <alignment/>
    </xf>
    <xf numFmtId="0" fontId="52" fillId="0" borderId="59" xfId="0" applyFont="1" applyBorder="1" applyAlignment="1">
      <alignment horizontal="left" wrapText="1"/>
    </xf>
    <xf numFmtId="3" fontId="52" fillId="0" borderId="124" xfId="0" applyNumberFormat="1" applyFont="1" applyBorder="1" applyAlignment="1">
      <alignment/>
    </xf>
    <xf numFmtId="3" fontId="52" fillId="0" borderId="12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3" fontId="51" fillId="3" borderId="84" xfId="0" applyNumberFormat="1" applyFont="1" applyFill="1" applyBorder="1" applyAlignment="1">
      <alignment vertical="center"/>
    </xf>
    <xf numFmtId="0" fontId="51" fillId="3" borderId="125" xfId="0" applyNumberFormat="1" applyFont="1" applyFill="1" applyBorder="1" applyAlignment="1">
      <alignment vertical="center"/>
    </xf>
    <xf numFmtId="0" fontId="51" fillId="3" borderId="125" xfId="0" applyFont="1" applyFill="1" applyBorder="1" applyAlignment="1">
      <alignment horizontal="center"/>
    </xf>
    <xf numFmtId="3" fontId="51" fillId="3" borderId="125" xfId="0" applyNumberFormat="1" applyFont="1" applyFill="1" applyBorder="1" applyAlignment="1">
      <alignment/>
    </xf>
    <xf numFmtId="3" fontId="51" fillId="3" borderId="125" xfId="0" applyNumberFormat="1" applyFont="1" applyFill="1" applyBorder="1" applyAlignment="1">
      <alignment horizontal="right"/>
    </xf>
    <xf numFmtId="3" fontId="9" fillId="3" borderId="125" xfId="0" applyNumberFormat="1" applyFont="1" applyFill="1" applyBorder="1" applyAlignment="1">
      <alignment horizontal="right"/>
    </xf>
    <xf numFmtId="3" fontId="51" fillId="3" borderId="79" xfId="0" applyNumberFormat="1" applyFont="1" applyFill="1" applyBorder="1" applyAlignment="1">
      <alignment horizontal="right"/>
    </xf>
    <xf numFmtId="3" fontId="24" fillId="0" borderId="3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/>
    </xf>
    <xf numFmtId="3" fontId="24" fillId="0" borderId="3" xfId="0" applyNumberFormat="1" applyFont="1" applyBorder="1" applyAlignment="1">
      <alignment horizontal="right" vertical="center"/>
    </xf>
    <xf numFmtId="3" fontId="24" fillId="0" borderId="23" xfId="0" applyNumberFormat="1" applyFont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3" fontId="24" fillId="0" borderId="4" xfId="0" applyNumberFormat="1" applyFont="1" applyBorder="1" applyAlignment="1">
      <alignment horizontal="right" vertical="center"/>
    </xf>
    <xf numFmtId="3" fontId="24" fillId="0" borderId="78" xfId="0" applyNumberFormat="1" applyFont="1" applyBorder="1" applyAlignment="1">
      <alignment vertical="center"/>
    </xf>
    <xf numFmtId="3" fontId="45" fillId="2" borderId="3" xfId="0" applyNumberFormat="1" applyFont="1" applyFill="1" applyBorder="1" applyAlignment="1" quotePrefix="1">
      <alignment horizontal="right"/>
    </xf>
    <xf numFmtId="0" fontId="45" fillId="2" borderId="3" xfId="0" applyNumberFormat="1" applyFont="1" applyFill="1" applyBorder="1" applyAlignment="1">
      <alignment/>
    </xf>
    <xf numFmtId="3" fontId="52" fillId="2" borderId="7" xfId="0" applyNumberFormat="1" applyFont="1" applyFill="1" applyBorder="1" applyAlignment="1">
      <alignment/>
    </xf>
    <xf numFmtId="3" fontId="52" fillId="2" borderId="7" xfId="0" applyNumberFormat="1" applyFont="1" applyFill="1" applyBorder="1" applyAlignment="1">
      <alignment horizontal="center" vertical="center" wrapText="1"/>
    </xf>
    <xf numFmtId="3" fontId="52" fillId="2" borderId="4" xfId="0" applyNumberFormat="1" applyFont="1" applyFill="1" applyBorder="1" applyAlignment="1">
      <alignment/>
    </xf>
    <xf numFmtId="0" fontId="45" fillId="0" borderId="0" xfId="0" applyFont="1" applyAlignment="1">
      <alignment/>
    </xf>
    <xf numFmtId="3" fontId="45" fillId="2" borderId="4" xfId="0" applyNumberFormat="1" applyFont="1" applyFill="1" applyBorder="1" applyAlignment="1" quotePrefix="1">
      <alignment horizontal="right"/>
    </xf>
    <xf numFmtId="0" fontId="45" fillId="2" borderId="4" xfId="0" applyNumberFormat="1" applyFont="1" applyFill="1" applyBorder="1" applyAlignment="1">
      <alignment/>
    </xf>
    <xf numFmtId="3" fontId="46" fillId="2" borderId="7" xfId="0" applyNumberFormat="1" applyFont="1" applyFill="1" applyBorder="1" applyAlignment="1">
      <alignment horizontal="right"/>
    </xf>
    <xf numFmtId="0" fontId="46" fillId="2" borderId="7" xfId="0" applyNumberFormat="1" applyFont="1" applyFill="1" applyBorder="1" applyAlignment="1">
      <alignment horizontal="right"/>
    </xf>
    <xf numFmtId="0" fontId="51" fillId="2" borderId="84" xfId="0" applyFont="1" applyFill="1" applyBorder="1" applyAlignment="1">
      <alignment horizontal="center" wrapText="1"/>
    </xf>
    <xf numFmtId="3" fontId="51" fillId="2" borderId="7" xfId="0" applyNumberFormat="1" applyFont="1" applyFill="1" applyBorder="1" applyAlignment="1">
      <alignment horizontal="right"/>
    </xf>
    <xf numFmtId="3" fontId="51" fillId="2" borderId="4" xfId="0" applyNumberFormat="1" applyFont="1" applyFill="1" applyBorder="1" applyAlignment="1">
      <alignment horizontal="right"/>
    </xf>
    <xf numFmtId="3" fontId="46" fillId="2" borderId="1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/>
    </xf>
    <xf numFmtId="0" fontId="46" fillId="2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3" fontId="3" fillId="0" borderId="64" xfId="0" applyNumberFormat="1" applyFont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wrapText="1"/>
    </xf>
    <xf numFmtId="0" fontId="6" fillId="2" borderId="26" xfId="0" applyFont="1" applyFill="1" applyBorder="1" applyAlignment="1">
      <alignment/>
    </xf>
    <xf numFmtId="0" fontId="45" fillId="0" borderId="58" xfId="0" applyFont="1" applyBorder="1" applyAlignment="1">
      <alignment/>
    </xf>
    <xf numFmtId="0" fontId="6" fillId="0" borderId="4" xfId="0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0" fontId="1" fillId="3" borderId="15" xfId="0" applyFont="1" applyFill="1" applyBorder="1" applyAlignment="1">
      <alignment wrapText="1"/>
    </xf>
    <xf numFmtId="3" fontId="1" fillId="3" borderId="1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2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65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3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3" fontId="6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6" fillId="0" borderId="29" xfId="0" applyFont="1" applyFill="1" applyBorder="1" applyAlignment="1">
      <alignment wrapText="1"/>
    </xf>
    <xf numFmtId="3" fontId="6" fillId="0" borderId="29" xfId="0" applyNumberFormat="1" applyFont="1" applyFill="1" applyBorder="1" applyAlignment="1">
      <alignment wrapText="1"/>
    </xf>
    <xf numFmtId="3" fontId="6" fillId="0" borderId="51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3" fontId="0" fillId="0" borderId="97" xfId="0" applyNumberFormat="1" applyFont="1" applyBorder="1" applyAlignment="1">
      <alignment wrapText="1"/>
    </xf>
    <xf numFmtId="0" fontId="6" fillId="2" borderId="29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1" fillId="2" borderId="4" xfId="0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28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3" fillId="0" borderId="3" xfId="0" applyFont="1" applyBorder="1" applyAlignment="1">
      <alignment horizontal="center" wrapText="1"/>
    </xf>
    <xf numFmtId="3" fontId="6" fillId="2" borderId="0" xfId="0" applyNumberFormat="1" applyFont="1" applyFill="1" applyAlignment="1">
      <alignment/>
    </xf>
    <xf numFmtId="0" fontId="6" fillId="0" borderId="82" xfId="0" applyFont="1" applyFill="1" applyBorder="1" applyAlignment="1">
      <alignment horizontal="left" wrapText="1"/>
    </xf>
    <xf numFmtId="0" fontId="0" fillId="0" borderId="65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2" fontId="8" fillId="2" borderId="16" xfId="0" applyNumberFormat="1" applyFont="1" applyFill="1" applyBorder="1" applyAlignment="1">
      <alignment wrapText="1"/>
    </xf>
    <xf numFmtId="3" fontId="12" fillId="0" borderId="16" xfId="15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9" fillId="0" borderId="9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7" fillId="0" borderId="12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" fontId="21" fillId="0" borderId="3" xfId="0" applyNumberFormat="1" applyFont="1" applyBorder="1" applyAlignment="1">
      <alignment/>
    </xf>
    <xf numFmtId="3" fontId="21" fillId="0" borderId="3" xfId="0" applyNumberFormat="1" applyFont="1" applyBorder="1" applyAlignment="1">
      <alignment wrapText="1"/>
    </xf>
    <xf numFmtId="3" fontId="21" fillId="0" borderId="23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9" fillId="0" borderId="80" xfId="0" applyNumberFormat="1" applyFont="1" applyBorder="1" applyAlignment="1">
      <alignment/>
    </xf>
    <xf numFmtId="0" fontId="7" fillId="0" borderId="89" xfId="0" applyFont="1" applyFill="1" applyBorder="1" applyAlignment="1">
      <alignment wrapText="1"/>
    </xf>
    <xf numFmtId="1" fontId="54" fillId="0" borderId="0" xfId="0" applyNumberFormat="1" applyFont="1" applyAlignment="1">
      <alignment/>
    </xf>
    <xf numFmtId="0" fontId="4" fillId="3" borderId="7" xfId="0" applyFont="1" applyFill="1" applyBorder="1" applyAlignment="1">
      <alignment wrapText="1"/>
    </xf>
    <xf numFmtId="3" fontId="43" fillId="3" borderId="7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/>
    </xf>
    <xf numFmtId="0" fontId="0" fillId="0" borderId="7" xfId="0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7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3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" fillId="0" borderId="89" xfId="0" applyFont="1" applyFill="1" applyBorder="1" applyAlignment="1">
      <alignment wrapText="1"/>
    </xf>
    <xf numFmtId="0" fontId="0" fillId="0" borderId="64" xfId="0" applyFont="1" applyBorder="1" applyAlignment="1">
      <alignment wrapText="1"/>
    </xf>
    <xf numFmtId="3" fontId="1" fillId="0" borderId="26" xfId="0" applyNumberFormat="1" applyFont="1" applyFill="1" applyBorder="1" applyAlignment="1">
      <alignment/>
    </xf>
    <xf numFmtId="0" fontId="25" fillId="2" borderId="3" xfId="0" applyFont="1" applyFill="1" applyBorder="1" applyAlignment="1">
      <alignment wrapText="1"/>
    </xf>
    <xf numFmtId="0" fontId="0" fillId="0" borderId="84" xfId="0" applyFont="1" applyFill="1" applyBorder="1" applyAlignment="1">
      <alignment/>
    </xf>
    <xf numFmtId="0" fontId="0" fillId="2" borderId="126" xfId="0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0" fontId="6" fillId="3" borderId="65" xfId="0" applyFont="1" applyFill="1" applyBorder="1" applyAlignment="1">
      <alignment horizontal="left" wrapText="1"/>
    </xf>
    <xf numFmtId="3" fontId="6" fillId="2" borderId="65" xfId="0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1" fillId="2" borderId="19" xfId="0" applyFont="1" applyFill="1" applyBorder="1" applyAlignment="1">
      <alignment wrapText="1"/>
    </xf>
    <xf numFmtId="3" fontId="1" fillId="2" borderId="19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3" fontId="0" fillId="2" borderId="7" xfId="0" applyNumberFormat="1" applyFont="1" applyFill="1" applyBorder="1" applyAlignment="1">
      <alignment/>
    </xf>
    <xf numFmtId="0" fontId="1" fillId="2" borderId="72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vertical="center"/>
    </xf>
    <xf numFmtId="0" fontId="0" fillId="0" borderId="123" xfId="0" applyFont="1" applyFill="1" applyBorder="1" applyAlignment="1">
      <alignment vertical="center"/>
    </xf>
    <xf numFmtId="0" fontId="1" fillId="0" borderId="132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9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6" fillId="0" borderId="7" xfId="20" applyFont="1" applyBorder="1" applyAlignment="1">
      <alignment horizontal="center" vertical="center" wrapText="1"/>
      <protection/>
    </xf>
    <xf numFmtId="0" fontId="46" fillId="0" borderId="95" xfId="20" applyFont="1" applyBorder="1" applyAlignment="1">
      <alignment horizontal="center"/>
      <protection/>
    </xf>
    <xf numFmtId="0" fontId="46" fillId="0" borderId="96" xfId="20" applyFont="1" applyBorder="1" applyAlignment="1">
      <alignment horizontal="center"/>
      <protection/>
    </xf>
    <xf numFmtId="0" fontId="24" fillId="0" borderId="7" xfId="20" applyFont="1" applyBorder="1" applyAlignment="1">
      <alignment horizontal="center" vertical="center" wrapText="1"/>
      <protection/>
    </xf>
    <xf numFmtId="0" fontId="46" fillId="0" borderId="11" xfId="20" applyFont="1" applyBorder="1" applyAlignment="1">
      <alignment horizontal="center" vertical="center" wrapText="1"/>
      <protection/>
    </xf>
    <xf numFmtId="0" fontId="46" fillId="0" borderId="3" xfId="20" applyFont="1" applyBorder="1" applyAlignment="1">
      <alignment horizontal="center" vertical="center" wrapText="1"/>
      <protection/>
    </xf>
    <xf numFmtId="0" fontId="46" fillId="0" borderId="4" xfId="20" applyFont="1" applyBorder="1" applyAlignment="1">
      <alignment horizontal="center" vertical="center" wrapText="1"/>
      <protection/>
    </xf>
    <xf numFmtId="0" fontId="46" fillId="0" borderId="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42" xfId="0" applyBorder="1" applyAlignment="1">
      <alignment/>
    </xf>
    <xf numFmtId="0" fontId="46" fillId="0" borderId="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25" fillId="0" borderId="0" xfId="0" applyFont="1" applyAlignment="1">
      <alignment/>
    </xf>
    <xf numFmtId="3" fontId="8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3" fontId="56" fillId="0" borderId="0" xfId="0" applyNumberFormat="1" applyFont="1" applyAlignment="1">
      <alignment/>
    </xf>
    <xf numFmtId="3" fontId="57" fillId="0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Hyperlink" xfId="17"/>
    <cellStyle name="N" xfId="18"/>
    <cellStyle name="Normalny_BT 1 80104 POPR 1" xfId="19"/>
    <cellStyle name="Normalny_ZAL9_poroz" xfId="20"/>
    <cellStyle name="Followed Hyperlink" xfId="21"/>
    <cellStyle name="Percent" xfId="22"/>
    <cellStyle name="Currency" xfId="23"/>
    <cellStyle name="Currency [0]" xfId="24"/>
  </cellStyles>
  <dxfs count="1">
    <dxf>
      <font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13</xdr:row>
      <xdr:rowOff>0</xdr:rowOff>
    </xdr:from>
    <xdr:to>
      <xdr:col>1</xdr:col>
      <xdr:colOff>438150</xdr:colOff>
      <xdr:row>13</xdr:row>
      <xdr:rowOff>0</xdr:rowOff>
    </xdr:to>
    <xdr:sp>
      <xdr:nvSpPr>
        <xdr:cNvPr id="1" name="Arc 1"/>
        <xdr:cNvSpPr>
          <a:spLocks/>
        </xdr:cNvSpPr>
      </xdr:nvSpPr>
      <xdr:spPr>
        <a:xfrm>
          <a:off x="847725" y="37719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71550" y="37719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0</xdr:rowOff>
    </xdr:from>
    <xdr:to>
      <xdr:col>1</xdr:col>
      <xdr:colOff>438150</xdr:colOff>
      <xdr:row>13</xdr:row>
      <xdr:rowOff>0</xdr:rowOff>
    </xdr:to>
    <xdr:sp>
      <xdr:nvSpPr>
        <xdr:cNvPr id="3" name="Arc 3"/>
        <xdr:cNvSpPr>
          <a:spLocks/>
        </xdr:cNvSpPr>
      </xdr:nvSpPr>
      <xdr:spPr>
        <a:xfrm>
          <a:off x="847725" y="37719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4" name="Rysowanie 11"/>
        <xdr:cNvSpPr>
          <a:spLocks/>
        </xdr:cNvSpPr>
      </xdr:nvSpPr>
      <xdr:spPr>
        <a:xfrm>
          <a:off x="971550" y="37719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0</xdr:rowOff>
    </xdr:from>
    <xdr:to>
      <xdr:col>1</xdr:col>
      <xdr:colOff>438150</xdr:colOff>
      <xdr:row>13</xdr:row>
      <xdr:rowOff>0</xdr:rowOff>
    </xdr:to>
    <xdr:sp>
      <xdr:nvSpPr>
        <xdr:cNvPr id="5" name="Arc 5"/>
        <xdr:cNvSpPr>
          <a:spLocks/>
        </xdr:cNvSpPr>
      </xdr:nvSpPr>
      <xdr:spPr>
        <a:xfrm>
          <a:off x="847725" y="37719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Rysowanie 11"/>
        <xdr:cNvSpPr>
          <a:spLocks/>
        </xdr:cNvSpPr>
      </xdr:nvSpPr>
      <xdr:spPr>
        <a:xfrm>
          <a:off x="971550" y="37719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0</xdr:rowOff>
    </xdr:from>
    <xdr:to>
      <xdr:col>1</xdr:col>
      <xdr:colOff>438150</xdr:colOff>
      <xdr:row>13</xdr:row>
      <xdr:rowOff>0</xdr:rowOff>
    </xdr:to>
    <xdr:sp>
      <xdr:nvSpPr>
        <xdr:cNvPr id="7" name="Arc 7"/>
        <xdr:cNvSpPr>
          <a:spLocks/>
        </xdr:cNvSpPr>
      </xdr:nvSpPr>
      <xdr:spPr>
        <a:xfrm>
          <a:off x="847725" y="37719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8" name="Rysowanie 11"/>
        <xdr:cNvSpPr>
          <a:spLocks/>
        </xdr:cNvSpPr>
      </xdr:nvSpPr>
      <xdr:spPr>
        <a:xfrm>
          <a:off x="971550" y="37719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10</xdr:row>
      <xdr:rowOff>0</xdr:rowOff>
    </xdr:from>
    <xdr:to>
      <xdr:col>1</xdr:col>
      <xdr:colOff>447675</xdr:colOff>
      <xdr:row>10</xdr:row>
      <xdr:rowOff>0</xdr:rowOff>
    </xdr:to>
    <xdr:sp>
      <xdr:nvSpPr>
        <xdr:cNvPr id="1" name="Arc 1"/>
        <xdr:cNvSpPr>
          <a:spLocks/>
        </xdr:cNvSpPr>
      </xdr:nvSpPr>
      <xdr:spPr>
        <a:xfrm>
          <a:off x="1143000" y="26193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13</xdr:row>
      <xdr:rowOff>0</xdr:rowOff>
    </xdr:from>
    <xdr:to>
      <xdr:col>1</xdr:col>
      <xdr:colOff>438150</xdr:colOff>
      <xdr:row>13</xdr:row>
      <xdr:rowOff>0</xdr:rowOff>
    </xdr:to>
    <xdr:sp>
      <xdr:nvSpPr>
        <xdr:cNvPr id="1" name="Arc 1"/>
        <xdr:cNvSpPr>
          <a:spLocks/>
        </xdr:cNvSpPr>
      </xdr:nvSpPr>
      <xdr:spPr>
        <a:xfrm>
          <a:off x="847725" y="37719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71550" y="37719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263</xdr:row>
      <xdr:rowOff>0</xdr:rowOff>
    </xdr:from>
    <xdr:to>
      <xdr:col>1</xdr:col>
      <xdr:colOff>504825</xdr:colOff>
      <xdr:row>263</xdr:row>
      <xdr:rowOff>0</xdr:rowOff>
    </xdr:to>
    <xdr:sp>
      <xdr:nvSpPr>
        <xdr:cNvPr id="1" name="Arc 1"/>
        <xdr:cNvSpPr>
          <a:spLocks/>
        </xdr:cNvSpPr>
      </xdr:nvSpPr>
      <xdr:spPr>
        <a:xfrm>
          <a:off x="895350" y="656463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263</xdr:row>
      <xdr:rowOff>0</xdr:rowOff>
    </xdr:from>
    <xdr:to>
      <xdr:col>2</xdr:col>
      <xdr:colOff>0</xdr:colOff>
      <xdr:row>263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895350" y="656463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263</xdr:row>
      <xdr:rowOff>0</xdr:rowOff>
    </xdr:from>
    <xdr:to>
      <xdr:col>1</xdr:col>
      <xdr:colOff>504825</xdr:colOff>
      <xdr:row>263</xdr:row>
      <xdr:rowOff>0</xdr:rowOff>
    </xdr:to>
    <xdr:sp>
      <xdr:nvSpPr>
        <xdr:cNvPr id="3" name="Arc 3"/>
        <xdr:cNvSpPr>
          <a:spLocks/>
        </xdr:cNvSpPr>
      </xdr:nvSpPr>
      <xdr:spPr>
        <a:xfrm>
          <a:off x="895350" y="656463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263</xdr:row>
      <xdr:rowOff>0</xdr:rowOff>
    </xdr:from>
    <xdr:to>
      <xdr:col>2</xdr:col>
      <xdr:colOff>0</xdr:colOff>
      <xdr:row>263</xdr:row>
      <xdr:rowOff>0</xdr:rowOff>
    </xdr:to>
    <xdr:sp>
      <xdr:nvSpPr>
        <xdr:cNvPr id="4" name="Rysowanie 11"/>
        <xdr:cNvSpPr>
          <a:spLocks/>
        </xdr:cNvSpPr>
      </xdr:nvSpPr>
      <xdr:spPr>
        <a:xfrm>
          <a:off x="895350" y="656463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6648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6648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6648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6648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48" name="Line 378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49" name="Line 379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0" name="Line 380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1" name="Line 381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2" name="Line 382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3" name="Line 383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4" name="Line 384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5" name="Line 385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6" name="Line 386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7" name="Line 387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8" name="Line 388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9" name="Line 389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60" name="Line 390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61" name="Line 391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62" name="Line 392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3" name="Line 393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4" name="Line 394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5" name="Line 395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6" name="Line 396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7" name="Line 397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8" name="Line 398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9" name="Line 399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0" name="Line 400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1" name="Line 401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2" name="Line 402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3" name="Line 403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4" name="Line 404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5" name="Line 405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6" name="Line 406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7" name="Line 407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378" name="Line 409"/>
        <xdr:cNvSpPr>
          <a:spLocks/>
        </xdr:cNvSpPr>
      </xdr:nvSpPr>
      <xdr:spPr>
        <a:xfrm>
          <a:off x="38100" y="140684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379" name="Line 410"/>
        <xdr:cNvSpPr>
          <a:spLocks/>
        </xdr:cNvSpPr>
      </xdr:nvSpPr>
      <xdr:spPr>
        <a:xfrm>
          <a:off x="38100" y="140684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380" name="Line 411"/>
        <xdr:cNvSpPr>
          <a:spLocks/>
        </xdr:cNvSpPr>
      </xdr:nvSpPr>
      <xdr:spPr>
        <a:xfrm>
          <a:off x="38100" y="140684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381" name="Line 412"/>
        <xdr:cNvSpPr>
          <a:spLocks/>
        </xdr:cNvSpPr>
      </xdr:nvSpPr>
      <xdr:spPr>
        <a:xfrm>
          <a:off x="38100" y="140684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2" name="Line 413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3" name="Line 414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4" name="Line 415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5" name="Line 416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6" name="Line 417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7" name="Line 418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8" name="Line 419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9" name="Line 420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0" name="Line 421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1" name="Line 422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2" name="Line 423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3" name="Line 424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4" name="Line 425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5" name="Line 426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6" name="Line 427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7" name="Line 428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8" name="Line 429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9" name="Line 430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0" name="Line 431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1" name="Line 432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2" name="Line 433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3" name="Line 434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4" name="Line 435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5" name="Line 436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6" name="Line 437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7" name="Line 438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8" name="Line 439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9" name="Line 440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0" name="Line 441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1" name="Line 442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2" name="Line 443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3" name="Line 444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4" name="Line 445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5" name="Line 446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6" name="Line 447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7" name="Line 448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8" name="Line 449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9" name="Line 450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0" name="Line 451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1" name="Line 452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2" name="Line 453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3" name="Line 454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4" name="Line 455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5" name="Line 456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6" name="Line 457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7" name="Line 458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28" name="Line 459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29" name="Line 460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0" name="Line 461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1" name="Line 462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2" name="Line 463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3" name="Line 464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4" name="Line 465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5" name="Line 466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6" name="Line 467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7" name="Line 468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8" name="Line 469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9" name="Line 470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0" name="Line 471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1" name="Line 472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2" name="Line 473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3" name="Line 474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4" name="Line 475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5" name="Line 476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6" name="Line 477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7" name="Line 478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8" name="Line 479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9" name="Line 480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0" name="Line 481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1" name="Line 482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2" name="Line 483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3" name="Line 484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4" name="Line 485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5" name="Line 486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6" name="Line 487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7" name="Line 488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58" name="Line 489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59" name="Line 490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60" name="Line 491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61" name="Line 492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62" name="Line 493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63" name="Line 494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18</xdr:row>
      <xdr:rowOff>0</xdr:rowOff>
    </xdr:from>
    <xdr:to>
      <xdr:col>1</xdr:col>
      <xdr:colOff>523875</xdr:colOff>
      <xdr:row>18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45624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95375" y="45624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3"/>
  <sheetViews>
    <sheetView zoomScale="85" zoomScaleNormal="85" workbookViewId="0" topLeftCell="A28">
      <selection activeCell="E43" sqref="E43:E44"/>
    </sheetView>
  </sheetViews>
  <sheetFormatPr defaultColWidth="9.00390625" defaultRowHeight="12.75"/>
  <cols>
    <col min="1" max="1" width="6.75390625" style="0" customWidth="1"/>
    <col min="2" max="2" width="8.625" style="0" customWidth="1"/>
    <col min="3" max="3" width="76.875" style="0" customWidth="1"/>
    <col min="4" max="4" width="22.125" style="0" customWidth="1"/>
    <col min="5" max="5" width="17.00390625" style="0" customWidth="1"/>
    <col min="6" max="6" width="20.875" style="0" customWidth="1"/>
    <col min="7" max="7" width="5.00390625" style="0" customWidth="1"/>
    <col min="8" max="8" width="5.875" style="0" customWidth="1"/>
    <col min="9" max="9" width="10.125" style="0" customWidth="1"/>
  </cols>
  <sheetData>
    <row r="1" ht="15" customHeight="1">
      <c r="F1" t="s">
        <v>561</v>
      </c>
    </row>
    <row r="2" ht="15" customHeight="1">
      <c r="F2" t="s">
        <v>163</v>
      </c>
    </row>
    <row r="3" spans="1:6" ht="15" customHeight="1">
      <c r="A3" s="8" t="s">
        <v>607</v>
      </c>
      <c r="B3" s="8"/>
      <c r="F3" t="s">
        <v>272</v>
      </c>
    </row>
    <row r="4" ht="15" customHeight="1">
      <c r="F4" t="s">
        <v>356</v>
      </c>
    </row>
    <row r="6" ht="13.5" thickBot="1">
      <c r="F6" s="20" t="s">
        <v>184</v>
      </c>
    </row>
    <row r="7" spans="1:11" s="2" customFormat="1" ht="69.75" customHeight="1" thickBot="1" thickTop="1">
      <c r="A7" s="18" t="s">
        <v>179</v>
      </c>
      <c r="B7" s="174" t="s">
        <v>180</v>
      </c>
      <c r="C7" s="19" t="s">
        <v>185</v>
      </c>
      <c r="D7" s="9" t="s">
        <v>310</v>
      </c>
      <c r="E7" s="9" t="s">
        <v>187</v>
      </c>
      <c r="F7" s="9" t="s">
        <v>188</v>
      </c>
      <c r="G7" s="1"/>
      <c r="H7" s="1"/>
      <c r="I7" s="1"/>
      <c r="J7" s="1"/>
      <c r="K7" s="1"/>
    </row>
    <row r="8" spans="1:11" s="7" customFormat="1" ht="16.5" customHeight="1" thickBot="1" thickTop="1">
      <c r="A8" s="3">
        <v>1</v>
      </c>
      <c r="B8" s="3">
        <v>2</v>
      </c>
      <c r="C8" s="4">
        <v>3</v>
      </c>
      <c r="D8" s="5">
        <v>4</v>
      </c>
      <c r="E8" s="5">
        <v>5</v>
      </c>
      <c r="F8" s="5">
        <v>6</v>
      </c>
      <c r="G8" s="6"/>
      <c r="H8" s="6"/>
      <c r="I8" s="6"/>
      <c r="J8" s="6"/>
      <c r="K8" s="6"/>
    </row>
    <row r="9" spans="1:11" s="2" customFormat="1" ht="21" customHeight="1" thickBot="1" thickTop="1">
      <c r="A9" s="605"/>
      <c r="B9" s="605"/>
      <c r="C9" s="606" t="s">
        <v>181</v>
      </c>
      <c r="D9" s="607">
        <v>968319038</v>
      </c>
      <c r="E9" s="607">
        <f>E11+E23</f>
        <v>1236426</v>
      </c>
      <c r="F9" s="607">
        <f>D9+E9</f>
        <v>969555464</v>
      </c>
      <c r="G9" s="1"/>
      <c r="H9" s="1"/>
      <c r="I9" s="17"/>
      <c r="J9" s="1"/>
      <c r="K9" s="1"/>
    </row>
    <row r="10" spans="1:11" s="2" customFormat="1" ht="15" customHeight="1">
      <c r="A10" s="609"/>
      <c r="B10" s="609"/>
      <c r="C10" s="610" t="s">
        <v>182</v>
      </c>
      <c r="D10" s="611"/>
      <c r="E10" s="611"/>
      <c r="F10" s="611"/>
      <c r="G10" s="17"/>
      <c r="H10" s="1"/>
      <c r="I10" s="17"/>
      <c r="J10" s="1"/>
      <c r="K10" s="1"/>
    </row>
    <row r="11" spans="1:11" s="2" customFormat="1" ht="15" customHeight="1" thickBot="1">
      <c r="A11" s="612"/>
      <c r="B11" s="612"/>
      <c r="C11" s="613" t="s">
        <v>39</v>
      </c>
      <c r="D11" s="614">
        <v>685614709</v>
      </c>
      <c r="E11" s="614">
        <f>E12+E13+E14+E18+E19</f>
        <v>33297</v>
      </c>
      <c r="F11" s="614">
        <f>D11+E11</f>
        <v>685648006</v>
      </c>
      <c r="G11" s="1"/>
      <c r="H11" s="1"/>
      <c r="I11" s="17"/>
      <c r="J11" s="1"/>
      <c r="K11" s="1"/>
    </row>
    <row r="12" spans="1:9" ht="21" customHeight="1" thickBot="1">
      <c r="A12" s="609"/>
      <c r="B12" s="609"/>
      <c r="C12" s="615" t="s">
        <v>183</v>
      </c>
      <c r="D12" s="616">
        <v>449333899</v>
      </c>
      <c r="E12" s="616"/>
      <c r="F12" s="616">
        <f>D12+E12</f>
        <v>449333899</v>
      </c>
      <c r="I12" s="17"/>
    </row>
    <row r="13" spans="1:9" ht="21" customHeight="1" thickBot="1" thickTop="1">
      <c r="A13" s="567"/>
      <c r="B13" s="567"/>
      <c r="C13" s="615" t="s">
        <v>194</v>
      </c>
      <c r="D13" s="617">
        <v>115171669</v>
      </c>
      <c r="E13" s="617"/>
      <c r="F13" s="617">
        <f>D13+E13</f>
        <v>115171669</v>
      </c>
      <c r="I13" s="17"/>
    </row>
    <row r="14" spans="1:9" ht="21" customHeight="1" thickBot="1" thickTop="1">
      <c r="A14" s="618"/>
      <c r="B14" s="618"/>
      <c r="C14" s="619" t="s">
        <v>190</v>
      </c>
      <c r="D14" s="620">
        <v>31600040</v>
      </c>
      <c r="E14" s="621">
        <f>E15</f>
        <v>9697</v>
      </c>
      <c r="F14" s="621">
        <f aca="true" t="shared" si="0" ref="F14:F41">D14+E14</f>
        <v>31609737</v>
      </c>
      <c r="I14" s="17"/>
    </row>
    <row r="15" spans="1:9" ht="21" customHeight="1" thickBot="1" thickTop="1">
      <c r="A15" s="736">
        <v>801</v>
      </c>
      <c r="B15" s="736"/>
      <c r="C15" s="1244" t="s">
        <v>395</v>
      </c>
      <c r="D15" s="1245">
        <v>2106419</v>
      </c>
      <c r="E15" s="566">
        <f>E16</f>
        <v>9697</v>
      </c>
      <c r="F15" s="566">
        <f t="shared" si="0"/>
        <v>2116116</v>
      </c>
      <c r="I15" s="17"/>
    </row>
    <row r="16" spans="1:6" ht="19.5" customHeight="1">
      <c r="A16" s="1225"/>
      <c r="B16" s="568">
        <v>80195</v>
      </c>
      <c r="C16" s="1248" t="s">
        <v>401</v>
      </c>
      <c r="D16" s="1249"/>
      <c r="E16" s="570">
        <f>E17</f>
        <v>9697</v>
      </c>
      <c r="F16" s="570">
        <f t="shared" si="0"/>
        <v>9697</v>
      </c>
    </row>
    <row r="17" spans="1:6" ht="25.5">
      <c r="A17" s="609"/>
      <c r="B17" s="609"/>
      <c r="C17" s="1305" t="s">
        <v>371</v>
      </c>
      <c r="D17" s="1303"/>
      <c r="E17" s="1284">
        <v>9697</v>
      </c>
      <c r="F17" s="1284">
        <f t="shared" si="0"/>
        <v>9697</v>
      </c>
    </row>
    <row r="18" spans="1:9" ht="21" customHeight="1" thickBot="1">
      <c r="A18" s="618"/>
      <c r="B18" s="618"/>
      <c r="C18" s="619" t="s">
        <v>202</v>
      </c>
      <c r="D18" s="620">
        <v>1765216</v>
      </c>
      <c r="E18" s="621"/>
      <c r="F18" s="620">
        <f t="shared" si="0"/>
        <v>1765216</v>
      </c>
      <c r="I18" s="17"/>
    </row>
    <row r="19" spans="1:9" ht="21" customHeight="1" thickBot="1" thickTop="1">
      <c r="A19" s="618"/>
      <c r="B19" s="618"/>
      <c r="C19" s="619" t="s">
        <v>158</v>
      </c>
      <c r="D19" s="620">
        <v>87743885</v>
      </c>
      <c r="E19" s="621">
        <f>E20</f>
        <v>23600</v>
      </c>
      <c r="F19" s="621">
        <f t="shared" si="0"/>
        <v>87767485</v>
      </c>
      <c r="I19" s="17"/>
    </row>
    <row r="20" spans="1:9" ht="21" customHeight="1" thickBot="1" thickTop="1">
      <c r="A20" s="736">
        <v>852</v>
      </c>
      <c r="B20" s="736"/>
      <c r="C20" s="1244" t="s">
        <v>324</v>
      </c>
      <c r="D20" s="1245">
        <v>86034552</v>
      </c>
      <c r="E20" s="566">
        <f>E21</f>
        <v>23600</v>
      </c>
      <c r="F20" s="566">
        <f t="shared" si="0"/>
        <v>86058152</v>
      </c>
      <c r="I20" s="17"/>
    </row>
    <row r="21" spans="1:6" ht="19.5" customHeight="1">
      <c r="A21" s="1225"/>
      <c r="B21" s="568">
        <v>85278</v>
      </c>
      <c r="C21" s="1248" t="s">
        <v>157</v>
      </c>
      <c r="D21" s="1249">
        <v>37552</v>
      </c>
      <c r="E21" s="570">
        <f>E22</f>
        <v>23600</v>
      </c>
      <c r="F21" s="570">
        <f t="shared" si="0"/>
        <v>61152</v>
      </c>
    </row>
    <row r="22" spans="1:6" ht="25.5">
      <c r="A22" s="609"/>
      <c r="B22" s="609"/>
      <c r="C22" s="172" t="s">
        <v>545</v>
      </c>
      <c r="D22" s="1303">
        <v>37552</v>
      </c>
      <c r="E22" s="1284">
        <v>23600</v>
      </c>
      <c r="F22" s="1284">
        <f t="shared" si="0"/>
        <v>61152</v>
      </c>
    </row>
    <row r="23" spans="1:9" ht="21" customHeight="1" thickBot="1">
      <c r="A23" s="622"/>
      <c r="B23" s="622"/>
      <c r="C23" s="623" t="s">
        <v>178</v>
      </c>
      <c r="D23" s="624">
        <v>282704329</v>
      </c>
      <c r="E23" s="624">
        <f>E24+E25+E26+E27+E31</f>
        <v>1203129</v>
      </c>
      <c r="F23" s="624">
        <f t="shared" si="0"/>
        <v>283907458</v>
      </c>
      <c r="I23" s="17"/>
    </row>
    <row r="24" spans="1:6" ht="21" customHeight="1" thickBot="1">
      <c r="A24" s="609"/>
      <c r="B24" s="609"/>
      <c r="C24" s="625" t="s">
        <v>191</v>
      </c>
      <c r="D24" s="620">
        <v>80742073</v>
      </c>
      <c r="E24" s="620"/>
      <c r="F24" s="620">
        <f t="shared" si="0"/>
        <v>80742073</v>
      </c>
    </row>
    <row r="25" spans="1:6" ht="21" customHeight="1" thickBot="1" thickTop="1">
      <c r="A25" s="567"/>
      <c r="B25" s="567"/>
      <c r="C25" s="1425" t="s">
        <v>189</v>
      </c>
      <c r="D25" s="1426">
        <v>142173147</v>
      </c>
      <c r="E25" s="1426"/>
      <c r="F25" s="1426">
        <f t="shared" si="0"/>
        <v>142173147</v>
      </c>
    </row>
    <row r="26" spans="1:6" ht="21" customHeight="1" thickBot="1" thickTop="1">
      <c r="A26" s="626"/>
      <c r="B26" s="626"/>
      <c r="C26" s="621" t="s">
        <v>190</v>
      </c>
      <c r="D26" s="620">
        <v>30789287</v>
      </c>
      <c r="E26" s="620"/>
      <c r="F26" s="620">
        <f t="shared" si="0"/>
        <v>30789287</v>
      </c>
    </row>
    <row r="27" spans="1:9" ht="21" customHeight="1" thickBot="1" thickTop="1">
      <c r="A27" s="618"/>
      <c r="B27" s="618"/>
      <c r="C27" s="619" t="s">
        <v>202</v>
      </c>
      <c r="D27" s="620">
        <v>4842415</v>
      </c>
      <c r="E27" s="621">
        <f>E28</f>
        <v>11558</v>
      </c>
      <c r="F27" s="621">
        <f t="shared" si="0"/>
        <v>4853973</v>
      </c>
      <c r="I27" s="17"/>
    </row>
    <row r="28" spans="1:9" ht="21" customHeight="1" thickBot="1" thickTop="1">
      <c r="A28" s="736">
        <v>853</v>
      </c>
      <c r="B28" s="736"/>
      <c r="C28" s="565" t="s">
        <v>389</v>
      </c>
      <c r="D28" s="566"/>
      <c r="E28" s="566">
        <f>E29</f>
        <v>11558</v>
      </c>
      <c r="F28" s="566">
        <f t="shared" si="0"/>
        <v>11558</v>
      </c>
      <c r="I28" s="17"/>
    </row>
    <row r="29" spans="1:6" ht="19.5" customHeight="1">
      <c r="A29" s="1225"/>
      <c r="B29" s="568">
        <v>85311</v>
      </c>
      <c r="C29" s="537" t="s">
        <v>216</v>
      </c>
      <c r="D29" s="570"/>
      <c r="E29" s="570">
        <f>E30</f>
        <v>11558</v>
      </c>
      <c r="F29" s="570">
        <f t="shared" si="0"/>
        <v>11558</v>
      </c>
    </row>
    <row r="30" spans="1:6" ht="25.5">
      <c r="A30" s="1306"/>
      <c r="B30" s="1306"/>
      <c r="C30" s="1307" t="s">
        <v>217</v>
      </c>
      <c r="D30" s="1284"/>
      <c r="E30" s="1284">
        <v>11558</v>
      </c>
      <c r="F30" s="1284">
        <f t="shared" si="0"/>
        <v>11558</v>
      </c>
    </row>
    <row r="31" spans="1:6" ht="21" customHeight="1" thickBot="1">
      <c r="A31" s="1289"/>
      <c r="B31" s="1289"/>
      <c r="C31" s="1220" t="s">
        <v>394</v>
      </c>
      <c r="D31" s="1221">
        <v>24157407</v>
      </c>
      <c r="E31" s="1222">
        <f>E39+E35+E32</f>
        <v>1191571</v>
      </c>
      <c r="F31" s="1222">
        <f t="shared" si="0"/>
        <v>25348978</v>
      </c>
    </row>
    <row r="32" spans="1:9" ht="21" customHeight="1" thickBot="1" thickTop="1">
      <c r="A32" s="736">
        <v>700</v>
      </c>
      <c r="B32" s="736"/>
      <c r="C32" s="1266" t="s">
        <v>161</v>
      </c>
      <c r="D32" s="566">
        <v>827500</v>
      </c>
      <c r="E32" s="566">
        <f>E33</f>
        <v>173650</v>
      </c>
      <c r="F32" s="566">
        <f t="shared" si="0"/>
        <v>1001150</v>
      </c>
      <c r="I32" s="17"/>
    </row>
    <row r="33" spans="1:6" ht="19.5" customHeight="1">
      <c r="A33" s="1225"/>
      <c r="B33" s="568">
        <v>70005</v>
      </c>
      <c r="C33" s="1269" t="s">
        <v>622</v>
      </c>
      <c r="D33" s="570">
        <v>827500</v>
      </c>
      <c r="E33" s="570">
        <f>E34</f>
        <v>173650</v>
      </c>
      <c r="F33" s="570">
        <f t="shared" si="0"/>
        <v>1001150</v>
      </c>
    </row>
    <row r="34" spans="1:6" ht="25.5">
      <c r="A34" s="609"/>
      <c r="B34" s="609"/>
      <c r="C34" s="1285" t="s">
        <v>368</v>
      </c>
      <c r="D34" s="1224">
        <v>827500</v>
      </c>
      <c r="E34" s="1284">
        <v>173650</v>
      </c>
      <c r="F34" s="1284">
        <f t="shared" si="0"/>
        <v>1001150</v>
      </c>
    </row>
    <row r="35" spans="1:6" ht="21" customHeight="1" thickBot="1">
      <c r="A35" s="736">
        <v>754</v>
      </c>
      <c r="B35" s="736"/>
      <c r="C35" s="565" t="s">
        <v>701</v>
      </c>
      <c r="D35" s="566">
        <v>13091000</v>
      </c>
      <c r="E35" s="566">
        <f>E36</f>
        <v>1010100</v>
      </c>
      <c r="F35" s="566">
        <f t="shared" si="0"/>
        <v>14101100</v>
      </c>
    </row>
    <row r="36" spans="1:6" ht="19.5" customHeight="1">
      <c r="A36" s="1225"/>
      <c r="B36" s="568">
        <v>75411</v>
      </c>
      <c r="C36" s="569" t="s">
        <v>702</v>
      </c>
      <c r="D36" s="570">
        <v>13091000</v>
      </c>
      <c r="E36" s="570">
        <f>E37+E38</f>
        <v>1010100</v>
      </c>
      <c r="F36" s="570">
        <f t="shared" si="0"/>
        <v>14101100</v>
      </c>
    </row>
    <row r="37" spans="1:6" s="430" customFormat="1" ht="25.5">
      <c r="A37" s="622"/>
      <c r="B37" s="622"/>
      <c r="C37" s="1223" t="s">
        <v>703</v>
      </c>
      <c r="D37" s="1224">
        <v>12941000</v>
      </c>
      <c r="E37" s="1224">
        <f>848000+62100</f>
        <v>910100</v>
      </c>
      <c r="F37" s="1224">
        <f t="shared" si="0"/>
        <v>13851100</v>
      </c>
    </row>
    <row r="38" spans="1:7" s="430" customFormat="1" ht="25.5">
      <c r="A38" s="609"/>
      <c r="B38" s="609"/>
      <c r="C38" s="745" t="s">
        <v>704</v>
      </c>
      <c r="D38" s="746">
        <v>150000</v>
      </c>
      <c r="E38" s="746">
        <v>100000</v>
      </c>
      <c r="F38" s="746">
        <f t="shared" si="0"/>
        <v>250000</v>
      </c>
      <c r="G38" s="1227"/>
    </row>
    <row r="39" spans="1:6" ht="21" customHeight="1" thickBot="1">
      <c r="A39" s="736">
        <v>853</v>
      </c>
      <c r="B39" s="736"/>
      <c r="C39" s="748" t="s">
        <v>389</v>
      </c>
      <c r="D39" s="749">
        <v>552850</v>
      </c>
      <c r="E39" s="749">
        <f>E40</f>
        <v>7821</v>
      </c>
      <c r="F39" s="749">
        <f t="shared" si="0"/>
        <v>560671</v>
      </c>
    </row>
    <row r="40" spans="1:6" ht="19.5" customHeight="1">
      <c r="A40" s="1225"/>
      <c r="B40" s="568">
        <v>85334</v>
      </c>
      <c r="C40" s="569" t="s">
        <v>623</v>
      </c>
      <c r="D40" s="570">
        <v>24850</v>
      </c>
      <c r="E40" s="570">
        <f>E41</f>
        <v>7821</v>
      </c>
      <c r="F40" s="570">
        <f t="shared" si="0"/>
        <v>32671</v>
      </c>
    </row>
    <row r="41" spans="1:6" ht="19.5" customHeight="1">
      <c r="A41" s="1226"/>
      <c r="B41" s="1218"/>
      <c r="C41" s="1217" t="s">
        <v>159</v>
      </c>
      <c r="D41" s="1219">
        <v>24850</v>
      </c>
      <c r="E41" s="1219">
        <f>2321+5500</f>
        <v>7821</v>
      </c>
      <c r="F41" s="1219">
        <f t="shared" si="0"/>
        <v>32671</v>
      </c>
    </row>
    <row r="42" ht="19.5" customHeight="1">
      <c r="E42" s="15"/>
    </row>
    <row r="43" spans="2:5" ht="15">
      <c r="B43" s="683" t="s">
        <v>17</v>
      </c>
      <c r="E43" s="1584" t="s">
        <v>20</v>
      </c>
    </row>
    <row r="44" spans="2:5" ht="15">
      <c r="B44" s="1583" t="s">
        <v>19</v>
      </c>
      <c r="E44" s="1585" t="s">
        <v>18</v>
      </c>
    </row>
    <row r="45" ht="12.75">
      <c r="E45" s="15"/>
    </row>
    <row r="46" ht="12.75">
      <c r="E46" s="15"/>
    </row>
    <row r="47" ht="12.75">
      <c r="E47" s="15"/>
    </row>
    <row r="48" ht="12.75">
      <c r="E48" s="15"/>
    </row>
    <row r="49" ht="12.75">
      <c r="E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  <row r="55" ht="12.75">
      <c r="E55" s="15"/>
    </row>
    <row r="56" ht="12.75">
      <c r="E56" s="15"/>
    </row>
    <row r="57" ht="12.75">
      <c r="E57" s="15"/>
    </row>
    <row r="58" ht="12.75">
      <c r="E58" s="15"/>
    </row>
    <row r="59" ht="12.75">
      <c r="E59" s="15"/>
    </row>
    <row r="60" ht="12.75">
      <c r="E60" s="15"/>
    </row>
    <row r="61" ht="12.75">
      <c r="E61" s="15"/>
    </row>
    <row r="62" ht="12.75">
      <c r="E62" s="15"/>
    </row>
    <row r="63" ht="12.75">
      <c r="E63" s="15"/>
    </row>
    <row r="64" ht="12.75">
      <c r="E64" s="15"/>
    </row>
    <row r="65" ht="12.75">
      <c r="E65" s="15"/>
    </row>
    <row r="66" ht="12.75">
      <c r="E66" s="15"/>
    </row>
    <row r="67" ht="12.75">
      <c r="E67" s="15"/>
    </row>
    <row r="68" ht="12.75">
      <c r="E68" s="15"/>
    </row>
    <row r="69" ht="12.75">
      <c r="E69" s="15"/>
    </row>
    <row r="70" ht="12.75">
      <c r="E70" s="15"/>
    </row>
    <row r="71" ht="12.75">
      <c r="E71" s="15"/>
    </row>
    <row r="72" ht="12.75">
      <c r="E72" s="15"/>
    </row>
    <row r="73" ht="12.75">
      <c r="E73" s="15"/>
    </row>
    <row r="74" ht="12.75">
      <c r="E74" s="15"/>
    </row>
    <row r="75" ht="12.75">
      <c r="E75" s="15"/>
    </row>
    <row r="76" ht="12.75">
      <c r="E76" s="15"/>
    </row>
    <row r="77" ht="12.75">
      <c r="E77" s="15"/>
    </row>
    <row r="78" ht="12.75"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  <row r="87" ht="12.75">
      <c r="E87" s="15"/>
    </row>
    <row r="88" ht="12.75">
      <c r="E88" s="15"/>
    </row>
    <row r="89" ht="12.75">
      <c r="E89" s="15"/>
    </row>
    <row r="90" ht="12.75">
      <c r="E90" s="15"/>
    </row>
    <row r="91" ht="12.75">
      <c r="E91" s="15"/>
    </row>
    <row r="92" ht="12.75">
      <c r="E92" s="15"/>
    </row>
    <row r="93" ht="12.75">
      <c r="E93" s="15"/>
    </row>
    <row r="94" ht="12.75">
      <c r="E94" s="15"/>
    </row>
    <row r="95" ht="12.75">
      <c r="E95" s="15"/>
    </row>
    <row r="96" ht="12.75">
      <c r="E96" s="15"/>
    </row>
    <row r="97" ht="12.75">
      <c r="E97" s="15"/>
    </row>
    <row r="98" ht="12.75">
      <c r="E98" s="15"/>
    </row>
    <row r="99" ht="12.75">
      <c r="E99" s="15"/>
    </row>
    <row r="100" ht="12.75">
      <c r="E100" s="15"/>
    </row>
    <row r="101" ht="12.75">
      <c r="E101" s="15"/>
    </row>
    <row r="102" ht="12.75">
      <c r="E102" s="15"/>
    </row>
    <row r="103" ht="12.75">
      <c r="E103" s="15"/>
    </row>
    <row r="104" ht="12.75">
      <c r="E104" s="15"/>
    </row>
    <row r="105" ht="12.75">
      <c r="E105" s="15"/>
    </row>
    <row r="106" ht="12.75">
      <c r="E106" s="15"/>
    </row>
    <row r="107" ht="12.75">
      <c r="E107" s="15"/>
    </row>
    <row r="108" ht="12.75">
      <c r="E108" s="15"/>
    </row>
    <row r="109" ht="12.75">
      <c r="E109" s="15"/>
    </row>
    <row r="110" ht="12.75">
      <c r="E110" s="15"/>
    </row>
    <row r="111" ht="12.75">
      <c r="E111" s="15"/>
    </row>
    <row r="112" ht="12.75">
      <c r="E112" s="15"/>
    </row>
    <row r="113" ht="12.75">
      <c r="E113" s="15"/>
    </row>
    <row r="114" ht="12.75">
      <c r="E114" s="15"/>
    </row>
    <row r="115" ht="12.75">
      <c r="E115" s="15"/>
    </row>
    <row r="116" ht="12.75">
      <c r="E116" s="15"/>
    </row>
    <row r="117" ht="12.75">
      <c r="E117" s="15"/>
    </row>
    <row r="118" ht="12.75">
      <c r="E118" s="15"/>
    </row>
    <row r="119" ht="12.75">
      <c r="E119" s="15"/>
    </row>
    <row r="120" ht="12.75">
      <c r="E120" s="15"/>
    </row>
    <row r="121" ht="12.75">
      <c r="E121" s="15"/>
    </row>
    <row r="122" ht="12.75">
      <c r="E122" s="15"/>
    </row>
    <row r="123" ht="12.75">
      <c r="E123" s="15"/>
    </row>
    <row r="124" ht="12.75">
      <c r="E124" s="15"/>
    </row>
    <row r="125" ht="12.75">
      <c r="E125" s="15"/>
    </row>
    <row r="126" ht="12.75">
      <c r="E126" s="15"/>
    </row>
    <row r="127" ht="12.75">
      <c r="E127" s="15"/>
    </row>
    <row r="128" ht="12.75">
      <c r="E128" s="15"/>
    </row>
    <row r="129" ht="12.75">
      <c r="E129" s="15"/>
    </row>
    <row r="130" ht="12.75">
      <c r="E130" s="15"/>
    </row>
    <row r="131" ht="12.75">
      <c r="E131" s="15"/>
    </row>
    <row r="132" ht="12.75">
      <c r="E132" s="15"/>
    </row>
    <row r="133" ht="12.75">
      <c r="E133" s="15"/>
    </row>
    <row r="134" ht="12.75">
      <c r="E134" s="15"/>
    </row>
    <row r="135" ht="12.75">
      <c r="E135" s="15"/>
    </row>
    <row r="136" ht="12.75">
      <c r="E136" s="15"/>
    </row>
    <row r="137" ht="12.75">
      <c r="E137" s="15"/>
    </row>
    <row r="138" ht="12.75">
      <c r="E138" s="15"/>
    </row>
    <row r="139" ht="12.75">
      <c r="E139" s="15"/>
    </row>
    <row r="140" ht="12.75">
      <c r="E140" s="15"/>
    </row>
    <row r="141" ht="12.75">
      <c r="E141" s="15"/>
    </row>
    <row r="142" ht="12.75">
      <c r="E142" s="15"/>
    </row>
    <row r="143" ht="12.75">
      <c r="E143" s="15"/>
    </row>
    <row r="144" ht="12.75">
      <c r="E144" s="15"/>
    </row>
    <row r="145" ht="12.75">
      <c r="E145" s="15"/>
    </row>
    <row r="146" ht="12.75">
      <c r="E146" s="15"/>
    </row>
    <row r="147" ht="12.75">
      <c r="E147" s="15"/>
    </row>
    <row r="148" ht="12.75">
      <c r="E148" s="15"/>
    </row>
    <row r="149" ht="12.75">
      <c r="E149" s="15"/>
    </row>
    <row r="150" ht="12.75">
      <c r="E150" s="15"/>
    </row>
    <row r="151" ht="12.75">
      <c r="E151" s="15"/>
    </row>
    <row r="152" ht="12.75">
      <c r="E152" s="15"/>
    </row>
    <row r="153" ht="12.75">
      <c r="E153" s="15"/>
    </row>
    <row r="154" ht="12.75">
      <c r="E154" s="15"/>
    </row>
    <row r="155" ht="12.75">
      <c r="E155" s="15"/>
    </row>
    <row r="156" ht="12.75">
      <c r="E156" s="15"/>
    </row>
    <row r="157" ht="12.75">
      <c r="E157" s="15"/>
    </row>
    <row r="158" ht="12.75">
      <c r="E158" s="15"/>
    </row>
    <row r="159" ht="12.75">
      <c r="E159" s="15"/>
    </row>
    <row r="160" ht="12.75">
      <c r="E160" s="15"/>
    </row>
    <row r="161" ht="12.75">
      <c r="E161" s="15"/>
    </row>
    <row r="162" ht="12.75">
      <c r="E162" s="15"/>
    </row>
    <row r="163" ht="12.75">
      <c r="E163" s="15"/>
    </row>
    <row r="164" ht="12.75">
      <c r="E164" s="15"/>
    </row>
    <row r="165" ht="12.75">
      <c r="E165" s="15"/>
    </row>
    <row r="166" ht="12.75">
      <c r="E166" s="15"/>
    </row>
    <row r="167" ht="12.75">
      <c r="E167" s="15"/>
    </row>
    <row r="168" ht="12.75">
      <c r="E168" s="15"/>
    </row>
    <row r="169" ht="12.75">
      <c r="E169" s="15"/>
    </row>
    <row r="170" ht="12.75">
      <c r="E170" s="15"/>
    </row>
    <row r="171" ht="12.75">
      <c r="E171" s="15"/>
    </row>
    <row r="172" ht="12.75">
      <c r="E172" s="15"/>
    </row>
    <row r="173" ht="12.75">
      <c r="E173" s="15"/>
    </row>
    <row r="174" ht="12.75">
      <c r="E174" s="15"/>
    </row>
    <row r="175" ht="12.75">
      <c r="E175" s="15"/>
    </row>
    <row r="176" ht="12.75">
      <c r="E176" s="15"/>
    </row>
    <row r="177" ht="12.75">
      <c r="E177" s="15"/>
    </row>
    <row r="178" ht="12.75">
      <c r="E178" s="15"/>
    </row>
    <row r="179" ht="12.75">
      <c r="E179" s="15"/>
    </row>
    <row r="180" ht="12.75">
      <c r="E180" s="15"/>
    </row>
    <row r="181" ht="12.75">
      <c r="E181" s="15"/>
    </row>
    <row r="182" ht="12.75">
      <c r="E182" s="15"/>
    </row>
    <row r="183" ht="12.75">
      <c r="E183" s="15"/>
    </row>
    <row r="184" ht="12.75">
      <c r="E184" s="15"/>
    </row>
    <row r="185" ht="12.75">
      <c r="E185" s="15"/>
    </row>
    <row r="186" ht="12.75">
      <c r="E186" s="15"/>
    </row>
    <row r="187" ht="12.75">
      <c r="E187" s="15"/>
    </row>
    <row r="188" ht="12.75">
      <c r="E188" s="15"/>
    </row>
    <row r="189" ht="12.75">
      <c r="E189" s="15"/>
    </row>
    <row r="190" ht="12.75">
      <c r="E190" s="15"/>
    </row>
    <row r="191" ht="12.75">
      <c r="E191" s="15"/>
    </row>
    <row r="192" ht="12.75">
      <c r="E192" s="15"/>
    </row>
    <row r="193" ht="12.75">
      <c r="E193" s="15"/>
    </row>
    <row r="194" ht="12.75">
      <c r="E194" s="15"/>
    </row>
    <row r="195" ht="12.75">
      <c r="E195" s="15"/>
    </row>
    <row r="196" ht="12.75">
      <c r="E196" s="15"/>
    </row>
    <row r="197" ht="12.75">
      <c r="E197" s="15"/>
    </row>
    <row r="198" ht="12.75">
      <c r="E198" s="15"/>
    </row>
    <row r="199" ht="12.75">
      <c r="E199" s="15"/>
    </row>
    <row r="200" ht="12.75">
      <c r="E200" s="15"/>
    </row>
    <row r="201" ht="12.75">
      <c r="E201" s="15"/>
    </row>
    <row r="202" ht="12.75">
      <c r="E202" s="15"/>
    </row>
    <row r="203" ht="12.75">
      <c r="E203" s="15"/>
    </row>
    <row r="204" ht="12.75">
      <c r="E204" s="15"/>
    </row>
    <row r="205" ht="12.75">
      <c r="E205" s="15"/>
    </row>
    <row r="206" ht="12.75">
      <c r="E206" s="15"/>
    </row>
    <row r="207" ht="12.75">
      <c r="E207" s="15"/>
    </row>
    <row r="208" ht="12.75">
      <c r="E208" s="15"/>
    </row>
    <row r="209" ht="12.75">
      <c r="E209" s="15"/>
    </row>
    <row r="210" ht="12.75">
      <c r="E210" s="15"/>
    </row>
    <row r="211" ht="12.75">
      <c r="E211" s="15"/>
    </row>
    <row r="212" ht="12.75">
      <c r="E212" s="15"/>
    </row>
    <row r="213" ht="12.75">
      <c r="E213" s="15"/>
    </row>
    <row r="214" ht="12.75">
      <c r="E214" s="15"/>
    </row>
    <row r="215" ht="12.75">
      <c r="E215" s="15"/>
    </row>
    <row r="216" ht="12.75">
      <c r="E216" s="15"/>
    </row>
    <row r="217" ht="12.75">
      <c r="E217" s="15"/>
    </row>
    <row r="218" ht="12.75">
      <c r="E218" s="15"/>
    </row>
    <row r="219" ht="12.75">
      <c r="E219" s="15"/>
    </row>
    <row r="220" ht="12.75">
      <c r="E220" s="15"/>
    </row>
    <row r="221" ht="12.75">
      <c r="E221" s="15"/>
    </row>
    <row r="222" ht="12.75">
      <c r="E222" s="15"/>
    </row>
    <row r="223" ht="12.75">
      <c r="E223" s="15"/>
    </row>
    <row r="224" ht="12.75">
      <c r="E224" s="15"/>
    </row>
    <row r="225" ht="12.75">
      <c r="E225" s="15"/>
    </row>
    <row r="226" ht="12.75">
      <c r="E226" s="15"/>
    </row>
    <row r="227" ht="12.75">
      <c r="E227" s="15"/>
    </row>
    <row r="228" ht="12.75">
      <c r="E228" s="15"/>
    </row>
    <row r="229" ht="12.75">
      <c r="E229" s="15"/>
    </row>
    <row r="230" ht="12.75">
      <c r="E230" s="15"/>
    </row>
    <row r="231" ht="12.75">
      <c r="E231" s="15"/>
    </row>
    <row r="232" ht="12.75">
      <c r="E232" s="15"/>
    </row>
    <row r="233" ht="12.75">
      <c r="E233" s="15"/>
    </row>
    <row r="234" ht="12.75">
      <c r="E234" s="15"/>
    </row>
    <row r="235" ht="12.75">
      <c r="E235" s="15"/>
    </row>
    <row r="236" ht="12.75">
      <c r="E236" s="15"/>
    </row>
    <row r="237" ht="12.75">
      <c r="E237" s="15"/>
    </row>
    <row r="238" ht="12.75">
      <c r="E238" s="15"/>
    </row>
    <row r="239" ht="12.75">
      <c r="E239" s="15"/>
    </row>
    <row r="240" ht="12.75">
      <c r="E240" s="15"/>
    </row>
    <row r="241" ht="12.75">
      <c r="E241" s="15"/>
    </row>
    <row r="242" ht="12.75">
      <c r="E242" s="15"/>
    </row>
    <row r="243" ht="12.75">
      <c r="E243" s="15"/>
    </row>
    <row r="244" ht="12.75">
      <c r="E244" s="15"/>
    </row>
    <row r="245" ht="12.75">
      <c r="E245" s="15"/>
    </row>
    <row r="246" ht="12.75">
      <c r="E246" s="15"/>
    </row>
    <row r="247" ht="12.75">
      <c r="E247" s="15"/>
    </row>
    <row r="248" ht="12.75">
      <c r="E248" s="15"/>
    </row>
    <row r="249" ht="12.75">
      <c r="E249" s="15"/>
    </row>
    <row r="250" ht="12.75">
      <c r="E250" s="15"/>
    </row>
    <row r="251" ht="12.75">
      <c r="E251" s="15"/>
    </row>
    <row r="252" ht="12.75">
      <c r="E252" s="15"/>
    </row>
    <row r="253" ht="12.75">
      <c r="E253" s="15"/>
    </row>
    <row r="254" ht="12.75">
      <c r="E254" s="15"/>
    </row>
    <row r="255" ht="12.75">
      <c r="E255" s="15"/>
    </row>
    <row r="256" ht="12.75">
      <c r="E256" s="15"/>
    </row>
    <row r="257" ht="12.75">
      <c r="E257" s="15"/>
    </row>
    <row r="258" ht="12.75">
      <c r="E258" s="15"/>
    </row>
    <row r="259" ht="12.75">
      <c r="E259" s="15"/>
    </row>
    <row r="260" ht="12.75">
      <c r="E260" s="15"/>
    </row>
    <row r="261" ht="12.75">
      <c r="E261" s="15"/>
    </row>
    <row r="262" ht="12.75">
      <c r="E262" s="15"/>
    </row>
    <row r="263" ht="12.75">
      <c r="E263" s="15"/>
    </row>
    <row r="264" ht="12.75">
      <c r="E264" s="15"/>
    </row>
    <row r="265" ht="12.75">
      <c r="E265" s="15"/>
    </row>
    <row r="266" ht="12.75">
      <c r="E266" s="15"/>
    </row>
    <row r="267" ht="12.75">
      <c r="E267" s="15"/>
    </row>
    <row r="268" ht="12.75">
      <c r="E268" s="15"/>
    </row>
    <row r="269" ht="12.75">
      <c r="E269" s="15"/>
    </row>
    <row r="270" ht="12.75">
      <c r="E270" s="15"/>
    </row>
    <row r="271" ht="12.75">
      <c r="E271" s="15"/>
    </row>
    <row r="272" ht="12.75">
      <c r="E272" s="15"/>
    </row>
    <row r="273" ht="12.75">
      <c r="E273" s="15"/>
    </row>
    <row r="274" ht="12.75">
      <c r="E274" s="15"/>
    </row>
    <row r="275" ht="12.75">
      <c r="E275" s="15"/>
    </row>
    <row r="276" ht="12.75">
      <c r="E276" s="15"/>
    </row>
    <row r="277" ht="12.75">
      <c r="E277" s="15"/>
    </row>
    <row r="278" ht="12.75">
      <c r="E278" s="15"/>
    </row>
    <row r="279" ht="12.75">
      <c r="E279" s="15"/>
    </row>
    <row r="280" ht="12.75">
      <c r="E280" s="15"/>
    </row>
    <row r="281" ht="12.75">
      <c r="E281" s="15"/>
    </row>
    <row r="282" ht="12.75">
      <c r="E282" s="15"/>
    </row>
    <row r="283" ht="12.75">
      <c r="E283" s="15"/>
    </row>
    <row r="284" ht="12.75">
      <c r="E284" s="15"/>
    </row>
    <row r="285" ht="12.75">
      <c r="E285" s="15"/>
    </row>
    <row r="286" ht="12.75">
      <c r="E286" s="15"/>
    </row>
    <row r="287" ht="12.75">
      <c r="E287" s="15"/>
    </row>
    <row r="288" ht="12.75">
      <c r="E288" s="15"/>
    </row>
    <row r="289" ht="12.75">
      <c r="E289" s="15"/>
    </row>
    <row r="290" ht="12.75">
      <c r="E290" s="15"/>
    </row>
    <row r="291" ht="12.75">
      <c r="E291" s="15"/>
    </row>
    <row r="292" ht="12.75">
      <c r="E292" s="15"/>
    </row>
    <row r="293" ht="12.75">
      <c r="E293" s="15"/>
    </row>
    <row r="294" ht="12.75">
      <c r="E294" s="15"/>
    </row>
    <row r="295" ht="12.75">
      <c r="E295" s="15"/>
    </row>
    <row r="296" ht="12.75">
      <c r="E296" s="15"/>
    </row>
    <row r="297" ht="12.75">
      <c r="E297" s="15"/>
    </row>
    <row r="298" ht="12.75">
      <c r="E298" s="15"/>
    </row>
    <row r="299" ht="12.75">
      <c r="E299" s="15"/>
    </row>
    <row r="300" ht="12.75">
      <c r="E300" s="15"/>
    </row>
    <row r="301" ht="12.75">
      <c r="E301" s="15"/>
    </row>
    <row r="302" ht="12.75">
      <c r="E302" s="15"/>
    </row>
    <row r="303" ht="12.75">
      <c r="E303" s="15"/>
    </row>
    <row r="304" ht="12.75">
      <c r="E304" s="15"/>
    </row>
    <row r="305" ht="12.75">
      <c r="E305" s="15"/>
    </row>
    <row r="306" ht="12.75">
      <c r="E306" s="15"/>
    </row>
    <row r="307" ht="12.75">
      <c r="E307" s="15"/>
    </row>
    <row r="308" ht="12.75">
      <c r="E308" s="15"/>
    </row>
    <row r="309" ht="12.75">
      <c r="E309" s="15"/>
    </row>
    <row r="310" ht="12.75">
      <c r="E310" s="15"/>
    </row>
    <row r="311" ht="12.75">
      <c r="E311" s="15"/>
    </row>
    <row r="312" ht="12.75">
      <c r="E312" s="15"/>
    </row>
    <row r="313" ht="12.75">
      <c r="E313" s="15"/>
    </row>
    <row r="314" ht="12.75">
      <c r="E314" s="15"/>
    </row>
    <row r="315" ht="12.75">
      <c r="E315" s="15"/>
    </row>
    <row r="316" ht="12.75">
      <c r="E316" s="15"/>
    </row>
    <row r="317" ht="12.75">
      <c r="E317" s="15"/>
    </row>
    <row r="318" ht="12.75">
      <c r="E318" s="15"/>
    </row>
    <row r="319" ht="12.75">
      <c r="E319" s="15"/>
    </row>
    <row r="320" ht="12.75">
      <c r="E320" s="15"/>
    </row>
    <row r="321" ht="12.75">
      <c r="E321" s="15"/>
    </row>
    <row r="322" ht="12.75">
      <c r="E322" s="15"/>
    </row>
    <row r="323" ht="12.75">
      <c r="E323" s="15"/>
    </row>
    <row r="324" ht="12.75">
      <c r="E324" s="15"/>
    </row>
    <row r="325" ht="12.75">
      <c r="E325" s="15"/>
    </row>
    <row r="326" ht="12.75">
      <c r="E326" s="15"/>
    </row>
    <row r="327" ht="12.75">
      <c r="E327" s="15"/>
    </row>
    <row r="328" ht="12.75">
      <c r="E328" s="15"/>
    </row>
    <row r="329" ht="12.75">
      <c r="E329" s="15"/>
    </row>
    <row r="330" ht="12.75">
      <c r="E330" s="15"/>
    </row>
    <row r="331" ht="12.75">
      <c r="E331" s="15"/>
    </row>
    <row r="332" ht="12.75">
      <c r="E332" s="15"/>
    </row>
    <row r="333" ht="12.75">
      <c r="E333" s="15"/>
    </row>
    <row r="334" ht="12.75">
      <c r="E334" s="15"/>
    </row>
    <row r="335" ht="12.75">
      <c r="E335" s="15"/>
    </row>
    <row r="336" ht="12.75">
      <c r="E336" s="15"/>
    </row>
    <row r="337" ht="12.75">
      <c r="E337" s="15"/>
    </row>
    <row r="338" ht="12.75">
      <c r="E338" s="15"/>
    </row>
    <row r="339" ht="12.75">
      <c r="E339" s="15"/>
    </row>
    <row r="340" ht="12.75">
      <c r="E340" s="15"/>
    </row>
    <row r="341" ht="12.75">
      <c r="E341" s="15"/>
    </row>
    <row r="342" ht="12.75">
      <c r="E342" s="15"/>
    </row>
    <row r="343" ht="12.75">
      <c r="E343" s="15"/>
    </row>
    <row r="344" ht="12.75">
      <c r="E344" s="15"/>
    </row>
    <row r="345" ht="12.75">
      <c r="E345" s="15"/>
    </row>
    <row r="346" ht="12.75">
      <c r="E346" s="15"/>
    </row>
    <row r="347" ht="12.75">
      <c r="E347" s="15"/>
    </row>
    <row r="348" ht="12.75">
      <c r="E348" s="15"/>
    </row>
    <row r="349" ht="12.75">
      <c r="E349" s="15"/>
    </row>
    <row r="350" ht="12.75">
      <c r="E350" s="15"/>
    </row>
    <row r="351" ht="12.75">
      <c r="E351" s="15"/>
    </row>
    <row r="352" ht="12.75">
      <c r="E352" s="15"/>
    </row>
    <row r="353" ht="12.75">
      <c r="E353" s="15"/>
    </row>
    <row r="354" ht="12.75">
      <c r="E354" s="15"/>
    </row>
    <row r="355" ht="12.75">
      <c r="E355" s="15"/>
    </row>
    <row r="356" ht="12.75">
      <c r="E356" s="15"/>
    </row>
    <row r="357" ht="12.75">
      <c r="E357" s="15"/>
    </row>
    <row r="358" ht="12.75">
      <c r="E358" s="15"/>
    </row>
    <row r="359" ht="12.75">
      <c r="E359" s="15"/>
    </row>
    <row r="360" ht="12.75">
      <c r="E360" s="15"/>
    </row>
    <row r="361" ht="12.75">
      <c r="E361" s="15"/>
    </row>
    <row r="362" ht="12.75">
      <c r="E362" s="15"/>
    </row>
    <row r="363" ht="12.75">
      <c r="E363" s="15"/>
    </row>
    <row r="364" ht="12.75">
      <c r="E364" s="15"/>
    </row>
    <row r="365" ht="12.75">
      <c r="E365" s="15"/>
    </row>
    <row r="366" ht="12.75">
      <c r="E366" s="15"/>
    </row>
    <row r="367" ht="12.75">
      <c r="E367" s="15"/>
    </row>
    <row r="368" ht="12.75">
      <c r="E368" s="15"/>
    </row>
    <row r="369" ht="12.75">
      <c r="E369" s="15"/>
    </row>
    <row r="370" ht="12.75">
      <c r="E370" s="15"/>
    </row>
    <row r="371" ht="12.75">
      <c r="E371" s="15"/>
    </row>
    <row r="372" ht="12.75">
      <c r="E372" s="15"/>
    </row>
    <row r="373" ht="12.75">
      <c r="E373" s="15"/>
    </row>
    <row r="374" ht="12.75">
      <c r="E374" s="15"/>
    </row>
    <row r="375" ht="12.75">
      <c r="E375" s="15"/>
    </row>
    <row r="376" ht="12.75">
      <c r="E376" s="15"/>
    </row>
    <row r="377" ht="12.75">
      <c r="E377" s="15"/>
    </row>
    <row r="378" ht="12.75">
      <c r="E378" s="15"/>
    </row>
    <row r="379" ht="12.75">
      <c r="E379" s="15"/>
    </row>
    <row r="380" ht="12.75">
      <c r="E380" s="15"/>
    </row>
    <row r="381" ht="12.75">
      <c r="E381" s="15"/>
    </row>
    <row r="382" ht="12.75">
      <c r="E382" s="15"/>
    </row>
    <row r="383" ht="12.75">
      <c r="E383" s="15"/>
    </row>
    <row r="384" ht="12.75">
      <c r="E384" s="15"/>
    </row>
    <row r="385" ht="12.75">
      <c r="E385" s="15"/>
    </row>
    <row r="386" ht="12.75">
      <c r="E386" s="15"/>
    </row>
    <row r="387" ht="12.75">
      <c r="E387" s="15"/>
    </row>
    <row r="388" ht="12.75">
      <c r="E388" s="15"/>
    </row>
    <row r="389" ht="12.75">
      <c r="E389" s="15"/>
    </row>
    <row r="390" ht="12.75">
      <c r="E390" s="15"/>
    </row>
    <row r="391" ht="12.75">
      <c r="E391" s="15"/>
    </row>
    <row r="392" ht="12.75">
      <c r="E392" s="15"/>
    </row>
    <row r="393" ht="12.75">
      <c r="E393" s="15"/>
    </row>
    <row r="394" ht="12.75">
      <c r="E394" s="15"/>
    </row>
    <row r="395" ht="12.75">
      <c r="E395" s="15"/>
    </row>
    <row r="396" ht="12.75">
      <c r="E396" s="15"/>
    </row>
    <row r="397" ht="12.75">
      <c r="E397" s="15"/>
    </row>
    <row r="398" ht="12.75">
      <c r="E398" s="15"/>
    </row>
    <row r="399" ht="12.75">
      <c r="E399" s="15"/>
    </row>
    <row r="400" ht="12.75">
      <c r="E400" s="15"/>
    </row>
    <row r="401" ht="12.75">
      <c r="E401" s="15"/>
    </row>
    <row r="402" ht="12.75">
      <c r="E402" s="15"/>
    </row>
    <row r="403" ht="12.75">
      <c r="E403" s="15"/>
    </row>
    <row r="404" ht="12.75">
      <c r="E404" s="15"/>
    </row>
    <row r="405" ht="12.75">
      <c r="E405" s="15"/>
    </row>
    <row r="406" ht="12.75">
      <c r="E406" s="15"/>
    </row>
    <row r="407" ht="12.75">
      <c r="E407" s="15"/>
    </row>
    <row r="408" ht="12.75">
      <c r="E408" s="15"/>
    </row>
    <row r="409" ht="12.75">
      <c r="E409" s="15"/>
    </row>
    <row r="410" ht="12.75">
      <c r="E410" s="15"/>
    </row>
    <row r="411" ht="12.75">
      <c r="E411" s="15"/>
    </row>
    <row r="412" ht="12.75">
      <c r="E412" s="15"/>
    </row>
    <row r="413" ht="12.75">
      <c r="E413" s="15"/>
    </row>
    <row r="414" ht="12.75">
      <c r="E414" s="15"/>
    </row>
    <row r="415" ht="12.75">
      <c r="E415" s="15"/>
    </row>
    <row r="416" ht="12.75">
      <c r="E416" s="15"/>
    </row>
    <row r="417" ht="12.75">
      <c r="E417" s="15"/>
    </row>
    <row r="418" ht="12.75">
      <c r="E418" s="15"/>
    </row>
    <row r="419" ht="12.75">
      <c r="E419" s="15"/>
    </row>
    <row r="420" ht="12.75">
      <c r="E420" s="15"/>
    </row>
    <row r="421" ht="12.75">
      <c r="E421" s="15"/>
    </row>
    <row r="422" ht="12.75">
      <c r="E422" s="15"/>
    </row>
    <row r="423" ht="12.75">
      <c r="E423" s="15"/>
    </row>
    <row r="424" ht="12.75">
      <c r="E424" s="15"/>
    </row>
    <row r="425" ht="12.75">
      <c r="E425" s="15"/>
    </row>
    <row r="426" ht="12.75">
      <c r="E426" s="15"/>
    </row>
    <row r="427" ht="12.75">
      <c r="E427" s="15"/>
    </row>
    <row r="428" ht="12.75">
      <c r="E428" s="15"/>
    </row>
    <row r="429" ht="12.75">
      <c r="E429" s="15"/>
    </row>
    <row r="430" ht="12.75">
      <c r="E430" s="15"/>
    </row>
    <row r="431" ht="12.75">
      <c r="E431" s="15"/>
    </row>
    <row r="432" ht="12.75">
      <c r="E432" s="15"/>
    </row>
    <row r="433" ht="12.75">
      <c r="E433" s="15"/>
    </row>
    <row r="434" ht="12.75">
      <c r="E434" s="15"/>
    </row>
    <row r="435" ht="12.75">
      <c r="E435" s="15"/>
    </row>
    <row r="436" ht="12.75">
      <c r="E436" s="15"/>
    </row>
    <row r="437" ht="12.75">
      <c r="E437" s="15"/>
    </row>
    <row r="438" ht="12.75">
      <c r="E438" s="15"/>
    </row>
    <row r="439" ht="12.75">
      <c r="E439" s="15"/>
    </row>
    <row r="440" ht="12.75">
      <c r="E440" s="15"/>
    </row>
    <row r="441" ht="12.75">
      <c r="E441" s="15"/>
    </row>
    <row r="442" ht="12.75">
      <c r="E442" s="15"/>
    </row>
    <row r="443" ht="12.75">
      <c r="E443" s="15"/>
    </row>
    <row r="444" ht="12.75">
      <c r="E444" s="15"/>
    </row>
    <row r="445" ht="12.75">
      <c r="E445" s="15"/>
    </row>
    <row r="446" ht="12.75">
      <c r="E446" s="15"/>
    </row>
    <row r="447" ht="12.75">
      <c r="E447" s="15"/>
    </row>
    <row r="448" ht="12.75">
      <c r="E448" s="15"/>
    </row>
    <row r="449" ht="12.75">
      <c r="E449" s="15"/>
    </row>
    <row r="450" ht="12.75">
      <c r="E450" s="15"/>
    </row>
    <row r="451" ht="12.75">
      <c r="E451" s="15"/>
    </row>
    <row r="452" ht="12.75">
      <c r="E452" s="15"/>
    </row>
    <row r="453" ht="12.75">
      <c r="E453" s="15"/>
    </row>
    <row r="454" ht="12.75">
      <c r="E454" s="15"/>
    </row>
    <row r="455" ht="12.75">
      <c r="E455" s="15"/>
    </row>
    <row r="456" ht="12.75">
      <c r="E456" s="15"/>
    </row>
    <row r="457" ht="12.75">
      <c r="E457" s="15"/>
    </row>
    <row r="458" ht="12.75"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</sheetData>
  <printOptions horizontalCentered="1"/>
  <pageMargins left="0.5905511811023623" right="0.5905511811023623" top="0.4724409448818898" bottom="0.4724409448818898" header="0.5118110236220472" footer="0.31496062992125984"/>
  <pageSetup firstPageNumber="4" useFirstPageNumber="1" horizontalDpi="600" verticalDpi="600" orientation="landscape" paperSize="9" scale="8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N384"/>
  <sheetViews>
    <sheetView zoomScale="90" zoomScaleNormal="90" workbookViewId="0" topLeftCell="A9">
      <pane xSplit="4" ySplit="3" topLeftCell="P252" activePane="bottomRight" state="frozen"/>
      <selection pane="topLeft" activeCell="D58" sqref="D58"/>
      <selection pane="topRight" activeCell="D58" sqref="D58"/>
      <selection pane="bottomLeft" activeCell="D58" sqref="D58"/>
      <selection pane="bottomRight" activeCell="T263" sqref="T263:T264"/>
    </sheetView>
  </sheetViews>
  <sheetFormatPr defaultColWidth="9.00390625" defaultRowHeight="12.75"/>
  <cols>
    <col min="1" max="1" width="5.375" style="251" customWidth="1"/>
    <col min="2" max="2" width="7.375" style="251" customWidth="1"/>
    <col min="3" max="3" width="7.375" style="514" customWidth="1"/>
    <col min="4" max="4" width="46.00390625" style="515" customWidth="1"/>
    <col min="5" max="5" width="13.375" style="516" customWidth="1"/>
    <col min="6" max="6" width="12.125" style="516" customWidth="1"/>
    <col min="7" max="7" width="14.125" style="516" customWidth="1"/>
    <col min="8" max="8" width="12.875" style="516" customWidth="1"/>
    <col min="9" max="10" width="11.125" style="516" customWidth="1"/>
    <col min="11" max="11" width="10.75390625" style="516" customWidth="1"/>
    <col min="12" max="12" width="11.00390625" style="516" customWidth="1"/>
    <col min="13" max="13" width="12.25390625" style="516" customWidth="1"/>
    <col min="14" max="14" width="12.25390625" style="251" customWidth="1"/>
    <col min="15" max="15" width="13.25390625" style="251" customWidth="1"/>
    <col min="16" max="16" width="12.125" style="251" customWidth="1"/>
    <col min="17" max="17" width="14.125" style="251" customWidth="1"/>
    <col min="18" max="18" width="13.25390625" style="251" customWidth="1"/>
    <col min="19" max="21" width="11.00390625" style="251" customWidth="1"/>
    <col min="22" max="22" width="12.00390625" style="251" customWidth="1"/>
    <col min="23" max="23" width="12.625" style="251" customWidth="1"/>
    <col min="24" max="24" width="16.25390625" style="251" customWidth="1"/>
    <col min="25" max="25" width="10.625" style="251" customWidth="1"/>
    <col min="26" max="29" width="7.875" style="251" customWidth="1"/>
    <col min="30" max="16384" width="7.875" style="514" customWidth="1"/>
  </cols>
  <sheetData>
    <row r="1" ht="19.5" customHeight="1">
      <c r="T1" s="264" t="s">
        <v>568</v>
      </c>
    </row>
    <row r="2" ht="19.5" customHeight="1">
      <c r="T2" s="264" t="s">
        <v>163</v>
      </c>
    </row>
    <row r="3" spans="4:20" ht="19.5" customHeight="1">
      <c r="D3" s="1465" t="s">
        <v>606</v>
      </c>
      <c r="T3" s="264" t="s">
        <v>272</v>
      </c>
    </row>
    <row r="4" spans="4:20" ht="19.5" customHeight="1">
      <c r="D4" s="517"/>
      <c r="T4" s="264" t="s">
        <v>355</v>
      </c>
    </row>
    <row r="5" ht="15.75">
      <c r="D5" s="517"/>
    </row>
    <row r="6" spans="3:23" ht="15.75" thickBot="1">
      <c r="C6" s="251"/>
      <c r="D6" s="1496"/>
      <c r="E6" s="264"/>
      <c r="F6" s="264"/>
      <c r="G6" s="264"/>
      <c r="H6" s="264"/>
      <c r="I6" s="264"/>
      <c r="J6" s="264"/>
      <c r="K6" s="264"/>
      <c r="L6" s="264"/>
      <c r="M6" s="264"/>
      <c r="W6" s="531" t="s">
        <v>184</v>
      </c>
    </row>
    <row r="7" spans="1:23" ht="17.25" customHeight="1" thickBot="1" thickTop="1">
      <c r="A7" s="1531" t="s">
        <v>179</v>
      </c>
      <c r="B7" s="1531" t="s">
        <v>186</v>
      </c>
      <c r="C7" s="1531" t="s">
        <v>276</v>
      </c>
      <c r="D7" s="1531" t="s">
        <v>328</v>
      </c>
      <c r="E7" s="1534" t="s">
        <v>310</v>
      </c>
      <c r="F7" s="265" t="s">
        <v>182</v>
      </c>
      <c r="G7" s="252"/>
      <c r="H7" s="252"/>
      <c r="I7" s="252"/>
      <c r="J7" s="252"/>
      <c r="K7" s="252"/>
      <c r="L7" s="252"/>
      <c r="M7" s="266"/>
      <c r="N7" s="1539" t="s">
        <v>187</v>
      </c>
      <c r="O7" s="1534" t="s">
        <v>177</v>
      </c>
      <c r="P7" s="265" t="s">
        <v>182</v>
      </c>
      <c r="Q7" s="252"/>
      <c r="R7" s="252"/>
      <c r="S7" s="252"/>
      <c r="T7" s="252"/>
      <c r="U7" s="252"/>
      <c r="V7" s="252"/>
      <c r="W7" s="266"/>
    </row>
    <row r="8" spans="1:23" ht="22.5" customHeight="1" thickBot="1" thickTop="1">
      <c r="A8" s="1570"/>
      <c r="B8" s="1570"/>
      <c r="C8" s="1570"/>
      <c r="D8" s="1532"/>
      <c r="E8" s="1537"/>
      <c r="F8" s="1534" t="s">
        <v>209</v>
      </c>
      <c r="G8" s="263" t="s">
        <v>210</v>
      </c>
      <c r="H8" s="263"/>
      <c r="I8" s="263"/>
      <c r="J8" s="263"/>
      <c r="K8" s="263"/>
      <c r="L8" s="263"/>
      <c r="M8" s="1534" t="s">
        <v>211</v>
      </c>
      <c r="N8" s="1540"/>
      <c r="O8" s="1537"/>
      <c r="P8" s="1534" t="s">
        <v>209</v>
      </c>
      <c r="Q8" s="253" t="s">
        <v>210</v>
      </c>
      <c r="R8" s="263"/>
      <c r="S8" s="263"/>
      <c r="T8" s="263"/>
      <c r="U8" s="263"/>
      <c r="V8" s="263"/>
      <c r="W8" s="1534" t="s">
        <v>211</v>
      </c>
    </row>
    <row r="9" spans="1:23" ht="69.75" customHeight="1" thickBot="1" thickTop="1">
      <c r="A9" s="1571"/>
      <c r="B9" s="1571"/>
      <c r="C9" s="1571" t="s">
        <v>276</v>
      </c>
      <c r="D9" s="1533"/>
      <c r="E9" s="1538"/>
      <c r="F9" s="1536"/>
      <c r="G9" s="254" t="s">
        <v>203</v>
      </c>
      <c r="H9" s="254" t="s">
        <v>212</v>
      </c>
      <c r="I9" s="254" t="s">
        <v>213</v>
      </c>
      <c r="J9" s="254" t="s">
        <v>204</v>
      </c>
      <c r="K9" s="254" t="s">
        <v>214</v>
      </c>
      <c r="L9" s="254" t="s">
        <v>270</v>
      </c>
      <c r="M9" s="1535"/>
      <c r="N9" s="1541"/>
      <c r="O9" s="1538"/>
      <c r="P9" s="1536"/>
      <c r="Q9" s="254" t="s">
        <v>203</v>
      </c>
      <c r="R9" s="254" t="s">
        <v>212</v>
      </c>
      <c r="S9" s="254" t="s">
        <v>213</v>
      </c>
      <c r="T9" s="254" t="s">
        <v>204</v>
      </c>
      <c r="U9" s="254" t="s">
        <v>214</v>
      </c>
      <c r="V9" s="254" t="s">
        <v>270</v>
      </c>
      <c r="W9" s="1535"/>
    </row>
    <row r="10" spans="1:29" s="518" customFormat="1" ht="14.25" customHeight="1" thickBot="1" thickTop="1">
      <c r="A10" s="267">
        <v>1</v>
      </c>
      <c r="B10" s="267">
        <v>2</v>
      </c>
      <c r="C10" s="267">
        <v>3</v>
      </c>
      <c r="D10" s="268">
        <v>4</v>
      </c>
      <c r="E10" s="255">
        <v>5</v>
      </c>
      <c r="F10" s="255">
        <v>6</v>
      </c>
      <c r="G10" s="255">
        <v>7</v>
      </c>
      <c r="H10" s="255">
        <v>8</v>
      </c>
      <c r="I10" s="255">
        <v>9</v>
      </c>
      <c r="J10" s="255">
        <v>10</v>
      </c>
      <c r="K10" s="255">
        <v>11</v>
      </c>
      <c r="L10" s="255">
        <v>12</v>
      </c>
      <c r="M10" s="255">
        <v>13</v>
      </c>
      <c r="N10" s="269">
        <v>14</v>
      </c>
      <c r="O10" s="255">
        <v>15</v>
      </c>
      <c r="P10" s="255">
        <v>16</v>
      </c>
      <c r="Q10" s="255">
        <v>17</v>
      </c>
      <c r="R10" s="255">
        <v>18</v>
      </c>
      <c r="S10" s="255">
        <v>19</v>
      </c>
      <c r="T10" s="255">
        <v>20</v>
      </c>
      <c r="U10" s="255">
        <v>21</v>
      </c>
      <c r="V10" s="255">
        <v>22</v>
      </c>
      <c r="W10" s="255">
        <v>23</v>
      </c>
      <c r="X10" s="272"/>
      <c r="Y10" s="1498"/>
      <c r="Z10" s="1498"/>
      <c r="AA10" s="1498"/>
      <c r="AB10" s="1498"/>
      <c r="AC10" s="1498"/>
    </row>
    <row r="11" spans="1:24" s="143" customFormat="1" ht="24.75" customHeight="1" thickBot="1" thickTop="1">
      <c r="A11" s="270"/>
      <c r="B11" s="270"/>
      <c r="C11" s="270"/>
      <c r="D11" s="271" t="s">
        <v>271</v>
      </c>
      <c r="E11" s="170">
        <v>1137809914</v>
      </c>
      <c r="F11" s="170">
        <v>852051252</v>
      </c>
      <c r="G11" s="170">
        <v>359427344</v>
      </c>
      <c r="H11" s="170">
        <v>68320002</v>
      </c>
      <c r="I11" s="170">
        <v>86093444</v>
      </c>
      <c r="J11" s="170">
        <v>27176284</v>
      </c>
      <c r="K11" s="170">
        <v>9200000</v>
      </c>
      <c r="L11" s="170">
        <v>4000000</v>
      </c>
      <c r="M11" s="170">
        <v>285758662</v>
      </c>
      <c r="N11" s="170">
        <f>N13+N216+N228</f>
        <v>1236426</v>
      </c>
      <c r="O11" s="170">
        <f>E11+N11</f>
        <v>1139046340</v>
      </c>
      <c r="P11" s="170">
        <f>F11+N11-N18-N20-N85-N111-N165-N191-N192-N207-N208-N209-N256-N210</f>
        <v>852833578</v>
      </c>
      <c r="Q11" s="170">
        <f>G11+N36+N153+N96+N114+N121+N130+N215+N250+N251+N252+N253</f>
        <v>360323543</v>
      </c>
      <c r="R11" s="170">
        <f>H11+N34+N35+N49+N95+N119+N120+N128+N129+N152+N160+N214+N29</f>
        <v>68126346</v>
      </c>
      <c r="S11" s="170">
        <f>I11+N145+N146+N221+N222</f>
        <v>86093444</v>
      </c>
      <c r="T11" s="170">
        <f>J11+N53+N107+N82+N100+N71+N170</f>
        <v>27014878</v>
      </c>
      <c r="U11" s="170">
        <f>K11+N41</f>
        <v>9175000</v>
      </c>
      <c r="V11" s="170">
        <f>L11</f>
        <v>4000000</v>
      </c>
      <c r="W11" s="170">
        <f>M11+N18+N20+N111+N165+N256+N191+N192+N207+N208+N209+N85+N210</f>
        <v>286212762</v>
      </c>
      <c r="X11" s="272"/>
    </row>
    <row r="12" spans="1:24" s="143" customFormat="1" ht="19.5" customHeight="1">
      <c r="A12" s="273"/>
      <c r="B12" s="273"/>
      <c r="C12" s="273"/>
      <c r="D12" s="274" t="s">
        <v>182</v>
      </c>
      <c r="E12" s="275"/>
      <c r="F12" s="169"/>
      <c r="G12" s="169"/>
      <c r="H12" s="169"/>
      <c r="I12" s="169"/>
      <c r="J12" s="169"/>
      <c r="K12" s="169"/>
      <c r="L12" s="169"/>
      <c r="M12" s="169"/>
      <c r="N12" s="169"/>
      <c r="O12" s="275"/>
      <c r="P12" s="275"/>
      <c r="Q12" s="169"/>
      <c r="R12" s="169"/>
      <c r="S12" s="169"/>
      <c r="T12" s="169"/>
      <c r="U12" s="169"/>
      <c r="V12" s="169"/>
      <c r="W12" s="169"/>
      <c r="X12" s="272"/>
    </row>
    <row r="13" spans="1:24" s="143" customFormat="1" ht="19.5" customHeight="1" thickBot="1">
      <c r="A13" s="276"/>
      <c r="B13" s="276"/>
      <c r="C13" s="276"/>
      <c r="D13" s="277" t="s">
        <v>192</v>
      </c>
      <c r="E13" s="256">
        <v>1020845491</v>
      </c>
      <c r="F13" s="256">
        <v>735649829</v>
      </c>
      <c r="G13" s="256">
        <v>343576619</v>
      </c>
      <c r="H13" s="256">
        <v>67206132</v>
      </c>
      <c r="I13" s="256">
        <v>80993689</v>
      </c>
      <c r="J13" s="256">
        <v>26716284</v>
      </c>
      <c r="K13" s="256">
        <v>9200000</v>
      </c>
      <c r="L13" s="256">
        <v>4000000</v>
      </c>
      <c r="M13" s="256">
        <v>285195662</v>
      </c>
      <c r="N13" s="256">
        <f>N14+N21+N42+N46+N139+N157+N188+N124+N198+N135+N31+N204+N37+N26</f>
        <v>9697</v>
      </c>
      <c r="O13" s="256">
        <f aca="true" t="shared" si="0" ref="O13:O35">E13+N13</f>
        <v>1020855188</v>
      </c>
      <c r="P13" s="256">
        <f>F13+N13-N18-N20-N85-N111-N165-N191-N192-N207-N208-N209-N210</f>
        <v>735305426</v>
      </c>
      <c r="Q13" s="256">
        <f>G13+N36+N153+N96+N114+N121+N130+N215</f>
        <v>343624818</v>
      </c>
      <c r="R13" s="256">
        <f>H13+N34+N35+N49+N95+N119+N120+N128+N129+N152+N160+N214+N29</f>
        <v>67012476</v>
      </c>
      <c r="S13" s="256">
        <f>I13+N145+N146</f>
        <v>80983381</v>
      </c>
      <c r="T13" s="256">
        <f>J13+N53+N107+N82+N100+N71+N170</f>
        <v>26554878</v>
      </c>
      <c r="U13" s="256">
        <f>K13+N41</f>
        <v>9175000</v>
      </c>
      <c r="V13" s="256">
        <f>L13</f>
        <v>4000000</v>
      </c>
      <c r="W13" s="256">
        <f>M13+N18+N20+N111+N165+N191+N192+N207+N208+N209+N85+N210</f>
        <v>285549762</v>
      </c>
      <c r="X13" s="272"/>
    </row>
    <row r="14" spans="1:24" s="143" customFormat="1" ht="19.5" customHeight="1" thickBot="1" thickTop="1">
      <c r="A14" s="29">
        <v>600</v>
      </c>
      <c r="B14" s="29"/>
      <c r="C14" s="29"/>
      <c r="D14" s="28" t="s">
        <v>162</v>
      </c>
      <c r="E14" s="30">
        <v>198906655</v>
      </c>
      <c r="F14" s="30">
        <v>46677576</v>
      </c>
      <c r="G14" s="30"/>
      <c r="H14" s="30"/>
      <c r="I14" s="30"/>
      <c r="J14" s="30">
        <v>5400000</v>
      </c>
      <c r="K14" s="30"/>
      <c r="L14" s="30"/>
      <c r="M14" s="30">
        <v>152229079</v>
      </c>
      <c r="N14" s="30">
        <f>N15</f>
        <v>0</v>
      </c>
      <c r="O14" s="30">
        <f t="shared" si="0"/>
        <v>198906655</v>
      </c>
      <c r="P14" s="30">
        <f>F14</f>
        <v>46677576</v>
      </c>
      <c r="Q14" s="30"/>
      <c r="R14" s="30"/>
      <c r="S14" s="30"/>
      <c r="T14" s="30">
        <f>J14</f>
        <v>5400000</v>
      </c>
      <c r="U14" s="30"/>
      <c r="V14" s="30"/>
      <c r="W14" s="30">
        <f>M14+N18+N20</f>
        <v>152229079</v>
      </c>
      <c r="X14" s="272"/>
    </row>
    <row r="15" spans="1:24" s="143" customFormat="1" ht="19.5" customHeight="1">
      <c r="A15" s="278"/>
      <c r="B15" s="279">
        <v>60015</v>
      </c>
      <c r="C15" s="279"/>
      <c r="D15" s="280" t="s">
        <v>169</v>
      </c>
      <c r="E15" s="257">
        <v>110313711</v>
      </c>
      <c r="F15" s="257">
        <v>11900000</v>
      </c>
      <c r="G15" s="257"/>
      <c r="H15" s="257"/>
      <c r="I15" s="257"/>
      <c r="J15" s="257">
        <v>3500000</v>
      </c>
      <c r="K15" s="257"/>
      <c r="L15" s="257"/>
      <c r="M15" s="257">
        <v>98413711</v>
      </c>
      <c r="N15" s="257">
        <f>N16</f>
        <v>0</v>
      </c>
      <c r="O15" s="257">
        <f t="shared" si="0"/>
        <v>110313711</v>
      </c>
      <c r="P15" s="257">
        <f>F15</f>
        <v>11900000</v>
      </c>
      <c r="Q15" s="257"/>
      <c r="R15" s="257"/>
      <c r="S15" s="257"/>
      <c r="T15" s="257">
        <f>J15</f>
        <v>3500000</v>
      </c>
      <c r="U15" s="257"/>
      <c r="V15" s="257"/>
      <c r="W15" s="257">
        <f>M15+N18+N20</f>
        <v>98413711</v>
      </c>
      <c r="X15" s="272"/>
    </row>
    <row r="16" spans="1:24" s="143" customFormat="1" ht="18" customHeight="1">
      <c r="A16" s="278"/>
      <c r="B16" s="278"/>
      <c r="C16" s="286"/>
      <c r="D16" s="547" t="s">
        <v>745</v>
      </c>
      <c r="E16" s="562">
        <v>110313711</v>
      </c>
      <c r="F16" s="562">
        <v>11900000</v>
      </c>
      <c r="G16" s="562"/>
      <c r="H16" s="562"/>
      <c r="I16" s="562"/>
      <c r="J16" s="562">
        <v>3500000</v>
      </c>
      <c r="K16" s="562"/>
      <c r="L16" s="562"/>
      <c r="M16" s="562">
        <v>98413711</v>
      </c>
      <c r="N16" s="562">
        <f>N18+N20</f>
        <v>0</v>
      </c>
      <c r="O16" s="562">
        <f t="shared" si="0"/>
        <v>110313711</v>
      </c>
      <c r="P16" s="562">
        <f>F16</f>
        <v>11900000</v>
      </c>
      <c r="Q16" s="562"/>
      <c r="R16" s="562"/>
      <c r="S16" s="562"/>
      <c r="T16" s="562">
        <f>J16</f>
        <v>3500000</v>
      </c>
      <c r="U16" s="562"/>
      <c r="V16" s="562"/>
      <c r="W16" s="562">
        <f>M16+N18+N20</f>
        <v>98413711</v>
      </c>
      <c r="X16" s="272"/>
    </row>
    <row r="17" spans="1:24" s="284" customFormat="1" ht="18" customHeight="1">
      <c r="A17" s="281"/>
      <c r="B17" s="281"/>
      <c r="C17" s="281"/>
      <c r="D17" s="154" t="s">
        <v>746</v>
      </c>
      <c r="E17" s="528">
        <v>1389000</v>
      </c>
      <c r="F17" s="528"/>
      <c r="G17" s="528"/>
      <c r="H17" s="528"/>
      <c r="I17" s="528"/>
      <c r="J17" s="528"/>
      <c r="K17" s="528"/>
      <c r="L17" s="528"/>
      <c r="M17" s="528">
        <v>1389000</v>
      </c>
      <c r="N17" s="528">
        <v>-34000</v>
      </c>
      <c r="O17" s="528">
        <f t="shared" si="0"/>
        <v>1355000</v>
      </c>
      <c r="P17" s="528"/>
      <c r="Q17" s="528"/>
      <c r="R17" s="528"/>
      <c r="S17" s="528"/>
      <c r="T17" s="528"/>
      <c r="U17" s="528"/>
      <c r="V17" s="528"/>
      <c r="W17" s="528">
        <f>M17+N17</f>
        <v>1355000</v>
      </c>
      <c r="X17" s="272"/>
    </row>
    <row r="18" spans="1:24" s="589" customFormat="1" ht="18" customHeight="1">
      <c r="A18" s="433"/>
      <c r="B18" s="433"/>
      <c r="C18" s="470">
        <v>6050</v>
      </c>
      <c r="D18" s="929" t="s">
        <v>723</v>
      </c>
      <c r="E18" s="930">
        <v>77931876</v>
      </c>
      <c r="F18" s="930"/>
      <c r="G18" s="931"/>
      <c r="H18" s="931"/>
      <c r="I18" s="931"/>
      <c r="J18" s="931"/>
      <c r="K18" s="931"/>
      <c r="L18" s="931"/>
      <c r="M18" s="930">
        <v>77931876</v>
      </c>
      <c r="N18" s="930">
        <f>N17</f>
        <v>-34000</v>
      </c>
      <c r="O18" s="930">
        <f t="shared" si="0"/>
        <v>77897876</v>
      </c>
      <c r="P18" s="930"/>
      <c r="Q18" s="930"/>
      <c r="R18" s="930"/>
      <c r="S18" s="930"/>
      <c r="T18" s="930"/>
      <c r="U18" s="930"/>
      <c r="V18" s="930"/>
      <c r="W18" s="930">
        <f>M18+N18</f>
        <v>77897876</v>
      </c>
      <c r="X18" s="272"/>
    </row>
    <row r="19" spans="1:24" s="589" customFormat="1" ht="18" customHeight="1">
      <c r="A19" s="433"/>
      <c r="B19" s="433"/>
      <c r="C19" s="433"/>
      <c r="D19" s="932" t="s">
        <v>747</v>
      </c>
      <c r="E19" s="933">
        <v>2611000</v>
      </c>
      <c r="F19" s="933"/>
      <c r="G19" s="933"/>
      <c r="H19" s="933"/>
      <c r="I19" s="933"/>
      <c r="J19" s="933"/>
      <c r="K19" s="933"/>
      <c r="L19" s="933"/>
      <c r="M19" s="933">
        <v>2611000</v>
      </c>
      <c r="N19" s="933">
        <v>34000</v>
      </c>
      <c r="O19" s="933">
        <f t="shared" si="0"/>
        <v>2645000</v>
      </c>
      <c r="P19" s="933"/>
      <c r="Q19" s="933"/>
      <c r="R19" s="933"/>
      <c r="S19" s="933"/>
      <c r="T19" s="933"/>
      <c r="U19" s="933"/>
      <c r="V19" s="933"/>
      <c r="W19" s="933">
        <f>M19+N19</f>
        <v>2645000</v>
      </c>
      <c r="X19" s="272"/>
    </row>
    <row r="20" spans="1:24" s="589" customFormat="1" ht="18" customHeight="1">
      <c r="A20" s="433"/>
      <c r="B20" s="433"/>
      <c r="C20" s="433">
        <v>6054</v>
      </c>
      <c r="D20" s="929" t="s">
        <v>723</v>
      </c>
      <c r="E20" s="588">
        <v>2611000</v>
      </c>
      <c r="F20" s="588"/>
      <c r="G20" s="588"/>
      <c r="H20" s="588"/>
      <c r="I20" s="588"/>
      <c r="J20" s="588"/>
      <c r="K20" s="588"/>
      <c r="L20" s="588"/>
      <c r="M20" s="588">
        <v>2611000</v>
      </c>
      <c r="N20" s="588">
        <f>N19</f>
        <v>34000</v>
      </c>
      <c r="O20" s="588">
        <f t="shared" si="0"/>
        <v>2645000</v>
      </c>
      <c r="P20" s="588"/>
      <c r="Q20" s="588"/>
      <c r="R20" s="588"/>
      <c r="S20" s="588"/>
      <c r="T20" s="588"/>
      <c r="U20" s="588"/>
      <c r="V20" s="588"/>
      <c r="W20" s="588">
        <f>W19</f>
        <v>2645000</v>
      </c>
      <c r="X20" s="272"/>
    </row>
    <row r="21" spans="1:24" s="143" customFormat="1" ht="19.5" customHeight="1" thickBot="1">
      <c r="A21" s="29">
        <v>700</v>
      </c>
      <c r="B21" s="29"/>
      <c r="C21" s="29"/>
      <c r="D21" s="28" t="s">
        <v>621</v>
      </c>
      <c r="E21" s="30">
        <v>18151000</v>
      </c>
      <c r="F21" s="30">
        <v>11651000</v>
      </c>
      <c r="G21" s="30"/>
      <c r="H21" s="30"/>
      <c r="I21" s="30">
        <v>8500000</v>
      </c>
      <c r="J21" s="30">
        <v>8650000</v>
      </c>
      <c r="K21" s="30"/>
      <c r="L21" s="30"/>
      <c r="M21" s="30">
        <v>6500000</v>
      </c>
      <c r="N21" s="30">
        <f>N22</f>
        <v>0</v>
      </c>
      <c r="O21" s="30">
        <f t="shared" si="0"/>
        <v>18151000</v>
      </c>
      <c r="P21" s="30">
        <f>F21+N24+N25</f>
        <v>11651000</v>
      </c>
      <c r="Q21" s="30"/>
      <c r="R21" s="30"/>
      <c r="S21" s="30">
        <f>I21</f>
        <v>8500000</v>
      </c>
      <c r="T21" s="30">
        <f>J21</f>
        <v>8650000</v>
      </c>
      <c r="U21" s="30"/>
      <c r="V21" s="30"/>
      <c r="W21" s="30">
        <f>M21</f>
        <v>6500000</v>
      </c>
      <c r="X21" s="272"/>
    </row>
    <row r="22" spans="1:24" s="143" customFormat="1" ht="19.5" customHeight="1">
      <c r="A22" s="278"/>
      <c r="B22" s="291">
        <v>70005</v>
      </c>
      <c r="C22" s="279"/>
      <c r="D22" s="280" t="s">
        <v>698</v>
      </c>
      <c r="E22" s="257">
        <v>2465000</v>
      </c>
      <c r="F22" s="257">
        <v>2465000</v>
      </c>
      <c r="G22" s="257"/>
      <c r="H22" s="257"/>
      <c r="I22" s="257"/>
      <c r="J22" s="257">
        <v>150000</v>
      </c>
      <c r="K22" s="257"/>
      <c r="L22" s="257"/>
      <c r="M22" s="257"/>
      <c r="N22" s="257">
        <f>N23</f>
        <v>0</v>
      </c>
      <c r="O22" s="257">
        <f t="shared" si="0"/>
        <v>2465000</v>
      </c>
      <c r="P22" s="257">
        <f>F22+N24+N25</f>
        <v>2465000</v>
      </c>
      <c r="Q22" s="257"/>
      <c r="R22" s="257"/>
      <c r="S22" s="257"/>
      <c r="T22" s="257">
        <f>J22</f>
        <v>150000</v>
      </c>
      <c r="U22" s="257"/>
      <c r="V22" s="257"/>
      <c r="W22" s="257"/>
      <c r="X22" s="272"/>
    </row>
    <row r="23" spans="1:24" s="143" customFormat="1" ht="38.25">
      <c r="A23" s="278"/>
      <c r="B23" s="278"/>
      <c r="C23" s="286"/>
      <c r="D23" s="547" t="s">
        <v>699</v>
      </c>
      <c r="E23" s="562">
        <v>1804000</v>
      </c>
      <c r="F23" s="562">
        <v>1804000</v>
      </c>
      <c r="G23" s="562"/>
      <c r="H23" s="562"/>
      <c r="I23" s="562"/>
      <c r="J23" s="562">
        <v>150000</v>
      </c>
      <c r="K23" s="562"/>
      <c r="L23" s="562"/>
      <c r="M23" s="562"/>
      <c r="N23" s="562">
        <f>SUM(N24:N25)</f>
        <v>0</v>
      </c>
      <c r="O23" s="562">
        <f t="shared" si="0"/>
        <v>1804000</v>
      </c>
      <c r="P23" s="562">
        <f>F23+N24+N25</f>
        <v>1804000</v>
      </c>
      <c r="Q23" s="562"/>
      <c r="R23" s="562"/>
      <c r="S23" s="562"/>
      <c r="T23" s="562">
        <f>J23</f>
        <v>150000</v>
      </c>
      <c r="U23" s="562"/>
      <c r="V23" s="562"/>
      <c r="W23" s="562"/>
      <c r="X23" s="272"/>
    </row>
    <row r="24" spans="1:24" s="284" customFormat="1" ht="18" customHeight="1">
      <c r="A24" s="281"/>
      <c r="B24" s="281"/>
      <c r="C24" s="282">
        <v>4300</v>
      </c>
      <c r="D24" s="177" t="s">
        <v>322</v>
      </c>
      <c r="E24" s="258">
        <v>1154000</v>
      </c>
      <c r="F24" s="258">
        <v>1154000</v>
      </c>
      <c r="G24" s="258"/>
      <c r="H24" s="258"/>
      <c r="I24" s="258"/>
      <c r="J24" s="258"/>
      <c r="K24" s="258"/>
      <c r="L24" s="258"/>
      <c r="M24" s="258"/>
      <c r="N24" s="258">
        <v>-121</v>
      </c>
      <c r="O24" s="258">
        <f t="shared" si="0"/>
        <v>1153879</v>
      </c>
      <c r="P24" s="258">
        <f>F24+N24</f>
        <v>1153879</v>
      </c>
      <c r="Q24" s="258"/>
      <c r="R24" s="258"/>
      <c r="S24" s="258"/>
      <c r="T24" s="258"/>
      <c r="U24" s="258"/>
      <c r="V24" s="258"/>
      <c r="W24" s="258"/>
      <c r="X24" s="272"/>
    </row>
    <row r="25" spans="1:24" s="284" customFormat="1" ht="25.5">
      <c r="A25" s="281"/>
      <c r="B25" s="281"/>
      <c r="C25" s="281">
        <v>4520</v>
      </c>
      <c r="D25" s="387" t="s">
        <v>115</v>
      </c>
      <c r="E25" s="528">
        <v>339400</v>
      </c>
      <c r="F25" s="528">
        <v>339400</v>
      </c>
      <c r="G25" s="528"/>
      <c r="H25" s="528"/>
      <c r="I25" s="528"/>
      <c r="J25" s="528"/>
      <c r="K25" s="528"/>
      <c r="L25" s="528"/>
      <c r="M25" s="528"/>
      <c r="N25" s="528">
        <v>121</v>
      </c>
      <c r="O25" s="528">
        <f t="shared" si="0"/>
        <v>339521</v>
      </c>
      <c r="P25" s="528">
        <f>F25+N25</f>
        <v>339521</v>
      </c>
      <c r="Q25" s="528"/>
      <c r="R25" s="528"/>
      <c r="S25" s="528"/>
      <c r="T25" s="528"/>
      <c r="U25" s="528"/>
      <c r="V25" s="528"/>
      <c r="W25" s="528"/>
      <c r="X25" s="272"/>
    </row>
    <row r="26" spans="1:24" s="143" customFormat="1" ht="19.5" customHeight="1" thickBot="1">
      <c r="A26" s="29">
        <v>750</v>
      </c>
      <c r="B26" s="29"/>
      <c r="C26" s="29"/>
      <c r="D26" s="28" t="s">
        <v>319</v>
      </c>
      <c r="E26" s="30">
        <v>74514876</v>
      </c>
      <c r="F26" s="30">
        <v>64296500</v>
      </c>
      <c r="G26" s="30">
        <v>39245509</v>
      </c>
      <c r="H26" s="30">
        <v>7011600</v>
      </c>
      <c r="I26" s="30"/>
      <c r="J26" s="30">
        <v>417000</v>
      </c>
      <c r="K26" s="30"/>
      <c r="L26" s="30"/>
      <c r="M26" s="30">
        <v>10218376</v>
      </c>
      <c r="N26" s="30">
        <f>N27</f>
        <v>0</v>
      </c>
      <c r="O26" s="30">
        <f t="shared" si="0"/>
        <v>74514876</v>
      </c>
      <c r="P26" s="30">
        <f>F26+N29+N30</f>
        <v>64296500</v>
      </c>
      <c r="Q26" s="30">
        <f>G26</f>
        <v>39245509</v>
      </c>
      <c r="R26" s="30">
        <f>H26+N29</f>
        <v>6861600</v>
      </c>
      <c r="S26" s="30"/>
      <c r="T26" s="30">
        <f>J26</f>
        <v>417000</v>
      </c>
      <c r="U26" s="30"/>
      <c r="V26" s="30"/>
      <c r="W26" s="30">
        <f>M26</f>
        <v>10218376</v>
      </c>
      <c r="X26" s="272"/>
    </row>
    <row r="27" spans="1:24" s="143" customFormat="1" ht="18" customHeight="1">
      <c r="A27" s="278"/>
      <c r="B27" s="291">
        <v>75023</v>
      </c>
      <c r="C27" s="279"/>
      <c r="D27" s="792" t="s">
        <v>96</v>
      </c>
      <c r="E27" s="257">
        <v>70416376</v>
      </c>
      <c r="F27" s="257">
        <v>60198000</v>
      </c>
      <c r="G27" s="257">
        <v>39160509</v>
      </c>
      <c r="H27" s="257">
        <v>7008000</v>
      </c>
      <c r="I27" s="257"/>
      <c r="J27" s="257">
        <v>400000</v>
      </c>
      <c r="K27" s="257"/>
      <c r="L27" s="257"/>
      <c r="M27" s="257">
        <v>10218376</v>
      </c>
      <c r="N27" s="257">
        <f>N28</f>
        <v>0</v>
      </c>
      <c r="O27" s="257">
        <f t="shared" si="0"/>
        <v>70416376</v>
      </c>
      <c r="P27" s="257">
        <f>F27+N29+N30</f>
        <v>60198000</v>
      </c>
      <c r="Q27" s="257">
        <f>G27</f>
        <v>39160509</v>
      </c>
      <c r="R27" s="257">
        <f>H27+N29</f>
        <v>6858000</v>
      </c>
      <c r="S27" s="257"/>
      <c r="T27" s="257">
        <f>J27</f>
        <v>400000</v>
      </c>
      <c r="U27" s="257"/>
      <c r="V27" s="257"/>
      <c r="W27" s="257">
        <f>M27</f>
        <v>10218376</v>
      </c>
      <c r="X27" s="272"/>
    </row>
    <row r="28" spans="1:24" s="143" customFormat="1" ht="18.75" customHeight="1">
      <c r="A28" s="278"/>
      <c r="B28" s="278"/>
      <c r="C28" s="286"/>
      <c r="D28" s="21" t="s">
        <v>97</v>
      </c>
      <c r="E28" s="562">
        <v>67898000</v>
      </c>
      <c r="F28" s="562">
        <v>60198000</v>
      </c>
      <c r="G28" s="562">
        <v>39160509</v>
      </c>
      <c r="H28" s="562">
        <v>7008000</v>
      </c>
      <c r="I28" s="562"/>
      <c r="J28" s="562">
        <v>400000</v>
      </c>
      <c r="K28" s="562"/>
      <c r="L28" s="562"/>
      <c r="M28" s="562">
        <v>7700000</v>
      </c>
      <c r="N28" s="562">
        <f>N29+N30</f>
        <v>0</v>
      </c>
      <c r="O28" s="562">
        <f t="shared" si="0"/>
        <v>67898000</v>
      </c>
      <c r="P28" s="562">
        <f>F28+N29+N30</f>
        <v>60198000</v>
      </c>
      <c r="Q28" s="562">
        <f>G28</f>
        <v>39160509</v>
      </c>
      <c r="R28" s="562">
        <f>H28+N29</f>
        <v>6858000</v>
      </c>
      <c r="S28" s="562"/>
      <c r="T28" s="562">
        <f>J28</f>
        <v>400000</v>
      </c>
      <c r="U28" s="562"/>
      <c r="V28" s="562"/>
      <c r="W28" s="562">
        <f>M28</f>
        <v>7700000</v>
      </c>
      <c r="X28" s="272"/>
    </row>
    <row r="29" spans="1:24" s="284" customFormat="1" ht="18" customHeight="1">
      <c r="A29" s="281"/>
      <c r="B29" s="281"/>
      <c r="C29" s="282">
        <v>4110</v>
      </c>
      <c r="D29" s="177" t="s">
        <v>696</v>
      </c>
      <c r="E29" s="258">
        <v>6450000</v>
      </c>
      <c r="F29" s="258">
        <v>6450000</v>
      </c>
      <c r="G29" s="258"/>
      <c r="H29" s="258">
        <v>6450000</v>
      </c>
      <c r="I29" s="258"/>
      <c r="J29" s="258"/>
      <c r="K29" s="258"/>
      <c r="L29" s="258"/>
      <c r="M29" s="258"/>
      <c r="N29" s="258">
        <v>-150000</v>
      </c>
      <c r="O29" s="258">
        <f t="shared" si="0"/>
        <v>6300000</v>
      </c>
      <c r="P29" s="258">
        <f>F29+N29</f>
        <v>6300000</v>
      </c>
      <c r="Q29" s="258"/>
      <c r="R29" s="258">
        <f>H29+N29</f>
        <v>6300000</v>
      </c>
      <c r="S29" s="258"/>
      <c r="T29" s="258"/>
      <c r="U29" s="258"/>
      <c r="V29" s="258"/>
      <c r="W29" s="258"/>
      <c r="X29" s="272"/>
    </row>
    <row r="30" spans="1:24" s="284" customFormat="1" ht="28.5">
      <c r="A30" s="281"/>
      <c r="B30" s="281"/>
      <c r="C30" s="281">
        <v>4140</v>
      </c>
      <c r="D30" s="1509" t="s">
        <v>629</v>
      </c>
      <c r="E30" s="528">
        <v>140500</v>
      </c>
      <c r="F30" s="528">
        <v>140500</v>
      </c>
      <c r="G30" s="528"/>
      <c r="H30" s="528"/>
      <c r="I30" s="528"/>
      <c r="J30" s="528"/>
      <c r="K30" s="528"/>
      <c r="L30" s="528"/>
      <c r="M30" s="528"/>
      <c r="N30" s="528">
        <v>150000</v>
      </c>
      <c r="O30" s="528">
        <f t="shared" si="0"/>
        <v>290500</v>
      </c>
      <c r="P30" s="258">
        <f>F30+N30</f>
        <v>290500</v>
      </c>
      <c r="Q30" s="528"/>
      <c r="R30" s="528"/>
      <c r="S30" s="528"/>
      <c r="T30" s="528"/>
      <c r="U30" s="528"/>
      <c r="V30" s="528"/>
      <c r="W30" s="528"/>
      <c r="X30" s="272"/>
    </row>
    <row r="31" spans="1:24" s="143" customFormat="1" ht="50.25" customHeight="1" thickBot="1">
      <c r="A31" s="29">
        <v>756</v>
      </c>
      <c r="B31" s="29"/>
      <c r="C31" s="29"/>
      <c r="D31" s="585" t="s">
        <v>685</v>
      </c>
      <c r="E31" s="30">
        <v>267000</v>
      </c>
      <c r="F31" s="30">
        <v>267000</v>
      </c>
      <c r="G31" s="30">
        <v>58000</v>
      </c>
      <c r="H31" s="30"/>
      <c r="I31" s="30"/>
      <c r="J31" s="30"/>
      <c r="K31" s="30"/>
      <c r="L31" s="30"/>
      <c r="M31" s="30"/>
      <c r="N31" s="30">
        <f>N32</f>
        <v>0</v>
      </c>
      <c r="O31" s="30">
        <f t="shared" si="0"/>
        <v>267000</v>
      </c>
      <c r="P31" s="30">
        <f>F31+N34+N35+N36</f>
        <v>267000</v>
      </c>
      <c r="Q31" s="30">
        <f>G31+N36</f>
        <v>55500</v>
      </c>
      <c r="R31" s="30">
        <f>H31+N34+N35</f>
        <v>2500</v>
      </c>
      <c r="S31" s="30"/>
      <c r="T31" s="30"/>
      <c r="U31" s="30"/>
      <c r="V31" s="30"/>
      <c r="W31" s="30"/>
      <c r="X31" s="272"/>
    </row>
    <row r="32" spans="1:24" s="143" customFormat="1" ht="25.5">
      <c r="A32" s="278"/>
      <c r="B32" s="279">
        <v>75647</v>
      </c>
      <c r="C32" s="279"/>
      <c r="D32" s="545" t="s">
        <v>373</v>
      </c>
      <c r="E32" s="257">
        <v>267000</v>
      </c>
      <c r="F32" s="257">
        <v>267000</v>
      </c>
      <c r="G32" s="257">
        <v>58000</v>
      </c>
      <c r="H32" s="257"/>
      <c r="I32" s="257"/>
      <c r="J32" s="257"/>
      <c r="K32" s="257"/>
      <c r="L32" s="257"/>
      <c r="M32" s="257"/>
      <c r="N32" s="257">
        <f>N33</f>
        <v>0</v>
      </c>
      <c r="O32" s="257">
        <f t="shared" si="0"/>
        <v>267000</v>
      </c>
      <c r="P32" s="257">
        <f>F32+N34+N35+N36</f>
        <v>267000</v>
      </c>
      <c r="Q32" s="257">
        <f>G32+N36</f>
        <v>55500</v>
      </c>
      <c r="R32" s="257">
        <f>H32+N34+N35</f>
        <v>2500</v>
      </c>
      <c r="S32" s="257"/>
      <c r="T32" s="257"/>
      <c r="U32" s="257"/>
      <c r="V32" s="257"/>
      <c r="W32" s="257"/>
      <c r="X32" s="272"/>
    </row>
    <row r="33" spans="1:24" s="143" customFormat="1" ht="18" customHeight="1">
      <c r="A33" s="278"/>
      <c r="B33" s="278"/>
      <c r="C33" s="286"/>
      <c r="D33" s="586" t="s">
        <v>374</v>
      </c>
      <c r="E33" s="562">
        <v>267000</v>
      </c>
      <c r="F33" s="562">
        <v>267000</v>
      </c>
      <c r="G33" s="562">
        <v>58000</v>
      </c>
      <c r="H33" s="562"/>
      <c r="I33" s="562"/>
      <c r="J33" s="562"/>
      <c r="K33" s="562"/>
      <c r="L33" s="562"/>
      <c r="M33" s="562"/>
      <c r="N33" s="562">
        <f>SUM(N34:N36)</f>
        <v>0</v>
      </c>
      <c r="O33" s="562">
        <f t="shared" si="0"/>
        <v>267000</v>
      </c>
      <c r="P33" s="562">
        <f>F33+N34+N35+N36</f>
        <v>267000</v>
      </c>
      <c r="Q33" s="562">
        <f>G33+N36</f>
        <v>55500</v>
      </c>
      <c r="R33" s="562">
        <f>H33+N34+N35</f>
        <v>2500</v>
      </c>
      <c r="S33" s="562"/>
      <c r="T33" s="562"/>
      <c r="U33" s="562"/>
      <c r="V33" s="562"/>
      <c r="W33" s="562"/>
      <c r="X33" s="272"/>
    </row>
    <row r="34" spans="1:24" s="589" customFormat="1" ht="18" customHeight="1">
      <c r="A34" s="433"/>
      <c r="B34" s="433"/>
      <c r="C34" s="470">
        <v>4110</v>
      </c>
      <c r="D34" s="467" t="s">
        <v>696</v>
      </c>
      <c r="E34" s="468"/>
      <c r="F34" s="468"/>
      <c r="G34" s="468"/>
      <c r="H34" s="468"/>
      <c r="I34" s="468"/>
      <c r="J34" s="468"/>
      <c r="K34" s="468"/>
      <c r="L34" s="468"/>
      <c r="M34" s="468"/>
      <c r="N34" s="468">
        <v>2000</v>
      </c>
      <c r="O34" s="468">
        <f t="shared" si="0"/>
        <v>2000</v>
      </c>
      <c r="P34" s="468">
        <f>F34+N34</f>
        <v>2000</v>
      </c>
      <c r="Q34" s="468"/>
      <c r="R34" s="588">
        <f>H34+N34</f>
        <v>2000</v>
      </c>
      <c r="S34" s="468"/>
      <c r="T34" s="468"/>
      <c r="U34" s="468"/>
      <c r="V34" s="468"/>
      <c r="W34" s="468"/>
      <c r="X34" s="272"/>
    </row>
    <row r="35" spans="1:24" s="589" customFormat="1" ht="18" customHeight="1">
      <c r="A35" s="433"/>
      <c r="B35" s="433"/>
      <c r="C35" s="433">
        <v>4120</v>
      </c>
      <c r="D35" s="587" t="s">
        <v>694</v>
      </c>
      <c r="E35" s="588"/>
      <c r="F35" s="588"/>
      <c r="G35" s="588"/>
      <c r="H35" s="588"/>
      <c r="I35" s="588"/>
      <c r="J35" s="588"/>
      <c r="K35" s="588"/>
      <c r="L35" s="588"/>
      <c r="M35" s="588"/>
      <c r="N35" s="588">
        <v>500</v>
      </c>
      <c r="O35" s="588">
        <f t="shared" si="0"/>
        <v>500</v>
      </c>
      <c r="P35" s="468">
        <f>F35+N35</f>
        <v>500</v>
      </c>
      <c r="Q35" s="588"/>
      <c r="R35" s="377">
        <f>H35+N35</f>
        <v>500</v>
      </c>
      <c r="S35" s="588"/>
      <c r="T35" s="588"/>
      <c r="U35" s="588"/>
      <c r="V35" s="588"/>
      <c r="W35" s="588"/>
      <c r="X35" s="272"/>
    </row>
    <row r="36" spans="1:24" s="589" customFormat="1" ht="18" customHeight="1">
      <c r="A36" s="433"/>
      <c r="B36" s="470"/>
      <c r="C36" s="590">
        <v>4170</v>
      </c>
      <c r="D36" s="376" t="s">
        <v>320</v>
      </c>
      <c r="E36" s="377">
        <v>58000</v>
      </c>
      <c r="F36" s="377">
        <v>58000</v>
      </c>
      <c r="G36" s="377">
        <v>58000</v>
      </c>
      <c r="H36" s="377"/>
      <c r="I36" s="377"/>
      <c r="J36" s="377"/>
      <c r="K36" s="377"/>
      <c r="L36" s="377"/>
      <c r="M36" s="377"/>
      <c r="N36" s="377">
        <v>-2500</v>
      </c>
      <c r="O36" s="377">
        <f aca="true" t="shared" si="1" ref="O36:O46">E36+N36</f>
        <v>55500</v>
      </c>
      <c r="P36" s="468">
        <f>F36+N36</f>
        <v>55500</v>
      </c>
      <c r="Q36" s="377">
        <f>G36+N36</f>
        <v>55500</v>
      </c>
      <c r="R36" s="377"/>
      <c r="S36" s="377"/>
      <c r="T36" s="377"/>
      <c r="U36" s="377"/>
      <c r="V36" s="377"/>
      <c r="W36" s="377"/>
      <c r="X36" s="272"/>
    </row>
    <row r="37" spans="1:24" s="143" customFormat="1" ht="19.5" customHeight="1" thickBot="1">
      <c r="A37" s="29">
        <v>757</v>
      </c>
      <c r="B37" s="29"/>
      <c r="C37" s="29"/>
      <c r="D37" s="28" t="s">
        <v>362</v>
      </c>
      <c r="E37" s="30">
        <v>13200000</v>
      </c>
      <c r="F37" s="30">
        <v>13200000</v>
      </c>
      <c r="G37" s="30"/>
      <c r="H37" s="30"/>
      <c r="I37" s="30"/>
      <c r="J37" s="30"/>
      <c r="K37" s="30">
        <v>9200000</v>
      </c>
      <c r="L37" s="30">
        <v>4000000</v>
      </c>
      <c r="M37" s="30"/>
      <c r="N37" s="30">
        <f>N38</f>
        <v>0</v>
      </c>
      <c r="O37" s="30">
        <f t="shared" si="1"/>
        <v>13200000</v>
      </c>
      <c r="P37" s="30">
        <f>F37+N40+N41</f>
        <v>13200000</v>
      </c>
      <c r="Q37" s="30"/>
      <c r="R37" s="30"/>
      <c r="S37" s="30"/>
      <c r="T37" s="30"/>
      <c r="U37" s="30">
        <f>K37+N41</f>
        <v>9175000</v>
      </c>
      <c r="V37" s="30">
        <f>L37</f>
        <v>4000000</v>
      </c>
      <c r="W37" s="30"/>
      <c r="X37" s="272"/>
    </row>
    <row r="38" spans="1:24" s="143" customFormat="1" ht="24.75" customHeight="1">
      <c r="A38" s="278"/>
      <c r="B38" s="279">
        <v>75702</v>
      </c>
      <c r="C38" s="279"/>
      <c r="D38" s="792" t="s">
        <v>363</v>
      </c>
      <c r="E38" s="257">
        <v>9200000</v>
      </c>
      <c r="F38" s="257">
        <v>9200000</v>
      </c>
      <c r="G38" s="257"/>
      <c r="H38" s="257"/>
      <c r="I38" s="257"/>
      <c r="J38" s="257"/>
      <c r="K38" s="257">
        <v>9200000</v>
      </c>
      <c r="L38" s="257"/>
      <c r="M38" s="257"/>
      <c r="N38" s="257">
        <f>N39</f>
        <v>0</v>
      </c>
      <c r="O38" s="257">
        <f t="shared" si="1"/>
        <v>9200000</v>
      </c>
      <c r="P38" s="257">
        <f>F38+N40+N41</f>
        <v>9200000</v>
      </c>
      <c r="Q38" s="257"/>
      <c r="R38" s="257"/>
      <c r="S38" s="257"/>
      <c r="T38" s="257"/>
      <c r="U38" s="257">
        <f>K38+N41</f>
        <v>9175000</v>
      </c>
      <c r="V38" s="257"/>
      <c r="W38" s="257"/>
      <c r="X38" s="272"/>
    </row>
    <row r="39" spans="1:24" s="143" customFormat="1" ht="18" customHeight="1">
      <c r="A39" s="278"/>
      <c r="B39" s="278"/>
      <c r="C39" s="286"/>
      <c r="D39" s="1134" t="s">
        <v>364</v>
      </c>
      <c r="E39" s="562">
        <v>6100000</v>
      </c>
      <c r="F39" s="562">
        <v>6100000</v>
      </c>
      <c r="G39" s="562"/>
      <c r="H39" s="562"/>
      <c r="I39" s="562"/>
      <c r="J39" s="562"/>
      <c r="K39" s="562">
        <v>6100000</v>
      </c>
      <c r="L39" s="562"/>
      <c r="M39" s="562"/>
      <c r="N39" s="562">
        <f>SUM(N40:N41)</f>
        <v>0</v>
      </c>
      <c r="O39" s="562">
        <f t="shared" si="1"/>
        <v>6100000</v>
      </c>
      <c r="P39" s="562">
        <f>F39+N40+N41</f>
        <v>6100000</v>
      </c>
      <c r="Q39" s="562"/>
      <c r="R39" s="562"/>
      <c r="S39" s="562"/>
      <c r="T39" s="562"/>
      <c r="U39" s="562">
        <f>K39+N41</f>
        <v>6075000</v>
      </c>
      <c r="V39" s="562"/>
      <c r="W39" s="562"/>
      <c r="X39" s="272"/>
    </row>
    <row r="40" spans="1:24" s="284" customFormat="1" ht="18" customHeight="1">
      <c r="A40" s="281"/>
      <c r="B40" s="281"/>
      <c r="C40" s="282">
        <v>4300</v>
      </c>
      <c r="D40" s="177" t="s">
        <v>322</v>
      </c>
      <c r="E40" s="258"/>
      <c r="F40" s="258"/>
      <c r="G40" s="258"/>
      <c r="H40" s="258"/>
      <c r="I40" s="258"/>
      <c r="J40" s="258"/>
      <c r="K40" s="258"/>
      <c r="L40" s="258"/>
      <c r="M40" s="258"/>
      <c r="N40" s="258">
        <v>25000</v>
      </c>
      <c r="O40" s="258">
        <f t="shared" si="1"/>
        <v>25000</v>
      </c>
      <c r="P40" s="258">
        <f>F40+N40</f>
        <v>25000</v>
      </c>
      <c r="Q40" s="258"/>
      <c r="R40" s="258"/>
      <c r="S40" s="258"/>
      <c r="T40" s="258"/>
      <c r="U40" s="258"/>
      <c r="V40" s="258"/>
      <c r="W40" s="258"/>
      <c r="X40" s="272"/>
    </row>
    <row r="41" spans="1:24" s="589" customFormat="1" ht="38.25">
      <c r="A41" s="433"/>
      <c r="B41" s="433"/>
      <c r="C41" s="985">
        <v>8070</v>
      </c>
      <c r="D41" s="177" t="s">
        <v>365</v>
      </c>
      <c r="E41" s="1240">
        <v>6100000</v>
      </c>
      <c r="F41" s="1240">
        <v>6100000</v>
      </c>
      <c r="G41" s="1240"/>
      <c r="H41" s="1240"/>
      <c r="I41" s="1240"/>
      <c r="J41" s="1240"/>
      <c r="K41" s="1240">
        <v>6100000</v>
      </c>
      <c r="L41" s="1240"/>
      <c r="M41" s="1240"/>
      <c r="N41" s="1240">
        <v>-25000</v>
      </c>
      <c r="O41" s="1240">
        <f t="shared" si="1"/>
        <v>6075000</v>
      </c>
      <c r="P41" s="258">
        <f>F41+N41</f>
        <v>6075000</v>
      </c>
      <c r="Q41" s="1240"/>
      <c r="R41" s="1240"/>
      <c r="S41" s="1240"/>
      <c r="T41" s="1240"/>
      <c r="U41" s="1240">
        <f>K41+N41</f>
        <v>6075000</v>
      </c>
      <c r="V41" s="1240"/>
      <c r="W41" s="1240"/>
      <c r="X41" s="272"/>
    </row>
    <row r="42" spans="1:24" s="143" customFormat="1" ht="19.5" customHeight="1" thickBot="1">
      <c r="A42" s="29">
        <v>758</v>
      </c>
      <c r="B42" s="29"/>
      <c r="C42" s="29"/>
      <c r="D42" s="28" t="s">
        <v>391</v>
      </c>
      <c r="E42" s="30">
        <v>10761841</v>
      </c>
      <c r="F42" s="30">
        <v>10261841</v>
      </c>
      <c r="G42" s="30">
        <v>85499</v>
      </c>
      <c r="H42" s="30">
        <v>985</v>
      </c>
      <c r="I42" s="30"/>
      <c r="J42" s="30"/>
      <c r="K42" s="30"/>
      <c r="L42" s="30"/>
      <c r="M42" s="30">
        <v>500000</v>
      </c>
      <c r="N42" s="30">
        <f>N43</f>
        <v>-151070</v>
      </c>
      <c r="O42" s="30">
        <f t="shared" si="1"/>
        <v>10610771</v>
      </c>
      <c r="P42" s="30">
        <f>F42+N45</f>
        <v>10110771</v>
      </c>
      <c r="Q42" s="30">
        <f>G42</f>
        <v>85499</v>
      </c>
      <c r="R42" s="30">
        <f>H42</f>
        <v>985</v>
      </c>
      <c r="S42" s="30"/>
      <c r="T42" s="30"/>
      <c r="U42" s="30"/>
      <c r="V42" s="30"/>
      <c r="W42" s="30">
        <f>M42</f>
        <v>500000</v>
      </c>
      <c r="X42" s="272"/>
    </row>
    <row r="43" spans="1:24" s="143" customFormat="1" ht="18.75" customHeight="1">
      <c r="A43" s="278"/>
      <c r="B43" s="279">
        <v>75818</v>
      </c>
      <c r="C43" s="279"/>
      <c r="D43" s="280" t="s">
        <v>392</v>
      </c>
      <c r="E43" s="257">
        <v>4879575</v>
      </c>
      <c r="F43" s="257">
        <v>4379575</v>
      </c>
      <c r="G43" s="257"/>
      <c r="H43" s="257"/>
      <c r="I43" s="257"/>
      <c r="J43" s="257"/>
      <c r="K43" s="257"/>
      <c r="L43" s="257"/>
      <c r="M43" s="257">
        <v>500000</v>
      </c>
      <c r="N43" s="257">
        <f>N44</f>
        <v>-151070</v>
      </c>
      <c r="O43" s="257">
        <f t="shared" si="1"/>
        <v>4728505</v>
      </c>
      <c r="P43" s="257">
        <f>F43+N45</f>
        <v>4228505</v>
      </c>
      <c r="Q43" s="257"/>
      <c r="R43" s="257"/>
      <c r="S43" s="257"/>
      <c r="T43" s="257"/>
      <c r="U43" s="257"/>
      <c r="V43" s="257"/>
      <c r="W43" s="257">
        <f>M43</f>
        <v>500000</v>
      </c>
      <c r="X43" s="272"/>
    </row>
    <row r="44" spans="1:24" s="143" customFormat="1" ht="16.5" customHeight="1">
      <c r="A44" s="278"/>
      <c r="B44" s="278"/>
      <c r="C44" s="286"/>
      <c r="D44" s="547" t="s">
        <v>624</v>
      </c>
      <c r="E44" s="562">
        <v>3480800</v>
      </c>
      <c r="F44" s="562">
        <v>3480800</v>
      </c>
      <c r="G44" s="562"/>
      <c r="H44" s="562"/>
      <c r="I44" s="562"/>
      <c r="J44" s="562"/>
      <c r="K44" s="562"/>
      <c r="L44" s="562"/>
      <c r="M44" s="562"/>
      <c r="N44" s="562">
        <f>N45</f>
        <v>-151070</v>
      </c>
      <c r="O44" s="562">
        <f t="shared" si="1"/>
        <v>3329730</v>
      </c>
      <c r="P44" s="562">
        <f>F44+N45</f>
        <v>3329730</v>
      </c>
      <c r="Q44" s="562"/>
      <c r="R44" s="562"/>
      <c r="S44" s="562"/>
      <c r="T44" s="562"/>
      <c r="U44" s="562"/>
      <c r="V44" s="562"/>
      <c r="W44" s="562"/>
      <c r="X44" s="272"/>
    </row>
    <row r="45" spans="1:24" s="284" customFormat="1" ht="16.5" customHeight="1">
      <c r="A45" s="281"/>
      <c r="B45" s="281"/>
      <c r="C45" s="282">
        <v>4810</v>
      </c>
      <c r="D45" s="177" t="s">
        <v>625</v>
      </c>
      <c r="E45" s="258">
        <v>3480800</v>
      </c>
      <c r="F45" s="258">
        <v>3480800</v>
      </c>
      <c r="G45" s="258"/>
      <c r="H45" s="258"/>
      <c r="I45" s="258"/>
      <c r="J45" s="258"/>
      <c r="K45" s="258"/>
      <c r="L45" s="258"/>
      <c r="M45" s="258"/>
      <c r="N45" s="258">
        <f>-147000-70-4000</f>
        <v>-151070</v>
      </c>
      <c r="O45" s="258">
        <f t="shared" si="1"/>
        <v>3329730</v>
      </c>
      <c r="P45" s="258">
        <f>F45+N45</f>
        <v>3329730</v>
      </c>
      <c r="Q45" s="258"/>
      <c r="R45" s="258"/>
      <c r="S45" s="258"/>
      <c r="T45" s="258"/>
      <c r="U45" s="258"/>
      <c r="V45" s="258"/>
      <c r="W45" s="258"/>
      <c r="X45" s="272"/>
    </row>
    <row r="46" spans="1:24" s="143" customFormat="1" ht="19.5" customHeight="1" thickBot="1">
      <c r="A46" s="29">
        <v>801</v>
      </c>
      <c r="B46" s="29"/>
      <c r="C46" s="29"/>
      <c r="D46" s="28" t="s">
        <v>395</v>
      </c>
      <c r="E46" s="30">
        <v>401944947</v>
      </c>
      <c r="F46" s="30">
        <v>360334638</v>
      </c>
      <c r="G46" s="30">
        <v>235985535</v>
      </c>
      <c r="H46" s="30">
        <v>46922885</v>
      </c>
      <c r="I46" s="30">
        <v>27731915</v>
      </c>
      <c r="J46" s="30">
        <v>7244562</v>
      </c>
      <c r="K46" s="30"/>
      <c r="L46" s="30"/>
      <c r="M46" s="30">
        <v>41610309</v>
      </c>
      <c r="N46" s="30">
        <f>N47+N63+N68+N112+N103+N76+N93+N72+N86+N89+N117</f>
        <v>9697</v>
      </c>
      <c r="O46" s="30">
        <f t="shared" si="1"/>
        <v>401954644</v>
      </c>
      <c r="P46" s="30">
        <f>F46+N46-N85-N111</f>
        <v>360137235</v>
      </c>
      <c r="Q46" s="30">
        <f>G46+N96+N114+N121</f>
        <v>235990370</v>
      </c>
      <c r="R46" s="30">
        <f>H46+N49+N95+N119+N120</f>
        <v>46874414</v>
      </c>
      <c r="S46" s="30">
        <f>I46</f>
        <v>27731915</v>
      </c>
      <c r="T46" s="30">
        <f>J46+N107+N53+N71+N82+N100</f>
        <v>7079156</v>
      </c>
      <c r="U46" s="30"/>
      <c r="V46" s="30"/>
      <c r="W46" s="30">
        <f>M46+N111+N85</f>
        <v>41817409</v>
      </c>
      <c r="X46" s="272"/>
    </row>
    <row r="47" spans="1:24" s="143" customFormat="1" ht="18" customHeight="1">
      <c r="A47" s="278"/>
      <c r="B47" s="279">
        <v>80101</v>
      </c>
      <c r="C47" s="279"/>
      <c r="D47" s="280" t="s">
        <v>396</v>
      </c>
      <c r="E47" s="257">
        <v>119382667</v>
      </c>
      <c r="F47" s="257">
        <v>92033861</v>
      </c>
      <c r="G47" s="257">
        <v>63220270</v>
      </c>
      <c r="H47" s="257">
        <v>13016100</v>
      </c>
      <c r="I47" s="257">
        <v>1335000</v>
      </c>
      <c r="J47" s="257">
        <v>2223600</v>
      </c>
      <c r="K47" s="257"/>
      <c r="L47" s="257"/>
      <c r="M47" s="257">
        <v>27348806</v>
      </c>
      <c r="N47" s="257">
        <f>N48+N58+N60</f>
        <v>-54706</v>
      </c>
      <c r="O47" s="257">
        <f aca="true" t="shared" si="2" ref="O47:O67">E47+N47</f>
        <v>119327961</v>
      </c>
      <c r="P47" s="257">
        <f>F47+N51+N53+N59+N49+N50+N54+N55+N56+N57+N61+N62</f>
        <v>91979155</v>
      </c>
      <c r="Q47" s="257">
        <f>G47</f>
        <v>63220270</v>
      </c>
      <c r="R47" s="257">
        <f>H47+N49</f>
        <v>12976100</v>
      </c>
      <c r="S47" s="257">
        <f>I47</f>
        <v>1335000</v>
      </c>
      <c r="T47" s="257">
        <f>J47+N53</f>
        <v>2230301</v>
      </c>
      <c r="U47" s="257"/>
      <c r="V47" s="257"/>
      <c r="W47" s="257">
        <f>M47</f>
        <v>27348806</v>
      </c>
      <c r="X47" s="272"/>
    </row>
    <row r="48" spans="1:24" s="143" customFormat="1" ht="24" customHeight="1">
      <c r="A48" s="278"/>
      <c r="B48" s="278"/>
      <c r="C48" s="278"/>
      <c r="D48" s="524" t="s">
        <v>716</v>
      </c>
      <c r="E48" s="525">
        <v>117193997</v>
      </c>
      <c r="F48" s="525">
        <v>89845191</v>
      </c>
      <c r="G48" s="525">
        <v>62549000</v>
      </c>
      <c r="H48" s="525">
        <v>12821200</v>
      </c>
      <c r="I48" s="525"/>
      <c r="J48" s="525">
        <v>2223600</v>
      </c>
      <c r="K48" s="525"/>
      <c r="L48" s="525"/>
      <c r="M48" s="525">
        <v>27348806</v>
      </c>
      <c r="N48" s="525">
        <f>SUM(N49:N57)-N53</f>
        <v>-57156</v>
      </c>
      <c r="O48" s="525">
        <f t="shared" si="2"/>
        <v>117136841</v>
      </c>
      <c r="P48" s="525">
        <f>F48+N51+N53+N49+N50+N54+N55+N56+N57+N61+N62</f>
        <v>89788035</v>
      </c>
      <c r="Q48" s="525">
        <f>G48</f>
        <v>62549000</v>
      </c>
      <c r="R48" s="525">
        <f>H48+N49</f>
        <v>12781200</v>
      </c>
      <c r="S48" s="525"/>
      <c r="T48" s="525">
        <f>J48+N53</f>
        <v>2230301</v>
      </c>
      <c r="U48" s="525"/>
      <c r="V48" s="525"/>
      <c r="W48" s="525">
        <f>M48</f>
        <v>27348806</v>
      </c>
      <c r="X48" s="272"/>
    </row>
    <row r="49" spans="1:24" s="284" customFormat="1" ht="18" customHeight="1">
      <c r="A49" s="282"/>
      <c r="B49" s="282"/>
      <c r="C49" s="282">
        <v>4110</v>
      </c>
      <c r="D49" s="1074" t="s">
        <v>696</v>
      </c>
      <c r="E49" s="283">
        <v>11383870</v>
      </c>
      <c r="F49" s="283">
        <v>11383870</v>
      </c>
      <c r="G49" s="283"/>
      <c r="H49" s="283">
        <v>11383870</v>
      </c>
      <c r="I49" s="283"/>
      <c r="J49" s="283"/>
      <c r="K49" s="283"/>
      <c r="L49" s="283"/>
      <c r="M49" s="283"/>
      <c r="N49" s="283">
        <v>-40000</v>
      </c>
      <c r="O49" s="283">
        <f t="shared" si="2"/>
        <v>11343870</v>
      </c>
      <c r="P49" s="283">
        <f aca="true" t="shared" si="3" ref="P49:P59">F49+N49</f>
        <v>11343870</v>
      </c>
      <c r="Q49" s="283"/>
      <c r="R49" s="283">
        <f>H49+N49</f>
        <v>11343870</v>
      </c>
      <c r="S49" s="283"/>
      <c r="T49" s="283"/>
      <c r="U49" s="283"/>
      <c r="V49" s="283"/>
      <c r="W49" s="283"/>
      <c r="X49" s="272"/>
    </row>
    <row r="50" spans="1:24" s="284" customFormat="1" ht="18.75" customHeight="1">
      <c r="A50" s="281"/>
      <c r="B50" s="281"/>
      <c r="C50" s="282">
        <v>4210</v>
      </c>
      <c r="D50" s="177" t="s">
        <v>321</v>
      </c>
      <c r="E50" s="262">
        <v>1015673</v>
      </c>
      <c r="F50" s="262">
        <v>1015673</v>
      </c>
      <c r="G50" s="262"/>
      <c r="H50" s="262"/>
      <c r="I50" s="262"/>
      <c r="J50" s="262"/>
      <c r="K50" s="262"/>
      <c r="L50" s="262"/>
      <c r="M50" s="262"/>
      <c r="N50" s="262">
        <v>13193</v>
      </c>
      <c r="O50" s="262">
        <f t="shared" si="2"/>
        <v>1028866</v>
      </c>
      <c r="P50" s="262">
        <f t="shared" si="3"/>
        <v>1028866</v>
      </c>
      <c r="Q50" s="262"/>
      <c r="R50" s="262"/>
      <c r="S50" s="262"/>
      <c r="T50" s="262"/>
      <c r="U50" s="262"/>
      <c r="V50" s="262"/>
      <c r="W50" s="262"/>
      <c r="X50" s="272"/>
    </row>
    <row r="51" spans="1:24" s="284" customFormat="1" ht="18.75" customHeight="1">
      <c r="A51" s="281"/>
      <c r="B51" s="281"/>
      <c r="C51" s="282">
        <v>4260</v>
      </c>
      <c r="D51" s="177" t="s">
        <v>605</v>
      </c>
      <c r="E51" s="258">
        <v>4798986</v>
      </c>
      <c r="F51" s="258">
        <v>4798986</v>
      </c>
      <c r="G51" s="258"/>
      <c r="H51" s="258"/>
      <c r="I51" s="258"/>
      <c r="J51" s="258"/>
      <c r="K51" s="258"/>
      <c r="L51" s="258"/>
      <c r="M51" s="258"/>
      <c r="N51" s="258">
        <f>-43656</f>
        <v>-43656</v>
      </c>
      <c r="O51" s="258">
        <f t="shared" si="2"/>
        <v>4755330</v>
      </c>
      <c r="P51" s="258">
        <f t="shared" si="3"/>
        <v>4755330</v>
      </c>
      <c r="Q51" s="258"/>
      <c r="R51" s="258"/>
      <c r="S51" s="258"/>
      <c r="T51" s="258"/>
      <c r="U51" s="258"/>
      <c r="V51" s="258"/>
      <c r="W51" s="258"/>
      <c r="X51" s="272"/>
    </row>
    <row r="52" spans="1:24" s="284" customFormat="1" ht="18" customHeight="1">
      <c r="A52" s="281"/>
      <c r="B52" s="281"/>
      <c r="C52" s="281"/>
      <c r="D52" s="1013" t="s">
        <v>717</v>
      </c>
      <c r="E52" s="886">
        <v>2223600</v>
      </c>
      <c r="F52" s="886">
        <v>2223600</v>
      </c>
      <c r="G52" s="886"/>
      <c r="H52" s="886"/>
      <c r="I52" s="886"/>
      <c r="J52" s="886">
        <v>2223600</v>
      </c>
      <c r="K52" s="886"/>
      <c r="L52" s="886"/>
      <c r="M52" s="886"/>
      <c r="N52" s="886">
        <v>6701</v>
      </c>
      <c r="O52" s="886">
        <f t="shared" si="2"/>
        <v>2230301</v>
      </c>
      <c r="P52" s="886">
        <f t="shared" si="3"/>
        <v>2230301</v>
      </c>
      <c r="Q52" s="886"/>
      <c r="R52" s="886"/>
      <c r="S52" s="886"/>
      <c r="T52" s="886">
        <f>J52+N52</f>
        <v>2230301</v>
      </c>
      <c r="U52" s="886"/>
      <c r="V52" s="886"/>
      <c r="W52" s="886"/>
      <c r="X52" s="272"/>
    </row>
    <row r="53" spans="1:24" s="284" customFormat="1" ht="18" customHeight="1">
      <c r="A53" s="281"/>
      <c r="B53" s="281"/>
      <c r="C53" s="282">
        <v>4270</v>
      </c>
      <c r="D53" s="177" t="s">
        <v>718</v>
      </c>
      <c r="E53" s="258">
        <v>2223600</v>
      </c>
      <c r="F53" s="258">
        <v>2223600</v>
      </c>
      <c r="G53" s="258"/>
      <c r="H53" s="258"/>
      <c r="I53" s="258"/>
      <c r="J53" s="258">
        <v>2223600</v>
      </c>
      <c r="K53" s="258"/>
      <c r="L53" s="258"/>
      <c r="M53" s="258"/>
      <c r="N53" s="258">
        <f>N52</f>
        <v>6701</v>
      </c>
      <c r="O53" s="258">
        <f t="shared" si="2"/>
        <v>2230301</v>
      </c>
      <c r="P53" s="258">
        <f t="shared" si="3"/>
        <v>2230301</v>
      </c>
      <c r="Q53" s="258"/>
      <c r="R53" s="258"/>
      <c r="S53" s="258"/>
      <c r="T53" s="258">
        <f>J53+N53</f>
        <v>2230301</v>
      </c>
      <c r="U53" s="258"/>
      <c r="V53" s="258"/>
      <c r="W53" s="258"/>
      <c r="X53" s="272"/>
    </row>
    <row r="54" spans="1:24" s="284" customFormat="1" ht="18" customHeight="1">
      <c r="A54" s="281"/>
      <c r="B54" s="281"/>
      <c r="C54" s="636">
        <v>4280</v>
      </c>
      <c r="D54" s="546" t="s">
        <v>116</v>
      </c>
      <c r="E54" s="1076">
        <v>87440</v>
      </c>
      <c r="F54" s="1076">
        <v>87440</v>
      </c>
      <c r="G54" s="1076"/>
      <c r="H54" s="1076"/>
      <c r="I54" s="1076"/>
      <c r="J54" s="1076"/>
      <c r="K54" s="1076"/>
      <c r="L54" s="1076"/>
      <c r="M54" s="1076"/>
      <c r="N54" s="1076">
        <v>1206</v>
      </c>
      <c r="O54" s="1076">
        <f t="shared" si="2"/>
        <v>88646</v>
      </c>
      <c r="P54" s="1076">
        <f t="shared" si="3"/>
        <v>88646</v>
      </c>
      <c r="Q54" s="1076"/>
      <c r="R54" s="1076"/>
      <c r="S54" s="1076"/>
      <c r="T54" s="1076"/>
      <c r="U54" s="1076"/>
      <c r="V54" s="1076"/>
      <c r="W54" s="1076"/>
      <c r="X54" s="272"/>
    </row>
    <row r="55" spans="1:24" s="284" customFormat="1" ht="18" customHeight="1">
      <c r="A55" s="281"/>
      <c r="B55" s="281"/>
      <c r="C55" s="290">
        <v>4300</v>
      </c>
      <c r="D55" s="387" t="s">
        <v>322</v>
      </c>
      <c r="E55" s="262">
        <v>660376</v>
      </c>
      <c r="F55" s="262">
        <v>660376</v>
      </c>
      <c r="G55" s="262"/>
      <c r="H55" s="262"/>
      <c r="I55" s="262"/>
      <c r="J55" s="262"/>
      <c r="K55" s="262"/>
      <c r="L55" s="262"/>
      <c r="M55" s="262"/>
      <c r="N55" s="262">
        <v>6500</v>
      </c>
      <c r="O55" s="262">
        <f t="shared" si="2"/>
        <v>666876</v>
      </c>
      <c r="P55" s="1076">
        <f t="shared" si="3"/>
        <v>666876</v>
      </c>
      <c r="Q55" s="262"/>
      <c r="R55" s="262"/>
      <c r="S55" s="262"/>
      <c r="T55" s="262"/>
      <c r="U55" s="262"/>
      <c r="V55" s="262"/>
      <c r="W55" s="262"/>
      <c r="X55" s="272"/>
    </row>
    <row r="56" spans="1:24" s="284" customFormat="1" ht="18" customHeight="1">
      <c r="A56" s="281"/>
      <c r="B56" s="281"/>
      <c r="C56" s="290">
        <v>4430</v>
      </c>
      <c r="D56" s="895" t="s">
        <v>393</v>
      </c>
      <c r="E56" s="262">
        <v>101452</v>
      </c>
      <c r="F56" s="262">
        <v>101452</v>
      </c>
      <c r="G56" s="262"/>
      <c r="H56" s="262"/>
      <c r="I56" s="262"/>
      <c r="J56" s="262"/>
      <c r="K56" s="262"/>
      <c r="L56" s="262"/>
      <c r="M56" s="262"/>
      <c r="N56" s="262">
        <v>1500</v>
      </c>
      <c r="O56" s="262">
        <f t="shared" si="2"/>
        <v>102952</v>
      </c>
      <c r="P56" s="1076">
        <f t="shared" si="3"/>
        <v>102952</v>
      </c>
      <c r="Q56" s="262"/>
      <c r="R56" s="262"/>
      <c r="S56" s="262"/>
      <c r="T56" s="262"/>
      <c r="U56" s="262"/>
      <c r="V56" s="262"/>
      <c r="W56" s="262"/>
      <c r="X56" s="272"/>
    </row>
    <row r="57" spans="1:24" s="284" customFormat="1" ht="25.5">
      <c r="A57" s="281"/>
      <c r="B57" s="281"/>
      <c r="C57" s="281">
        <v>4700</v>
      </c>
      <c r="D57" s="1133" t="s">
        <v>695</v>
      </c>
      <c r="E57" s="528">
        <v>163156</v>
      </c>
      <c r="F57" s="528">
        <v>163156</v>
      </c>
      <c r="G57" s="528"/>
      <c r="H57" s="528"/>
      <c r="I57" s="528"/>
      <c r="J57" s="528"/>
      <c r="K57" s="528"/>
      <c r="L57" s="528"/>
      <c r="M57" s="528"/>
      <c r="N57" s="528">
        <v>-2600</v>
      </c>
      <c r="O57" s="528">
        <f t="shared" si="2"/>
        <v>160556</v>
      </c>
      <c r="P57" s="1076">
        <f t="shared" si="3"/>
        <v>160556</v>
      </c>
      <c r="Q57" s="528"/>
      <c r="R57" s="528"/>
      <c r="S57" s="528"/>
      <c r="T57" s="528"/>
      <c r="U57" s="528"/>
      <c r="V57" s="528"/>
      <c r="W57" s="528"/>
      <c r="X57" s="272"/>
    </row>
    <row r="58" spans="1:24" s="143" customFormat="1" ht="18.75" customHeight="1">
      <c r="A58" s="278"/>
      <c r="B58" s="278"/>
      <c r="C58" s="286"/>
      <c r="D58" s="524" t="s">
        <v>69</v>
      </c>
      <c r="E58" s="525">
        <v>450000</v>
      </c>
      <c r="F58" s="525">
        <v>450000</v>
      </c>
      <c r="G58" s="525">
        <v>352000</v>
      </c>
      <c r="H58" s="525">
        <v>71900</v>
      </c>
      <c r="I58" s="525"/>
      <c r="J58" s="525"/>
      <c r="K58" s="525"/>
      <c r="L58" s="525"/>
      <c r="M58" s="525"/>
      <c r="N58" s="525">
        <f>SUM(N59:N59)</f>
        <v>2450</v>
      </c>
      <c r="O58" s="525">
        <f t="shared" si="2"/>
        <v>452450</v>
      </c>
      <c r="P58" s="525">
        <f t="shared" si="3"/>
        <v>452450</v>
      </c>
      <c r="Q58" s="525">
        <f>G58</f>
        <v>352000</v>
      </c>
      <c r="R58" s="525">
        <f>H58</f>
        <v>71900</v>
      </c>
      <c r="S58" s="525"/>
      <c r="T58" s="525"/>
      <c r="U58" s="525"/>
      <c r="V58" s="525"/>
      <c r="W58" s="525"/>
      <c r="X58" s="272"/>
    </row>
    <row r="59" spans="1:24" s="284" customFormat="1" ht="18" customHeight="1">
      <c r="A59" s="281"/>
      <c r="B59" s="281"/>
      <c r="C59" s="282">
        <v>3020</v>
      </c>
      <c r="D59" s="1074" t="s">
        <v>70</v>
      </c>
      <c r="E59" s="283">
        <v>3265</v>
      </c>
      <c r="F59" s="283">
        <v>3265</v>
      </c>
      <c r="G59" s="283"/>
      <c r="H59" s="283"/>
      <c r="I59" s="283"/>
      <c r="J59" s="283"/>
      <c r="K59" s="283"/>
      <c r="L59" s="283"/>
      <c r="M59" s="283"/>
      <c r="N59" s="283">
        <v>2450</v>
      </c>
      <c r="O59" s="283">
        <f t="shared" si="2"/>
        <v>5715</v>
      </c>
      <c r="P59" s="283">
        <f t="shared" si="3"/>
        <v>5715</v>
      </c>
      <c r="Q59" s="283"/>
      <c r="R59" s="283"/>
      <c r="S59" s="283"/>
      <c r="T59" s="283"/>
      <c r="U59" s="283"/>
      <c r="V59" s="283"/>
      <c r="W59" s="283"/>
      <c r="X59" s="272"/>
    </row>
    <row r="60" spans="1:29" s="1466" customFormat="1" ht="20.25" customHeight="1">
      <c r="A60" s="278"/>
      <c r="B60" s="278"/>
      <c r="C60" s="278"/>
      <c r="D60" s="547" t="s">
        <v>577</v>
      </c>
      <c r="E60" s="562">
        <v>21400</v>
      </c>
      <c r="F60" s="562">
        <v>21400</v>
      </c>
      <c r="G60" s="562"/>
      <c r="H60" s="562"/>
      <c r="I60" s="562"/>
      <c r="J60" s="562"/>
      <c r="K60" s="562"/>
      <c r="L60" s="562"/>
      <c r="M60" s="562"/>
      <c r="N60" s="562">
        <f>SUM(N61:N62)</f>
        <v>0</v>
      </c>
      <c r="O60" s="562">
        <f t="shared" si="2"/>
        <v>21400</v>
      </c>
      <c r="P60" s="562">
        <f>F60+N61+N62</f>
        <v>21400</v>
      </c>
      <c r="Q60" s="562"/>
      <c r="R60" s="562"/>
      <c r="S60" s="562"/>
      <c r="T60" s="562"/>
      <c r="U60" s="562"/>
      <c r="V60" s="562"/>
      <c r="W60" s="562"/>
      <c r="X60" s="272"/>
      <c r="Y60" s="143"/>
      <c r="Z60" s="143"/>
      <c r="AA60" s="143"/>
      <c r="AB60" s="143"/>
      <c r="AC60" s="143"/>
    </row>
    <row r="61" spans="1:29" s="285" customFormat="1" ht="40.5" customHeight="1">
      <c r="A61" s="281"/>
      <c r="B61" s="281"/>
      <c r="C61" s="282">
        <v>2917</v>
      </c>
      <c r="D61" s="154" t="s">
        <v>578</v>
      </c>
      <c r="E61" s="528"/>
      <c r="F61" s="528"/>
      <c r="G61" s="528"/>
      <c r="H61" s="528"/>
      <c r="I61" s="528"/>
      <c r="J61" s="528"/>
      <c r="K61" s="528"/>
      <c r="L61" s="528"/>
      <c r="M61" s="528"/>
      <c r="N61" s="528">
        <v>350</v>
      </c>
      <c r="O61" s="528">
        <f t="shared" si="2"/>
        <v>350</v>
      </c>
      <c r="P61" s="528">
        <f>F61+N61</f>
        <v>350</v>
      </c>
      <c r="Q61" s="528"/>
      <c r="R61" s="528"/>
      <c r="S61" s="528"/>
      <c r="T61" s="528"/>
      <c r="U61" s="528"/>
      <c r="V61" s="528"/>
      <c r="W61" s="528"/>
      <c r="X61" s="272"/>
      <c r="Y61" s="284"/>
      <c r="Z61" s="284"/>
      <c r="AA61" s="284"/>
      <c r="AB61" s="284"/>
      <c r="AC61" s="284"/>
    </row>
    <row r="62" spans="1:24" s="284" customFormat="1" ht="18" customHeight="1">
      <c r="A62" s="281"/>
      <c r="B62" s="281"/>
      <c r="C62" s="290">
        <v>4427</v>
      </c>
      <c r="D62" s="369" t="s">
        <v>576</v>
      </c>
      <c r="E62" s="262">
        <v>14314</v>
      </c>
      <c r="F62" s="262">
        <v>14314</v>
      </c>
      <c r="G62" s="262"/>
      <c r="H62" s="262"/>
      <c r="I62" s="262"/>
      <c r="J62" s="262"/>
      <c r="K62" s="262"/>
      <c r="L62" s="262"/>
      <c r="M62" s="262"/>
      <c r="N62" s="262">
        <v>-350</v>
      </c>
      <c r="O62" s="262">
        <f t="shared" si="2"/>
        <v>13964</v>
      </c>
      <c r="P62" s="262">
        <f>F62+N62</f>
        <v>13964</v>
      </c>
      <c r="Q62" s="262"/>
      <c r="R62" s="262"/>
      <c r="S62" s="262"/>
      <c r="T62" s="262"/>
      <c r="U62" s="262"/>
      <c r="V62" s="262"/>
      <c r="W62" s="262"/>
      <c r="X62" s="272"/>
    </row>
    <row r="63" spans="1:24" s="143" customFormat="1" ht="19.5" customHeight="1">
      <c r="A63" s="278"/>
      <c r="B63" s="291">
        <v>80102</v>
      </c>
      <c r="C63" s="291"/>
      <c r="D63" s="629" t="s">
        <v>593</v>
      </c>
      <c r="E63" s="630">
        <v>7390440</v>
      </c>
      <c r="F63" s="630">
        <v>7385440</v>
      </c>
      <c r="G63" s="630">
        <v>5722510</v>
      </c>
      <c r="H63" s="630">
        <v>1082800</v>
      </c>
      <c r="I63" s="630"/>
      <c r="J63" s="630"/>
      <c r="K63" s="630"/>
      <c r="L63" s="630"/>
      <c r="M63" s="630">
        <v>5000</v>
      </c>
      <c r="N63" s="630">
        <f>N64</f>
        <v>5348</v>
      </c>
      <c r="O63" s="630">
        <f t="shared" si="2"/>
        <v>7395788</v>
      </c>
      <c r="P63" s="630">
        <f>F63+N66+N67+N65</f>
        <v>7390788</v>
      </c>
      <c r="Q63" s="630">
        <f>G63</f>
        <v>5722510</v>
      </c>
      <c r="R63" s="630">
        <f>H63</f>
        <v>1082800</v>
      </c>
      <c r="S63" s="630"/>
      <c r="T63" s="630"/>
      <c r="U63" s="630"/>
      <c r="V63" s="630"/>
      <c r="W63" s="630">
        <f>M63</f>
        <v>5000</v>
      </c>
      <c r="X63" s="272"/>
    </row>
    <row r="64" spans="1:24" s="143" customFormat="1" ht="26.25" customHeight="1">
      <c r="A64" s="278"/>
      <c r="B64" s="278"/>
      <c r="C64" s="278"/>
      <c r="D64" s="1090" t="s">
        <v>246</v>
      </c>
      <c r="E64" s="525">
        <v>7387430</v>
      </c>
      <c r="F64" s="525">
        <v>7382430</v>
      </c>
      <c r="G64" s="525">
        <v>5720000</v>
      </c>
      <c r="H64" s="525">
        <v>1082300</v>
      </c>
      <c r="I64" s="525"/>
      <c r="J64" s="525"/>
      <c r="K64" s="525"/>
      <c r="L64" s="525"/>
      <c r="M64" s="525">
        <v>5000</v>
      </c>
      <c r="N64" s="525">
        <f>SUM(N65:N67)</f>
        <v>5348</v>
      </c>
      <c r="O64" s="525">
        <f t="shared" si="2"/>
        <v>7392778</v>
      </c>
      <c r="P64" s="525">
        <f>F64+N65+N66+N67</f>
        <v>7387778</v>
      </c>
      <c r="Q64" s="525">
        <f>G64</f>
        <v>5720000</v>
      </c>
      <c r="R64" s="525">
        <f>H64</f>
        <v>1082300</v>
      </c>
      <c r="S64" s="525"/>
      <c r="T64" s="525"/>
      <c r="U64" s="525"/>
      <c r="V64" s="525"/>
      <c r="W64" s="525">
        <f>M64</f>
        <v>5000</v>
      </c>
      <c r="X64" s="272"/>
    </row>
    <row r="65" spans="1:24" s="284" customFormat="1" ht="18" customHeight="1">
      <c r="A65" s="281"/>
      <c r="B65" s="281"/>
      <c r="C65" s="282">
        <v>4210</v>
      </c>
      <c r="D65" s="1074" t="s">
        <v>321</v>
      </c>
      <c r="E65" s="283">
        <v>46000</v>
      </c>
      <c r="F65" s="283">
        <v>46000</v>
      </c>
      <c r="G65" s="283"/>
      <c r="H65" s="283"/>
      <c r="I65" s="283"/>
      <c r="J65" s="283"/>
      <c r="K65" s="283"/>
      <c r="L65" s="283"/>
      <c r="M65" s="283"/>
      <c r="N65" s="283">
        <v>7500</v>
      </c>
      <c r="O65" s="283">
        <f t="shared" si="2"/>
        <v>53500</v>
      </c>
      <c r="P65" s="283">
        <f>F65+N65</f>
        <v>53500</v>
      </c>
      <c r="Q65" s="283"/>
      <c r="R65" s="283"/>
      <c r="S65" s="283"/>
      <c r="T65" s="283"/>
      <c r="U65" s="283"/>
      <c r="V65" s="283"/>
      <c r="W65" s="283"/>
      <c r="X65" s="272"/>
    </row>
    <row r="66" spans="1:24" s="284" customFormat="1" ht="18" customHeight="1">
      <c r="A66" s="281"/>
      <c r="B66" s="281"/>
      <c r="C66" s="281">
        <v>4280</v>
      </c>
      <c r="D66" s="546" t="s">
        <v>116</v>
      </c>
      <c r="E66" s="528">
        <v>3500</v>
      </c>
      <c r="F66" s="528">
        <v>3500</v>
      </c>
      <c r="G66" s="528"/>
      <c r="H66" s="528"/>
      <c r="I66" s="528"/>
      <c r="J66" s="528"/>
      <c r="K66" s="528"/>
      <c r="L66" s="528"/>
      <c r="M66" s="528"/>
      <c r="N66" s="528">
        <v>500</v>
      </c>
      <c r="O66" s="528">
        <f t="shared" si="2"/>
        <v>4000</v>
      </c>
      <c r="P66" s="528">
        <f>F66+N66</f>
        <v>4000</v>
      </c>
      <c r="Q66" s="528"/>
      <c r="R66" s="528"/>
      <c r="S66" s="528"/>
      <c r="T66" s="528"/>
      <c r="U66" s="528"/>
      <c r="V66" s="528"/>
      <c r="W66" s="528"/>
      <c r="X66" s="272"/>
    </row>
    <row r="67" spans="1:24" s="284" customFormat="1" ht="18.75" customHeight="1">
      <c r="A67" s="281"/>
      <c r="B67" s="281"/>
      <c r="C67" s="290">
        <v>4440</v>
      </c>
      <c r="D67" s="387" t="s">
        <v>247</v>
      </c>
      <c r="E67" s="1076">
        <v>337430</v>
      </c>
      <c r="F67" s="1076">
        <v>337430</v>
      </c>
      <c r="G67" s="1076"/>
      <c r="H67" s="1076"/>
      <c r="I67" s="1076"/>
      <c r="J67" s="1076"/>
      <c r="K67" s="1076"/>
      <c r="L67" s="1076"/>
      <c r="M67" s="1076"/>
      <c r="N67" s="1076">
        <v>-2652</v>
      </c>
      <c r="O67" s="1076">
        <f t="shared" si="2"/>
        <v>334778</v>
      </c>
      <c r="P67" s="1076">
        <f>F67+N67</f>
        <v>334778</v>
      </c>
      <c r="Q67" s="1076"/>
      <c r="R67" s="1076"/>
      <c r="S67" s="1076"/>
      <c r="T67" s="1076"/>
      <c r="U67" s="1076"/>
      <c r="V67" s="1076"/>
      <c r="W67" s="1076"/>
      <c r="X67" s="272"/>
    </row>
    <row r="68" spans="1:24" s="143" customFormat="1" ht="19.5" customHeight="1">
      <c r="A68" s="278"/>
      <c r="B68" s="291">
        <v>80104</v>
      </c>
      <c r="C68" s="291"/>
      <c r="D68" s="629" t="s">
        <v>595</v>
      </c>
      <c r="E68" s="630">
        <v>55968035</v>
      </c>
      <c r="F68" s="630">
        <v>55173726</v>
      </c>
      <c r="G68" s="630">
        <v>34015785</v>
      </c>
      <c r="H68" s="630">
        <v>6479000</v>
      </c>
      <c r="I68" s="630">
        <v>7300000</v>
      </c>
      <c r="J68" s="630">
        <v>650000</v>
      </c>
      <c r="K68" s="630"/>
      <c r="L68" s="630"/>
      <c r="M68" s="630">
        <v>794309</v>
      </c>
      <c r="N68" s="630">
        <f>N69</f>
        <v>40000</v>
      </c>
      <c r="O68" s="630">
        <f aca="true" t="shared" si="4" ref="O68:O131">E68+N68</f>
        <v>56008035</v>
      </c>
      <c r="P68" s="630">
        <f>F68+N71</f>
        <v>55213726</v>
      </c>
      <c r="Q68" s="630">
        <f>G68</f>
        <v>34015785</v>
      </c>
      <c r="R68" s="630">
        <f>H68</f>
        <v>6479000</v>
      </c>
      <c r="S68" s="630">
        <f>I68</f>
        <v>7300000</v>
      </c>
      <c r="T68" s="630">
        <f>J68+N71</f>
        <v>690000</v>
      </c>
      <c r="U68" s="630"/>
      <c r="V68" s="630"/>
      <c r="W68" s="630">
        <f>M68</f>
        <v>794309</v>
      </c>
      <c r="X68" s="272"/>
    </row>
    <row r="69" spans="1:24" s="143" customFormat="1" ht="18.75" customHeight="1">
      <c r="A69" s="278"/>
      <c r="B69" s="278"/>
      <c r="C69" s="278"/>
      <c r="D69" s="524" t="s">
        <v>627</v>
      </c>
      <c r="E69" s="525">
        <v>48638035</v>
      </c>
      <c r="F69" s="525">
        <v>47843726</v>
      </c>
      <c r="G69" s="525">
        <v>34015785</v>
      </c>
      <c r="H69" s="525">
        <v>6479000</v>
      </c>
      <c r="I69" s="525"/>
      <c r="J69" s="525">
        <v>650000</v>
      </c>
      <c r="K69" s="525"/>
      <c r="L69" s="525"/>
      <c r="M69" s="525">
        <v>794309</v>
      </c>
      <c r="N69" s="525">
        <f>SUM(N70:N71)-N71</f>
        <v>40000</v>
      </c>
      <c r="O69" s="525">
        <f t="shared" si="4"/>
        <v>48678035</v>
      </c>
      <c r="P69" s="525">
        <f>F69+N71</f>
        <v>47883726</v>
      </c>
      <c r="Q69" s="525">
        <f>G69</f>
        <v>34015785</v>
      </c>
      <c r="R69" s="525">
        <f>H69</f>
        <v>6479000</v>
      </c>
      <c r="S69" s="525"/>
      <c r="T69" s="525">
        <f>J69+N71</f>
        <v>690000</v>
      </c>
      <c r="U69" s="525"/>
      <c r="V69" s="525"/>
      <c r="W69" s="525">
        <f>M69</f>
        <v>794309</v>
      </c>
      <c r="X69" s="272"/>
    </row>
    <row r="70" spans="1:24" s="284" customFormat="1" ht="18" customHeight="1">
      <c r="A70" s="281"/>
      <c r="B70" s="281"/>
      <c r="C70" s="281"/>
      <c r="D70" s="526" t="s">
        <v>719</v>
      </c>
      <c r="E70" s="527">
        <v>650000</v>
      </c>
      <c r="F70" s="527">
        <v>650000</v>
      </c>
      <c r="G70" s="527"/>
      <c r="H70" s="527"/>
      <c r="I70" s="527"/>
      <c r="J70" s="527">
        <v>650000</v>
      </c>
      <c r="K70" s="527"/>
      <c r="L70" s="527"/>
      <c r="M70" s="527"/>
      <c r="N70" s="527">
        <v>40000</v>
      </c>
      <c r="O70" s="527">
        <f t="shared" si="4"/>
        <v>690000</v>
      </c>
      <c r="P70" s="527">
        <f>F70+N70</f>
        <v>690000</v>
      </c>
      <c r="Q70" s="527"/>
      <c r="R70" s="527"/>
      <c r="S70" s="527"/>
      <c r="T70" s="527">
        <f>J70+N70</f>
        <v>690000</v>
      </c>
      <c r="U70" s="527"/>
      <c r="V70" s="527"/>
      <c r="W70" s="527"/>
      <c r="X70" s="272"/>
    </row>
    <row r="71" spans="1:24" s="284" customFormat="1" ht="18" customHeight="1">
      <c r="A71" s="281"/>
      <c r="B71" s="281"/>
      <c r="C71" s="281">
        <v>4270</v>
      </c>
      <c r="D71" s="529" t="s">
        <v>718</v>
      </c>
      <c r="E71" s="530">
        <v>650000</v>
      </c>
      <c r="F71" s="530">
        <v>650000</v>
      </c>
      <c r="G71" s="530"/>
      <c r="H71" s="530"/>
      <c r="I71" s="530"/>
      <c r="J71" s="530">
        <v>650000</v>
      </c>
      <c r="K71" s="530"/>
      <c r="L71" s="530"/>
      <c r="M71" s="530"/>
      <c r="N71" s="530">
        <f>N70</f>
        <v>40000</v>
      </c>
      <c r="O71" s="530">
        <f t="shared" si="4"/>
        <v>690000</v>
      </c>
      <c r="P71" s="530">
        <f>F71+N71</f>
        <v>690000</v>
      </c>
      <c r="Q71" s="530"/>
      <c r="R71" s="530"/>
      <c r="S71" s="530"/>
      <c r="T71" s="530">
        <f>J71+N71</f>
        <v>690000</v>
      </c>
      <c r="U71" s="530"/>
      <c r="V71" s="530"/>
      <c r="W71" s="530"/>
      <c r="X71" s="272"/>
    </row>
    <row r="72" spans="1:24" s="143" customFormat="1" ht="20.25" customHeight="1">
      <c r="A72" s="278"/>
      <c r="B72" s="291">
        <v>80105</v>
      </c>
      <c r="C72" s="291"/>
      <c r="D72" s="792" t="s">
        <v>53</v>
      </c>
      <c r="E72" s="630">
        <v>1931405</v>
      </c>
      <c r="F72" s="630">
        <v>1926405</v>
      </c>
      <c r="G72" s="630">
        <v>1446000</v>
      </c>
      <c r="H72" s="630">
        <v>267900</v>
      </c>
      <c r="I72" s="630"/>
      <c r="J72" s="630">
        <v>50000</v>
      </c>
      <c r="K72" s="630"/>
      <c r="L72" s="630"/>
      <c r="M72" s="630">
        <v>5000</v>
      </c>
      <c r="N72" s="630">
        <f>N73</f>
        <v>7000</v>
      </c>
      <c r="O72" s="630">
        <f t="shared" si="4"/>
        <v>1938405</v>
      </c>
      <c r="P72" s="630">
        <f>F72+N74+N75</f>
        <v>1933405</v>
      </c>
      <c r="Q72" s="630">
        <f>G72</f>
        <v>1446000</v>
      </c>
      <c r="R72" s="630">
        <f>H72</f>
        <v>267900</v>
      </c>
      <c r="S72" s="630"/>
      <c r="T72" s="630">
        <f>J72</f>
        <v>50000</v>
      </c>
      <c r="U72" s="630"/>
      <c r="V72" s="630"/>
      <c r="W72" s="630">
        <f>M72</f>
        <v>5000</v>
      </c>
      <c r="X72" s="272"/>
    </row>
    <row r="73" spans="1:24" s="143" customFormat="1" ht="25.5">
      <c r="A73" s="278"/>
      <c r="B73" s="278"/>
      <c r="C73" s="278"/>
      <c r="D73" s="1090" t="s">
        <v>71</v>
      </c>
      <c r="E73" s="525">
        <v>1931405</v>
      </c>
      <c r="F73" s="525">
        <v>1926405</v>
      </c>
      <c r="G73" s="525">
        <v>1446000</v>
      </c>
      <c r="H73" s="525">
        <v>267900</v>
      </c>
      <c r="I73" s="525"/>
      <c r="J73" s="525">
        <v>50000</v>
      </c>
      <c r="K73" s="525"/>
      <c r="L73" s="525"/>
      <c r="M73" s="525">
        <v>5000</v>
      </c>
      <c r="N73" s="525">
        <f>SUM(N74:N75)</f>
        <v>7000</v>
      </c>
      <c r="O73" s="525">
        <f t="shared" si="4"/>
        <v>1938405</v>
      </c>
      <c r="P73" s="525">
        <f>F73+N74+N75</f>
        <v>1933405</v>
      </c>
      <c r="Q73" s="525">
        <f>G73</f>
        <v>1446000</v>
      </c>
      <c r="R73" s="525">
        <f>H73</f>
        <v>267900</v>
      </c>
      <c r="S73" s="525"/>
      <c r="T73" s="525">
        <f>J73</f>
        <v>50000</v>
      </c>
      <c r="U73" s="525"/>
      <c r="V73" s="525"/>
      <c r="W73" s="525">
        <f>M73</f>
        <v>5000</v>
      </c>
      <c r="X73" s="272"/>
    </row>
    <row r="74" spans="1:24" s="284" customFormat="1" ht="18" customHeight="1">
      <c r="A74" s="281"/>
      <c r="B74" s="281"/>
      <c r="C74" s="282">
        <v>4210</v>
      </c>
      <c r="D74" s="1074" t="s">
        <v>321</v>
      </c>
      <c r="E74" s="283">
        <v>9980</v>
      </c>
      <c r="F74" s="283">
        <v>9980</v>
      </c>
      <c r="G74" s="283"/>
      <c r="H74" s="283"/>
      <c r="I74" s="283"/>
      <c r="J74" s="283"/>
      <c r="K74" s="283"/>
      <c r="L74" s="283"/>
      <c r="M74" s="283"/>
      <c r="N74" s="283">
        <v>3500</v>
      </c>
      <c r="O74" s="283">
        <f t="shared" si="4"/>
        <v>13480</v>
      </c>
      <c r="P74" s="283">
        <f>F74+N74</f>
        <v>13480</v>
      </c>
      <c r="Q74" s="283"/>
      <c r="R74" s="283"/>
      <c r="S74" s="283"/>
      <c r="T74" s="283"/>
      <c r="U74" s="283"/>
      <c r="V74" s="283"/>
      <c r="W74" s="283"/>
      <c r="X74" s="272"/>
    </row>
    <row r="75" spans="1:24" s="284" customFormat="1" ht="25.5">
      <c r="A75" s="281"/>
      <c r="B75" s="281"/>
      <c r="C75" s="281">
        <v>4740</v>
      </c>
      <c r="D75" s="127" t="s">
        <v>135</v>
      </c>
      <c r="E75" s="528">
        <v>200</v>
      </c>
      <c r="F75" s="528">
        <v>200</v>
      </c>
      <c r="G75" s="528"/>
      <c r="H75" s="528"/>
      <c r="I75" s="528"/>
      <c r="J75" s="528"/>
      <c r="K75" s="528"/>
      <c r="L75" s="528"/>
      <c r="M75" s="528"/>
      <c r="N75" s="528">
        <v>3500</v>
      </c>
      <c r="O75" s="528">
        <f t="shared" si="4"/>
        <v>3700</v>
      </c>
      <c r="P75" s="283">
        <f>F75+N75</f>
        <v>3700</v>
      </c>
      <c r="Q75" s="528"/>
      <c r="R75" s="528"/>
      <c r="S75" s="528"/>
      <c r="T75" s="528"/>
      <c r="U75" s="528"/>
      <c r="V75" s="528"/>
      <c r="W75" s="528"/>
      <c r="X75" s="272"/>
    </row>
    <row r="76" spans="1:24" s="143" customFormat="1" ht="20.25" customHeight="1">
      <c r="A76" s="278"/>
      <c r="B76" s="291">
        <v>80110</v>
      </c>
      <c r="C76" s="291"/>
      <c r="D76" s="629" t="s">
        <v>596</v>
      </c>
      <c r="E76" s="630">
        <v>63265172</v>
      </c>
      <c r="F76" s="630">
        <v>59349172</v>
      </c>
      <c r="G76" s="630">
        <v>38909572</v>
      </c>
      <c r="H76" s="630">
        <v>7668400</v>
      </c>
      <c r="I76" s="630">
        <v>4375000</v>
      </c>
      <c r="J76" s="630">
        <v>1560000</v>
      </c>
      <c r="K76" s="630"/>
      <c r="L76" s="630"/>
      <c r="M76" s="630">
        <v>3916000</v>
      </c>
      <c r="N76" s="630">
        <f>N77</f>
        <v>54720</v>
      </c>
      <c r="O76" s="630">
        <f t="shared" si="4"/>
        <v>63319892</v>
      </c>
      <c r="P76" s="630">
        <f>F76+N82+N78+N79+N80+N83</f>
        <v>59399792</v>
      </c>
      <c r="Q76" s="630">
        <f>G76</f>
        <v>38909572</v>
      </c>
      <c r="R76" s="630">
        <f>H76</f>
        <v>7668400</v>
      </c>
      <c r="S76" s="630">
        <f>I76</f>
        <v>4375000</v>
      </c>
      <c r="T76" s="630">
        <f>J76+N82</f>
        <v>1612620</v>
      </c>
      <c r="U76" s="630"/>
      <c r="V76" s="630"/>
      <c r="W76" s="630">
        <f>M76+N85</f>
        <v>3920100</v>
      </c>
      <c r="X76" s="272"/>
    </row>
    <row r="77" spans="1:24" s="143" customFormat="1" ht="18.75" customHeight="1">
      <c r="A77" s="278"/>
      <c r="B77" s="278"/>
      <c r="C77" s="278"/>
      <c r="D77" s="524" t="s">
        <v>136</v>
      </c>
      <c r="E77" s="562">
        <v>58848372</v>
      </c>
      <c r="F77" s="562">
        <v>54932372</v>
      </c>
      <c r="G77" s="562">
        <v>38909572</v>
      </c>
      <c r="H77" s="562">
        <v>7668400</v>
      </c>
      <c r="I77" s="562"/>
      <c r="J77" s="562">
        <v>1560000</v>
      </c>
      <c r="K77" s="562"/>
      <c r="L77" s="562"/>
      <c r="M77" s="562">
        <v>3916000</v>
      </c>
      <c r="N77" s="562">
        <f>N82+N78+N79+N80+N83+N85</f>
        <v>54720</v>
      </c>
      <c r="O77" s="562">
        <f t="shared" si="4"/>
        <v>58903092</v>
      </c>
      <c r="P77" s="562">
        <f>F77+N82+N78+N79+N80+N83</f>
        <v>54982992</v>
      </c>
      <c r="Q77" s="562">
        <f>G77</f>
        <v>38909572</v>
      </c>
      <c r="R77" s="562">
        <f>H77</f>
        <v>7668400</v>
      </c>
      <c r="S77" s="562"/>
      <c r="T77" s="562">
        <f>J77+N82</f>
        <v>1612620</v>
      </c>
      <c r="U77" s="562"/>
      <c r="V77" s="562"/>
      <c r="W77" s="562">
        <f>M77+N85</f>
        <v>3920100</v>
      </c>
      <c r="X77" s="272"/>
    </row>
    <row r="78" spans="1:24" s="469" customFormat="1" ht="26.25" customHeight="1">
      <c r="A78" s="281"/>
      <c r="B78" s="281"/>
      <c r="C78" s="282">
        <v>4140</v>
      </c>
      <c r="D78" s="998" t="s">
        <v>629</v>
      </c>
      <c r="E78" s="258">
        <v>12000</v>
      </c>
      <c r="F78" s="258">
        <v>12000</v>
      </c>
      <c r="G78" s="258"/>
      <c r="H78" s="258"/>
      <c r="I78" s="258"/>
      <c r="J78" s="258"/>
      <c r="K78" s="258"/>
      <c r="L78" s="258"/>
      <c r="M78" s="258"/>
      <c r="N78" s="258">
        <v>7900</v>
      </c>
      <c r="O78" s="258">
        <f t="shared" si="4"/>
        <v>19900</v>
      </c>
      <c r="P78" s="258">
        <f aca="true" t="shared" si="5" ref="P78:P83">F78+N78</f>
        <v>19900</v>
      </c>
      <c r="Q78" s="258"/>
      <c r="R78" s="258"/>
      <c r="S78" s="258"/>
      <c r="T78" s="258"/>
      <c r="U78" s="258"/>
      <c r="V78" s="258"/>
      <c r="W78" s="258"/>
      <c r="X78" s="272"/>
    </row>
    <row r="79" spans="1:24" s="469" customFormat="1" ht="18" customHeight="1">
      <c r="A79" s="281"/>
      <c r="B79" s="281"/>
      <c r="C79" s="281">
        <v>4210</v>
      </c>
      <c r="D79" s="1074" t="s">
        <v>321</v>
      </c>
      <c r="E79" s="528">
        <v>415500</v>
      </c>
      <c r="F79" s="528">
        <v>415500</v>
      </c>
      <c r="G79" s="528"/>
      <c r="H79" s="528"/>
      <c r="I79" s="528"/>
      <c r="J79" s="528"/>
      <c r="K79" s="528"/>
      <c r="L79" s="528"/>
      <c r="M79" s="528"/>
      <c r="N79" s="528">
        <v>10700</v>
      </c>
      <c r="O79" s="258">
        <f t="shared" si="4"/>
        <v>426200</v>
      </c>
      <c r="P79" s="258">
        <f t="shared" si="5"/>
        <v>426200</v>
      </c>
      <c r="Q79" s="528"/>
      <c r="R79" s="528"/>
      <c r="S79" s="528"/>
      <c r="T79" s="528"/>
      <c r="U79" s="528"/>
      <c r="V79" s="528"/>
      <c r="W79" s="528"/>
      <c r="X79" s="272"/>
    </row>
    <row r="80" spans="1:24" s="469" customFormat="1" ht="18" customHeight="1">
      <c r="A80" s="281"/>
      <c r="B80" s="281"/>
      <c r="C80" s="290">
        <v>4260</v>
      </c>
      <c r="D80" s="369" t="s">
        <v>605</v>
      </c>
      <c r="E80" s="262">
        <v>2847500</v>
      </c>
      <c r="F80" s="262">
        <v>2847500</v>
      </c>
      <c r="G80" s="262"/>
      <c r="H80" s="262"/>
      <c r="I80" s="262"/>
      <c r="J80" s="262"/>
      <c r="K80" s="262"/>
      <c r="L80" s="262"/>
      <c r="M80" s="262"/>
      <c r="N80" s="262">
        <v>-21389</v>
      </c>
      <c r="O80" s="258">
        <f t="shared" si="4"/>
        <v>2826111</v>
      </c>
      <c r="P80" s="258">
        <f t="shared" si="5"/>
        <v>2826111</v>
      </c>
      <c r="Q80" s="262"/>
      <c r="R80" s="262"/>
      <c r="S80" s="262"/>
      <c r="T80" s="262"/>
      <c r="U80" s="262"/>
      <c r="V80" s="262"/>
      <c r="W80" s="262"/>
      <c r="X80" s="272"/>
    </row>
    <row r="81" spans="1:24" s="469" customFormat="1" ht="18.75" customHeight="1">
      <c r="A81" s="281"/>
      <c r="B81" s="281"/>
      <c r="C81" s="878"/>
      <c r="D81" s="886" t="s">
        <v>717</v>
      </c>
      <c r="E81" s="886">
        <v>1560000</v>
      </c>
      <c r="F81" s="886">
        <v>1560000</v>
      </c>
      <c r="G81" s="886"/>
      <c r="H81" s="886"/>
      <c r="I81" s="886"/>
      <c r="J81" s="886">
        <v>1560000</v>
      </c>
      <c r="K81" s="886"/>
      <c r="L81" s="886"/>
      <c r="M81" s="886"/>
      <c r="N81" s="886">
        <f>56720-4100</f>
        <v>52620</v>
      </c>
      <c r="O81" s="886">
        <f t="shared" si="4"/>
        <v>1612620</v>
      </c>
      <c r="P81" s="886">
        <f t="shared" si="5"/>
        <v>1612620</v>
      </c>
      <c r="Q81" s="886"/>
      <c r="R81" s="886"/>
      <c r="S81" s="886"/>
      <c r="T81" s="886">
        <f>J81+N82</f>
        <v>1612620</v>
      </c>
      <c r="U81" s="886"/>
      <c r="V81" s="886"/>
      <c r="W81" s="886"/>
      <c r="X81" s="272"/>
    </row>
    <row r="82" spans="1:24" s="469" customFormat="1" ht="18.75" customHeight="1">
      <c r="A82" s="281"/>
      <c r="B82" s="281"/>
      <c r="C82" s="33">
        <v>4270</v>
      </c>
      <c r="D82" s="530" t="s">
        <v>720</v>
      </c>
      <c r="E82" s="530">
        <v>1560000</v>
      </c>
      <c r="F82" s="530">
        <v>1560000</v>
      </c>
      <c r="G82" s="530"/>
      <c r="H82" s="530"/>
      <c r="I82" s="530"/>
      <c r="J82" s="530">
        <v>1560000</v>
      </c>
      <c r="K82" s="530"/>
      <c r="L82" s="530"/>
      <c r="M82" s="530"/>
      <c r="N82" s="530">
        <f>N81</f>
        <v>52620</v>
      </c>
      <c r="O82" s="530">
        <f t="shared" si="4"/>
        <v>1612620</v>
      </c>
      <c r="P82" s="530">
        <f t="shared" si="5"/>
        <v>1612620</v>
      </c>
      <c r="Q82" s="530"/>
      <c r="R82" s="530"/>
      <c r="S82" s="530"/>
      <c r="T82" s="530">
        <f>J82+N82</f>
        <v>1612620</v>
      </c>
      <c r="U82" s="530"/>
      <c r="V82" s="530"/>
      <c r="W82" s="530"/>
      <c r="X82" s="272"/>
    </row>
    <row r="83" spans="1:24" s="469" customFormat="1" ht="18.75" customHeight="1">
      <c r="A83" s="281"/>
      <c r="B83" s="281"/>
      <c r="C83" s="33">
        <v>4440</v>
      </c>
      <c r="D83" s="387" t="s">
        <v>247</v>
      </c>
      <c r="E83" s="258">
        <v>2544200</v>
      </c>
      <c r="F83" s="258">
        <v>2544200</v>
      </c>
      <c r="G83" s="258"/>
      <c r="H83" s="258"/>
      <c r="I83" s="258"/>
      <c r="J83" s="258"/>
      <c r="K83" s="258"/>
      <c r="L83" s="258"/>
      <c r="M83" s="258"/>
      <c r="N83" s="258">
        <v>789</v>
      </c>
      <c r="O83" s="258">
        <f t="shared" si="4"/>
        <v>2544989</v>
      </c>
      <c r="P83" s="258">
        <f t="shared" si="5"/>
        <v>2544989</v>
      </c>
      <c r="Q83" s="258"/>
      <c r="R83" s="258"/>
      <c r="S83" s="258"/>
      <c r="T83" s="258"/>
      <c r="U83" s="258"/>
      <c r="V83" s="258"/>
      <c r="W83" s="258"/>
      <c r="X83" s="272"/>
    </row>
    <row r="84" spans="1:24" s="284" customFormat="1" ht="18" customHeight="1">
      <c r="A84" s="281"/>
      <c r="B84" s="281"/>
      <c r="C84" s="281"/>
      <c r="D84" s="1506" t="s">
        <v>167</v>
      </c>
      <c r="E84" s="1076"/>
      <c r="F84" s="1076"/>
      <c r="G84" s="1076"/>
      <c r="H84" s="1076"/>
      <c r="I84" s="1076"/>
      <c r="J84" s="1076"/>
      <c r="K84" s="1076"/>
      <c r="L84" s="1076"/>
      <c r="M84" s="1076"/>
      <c r="N84" s="1076">
        <v>4100</v>
      </c>
      <c r="O84" s="1076">
        <f t="shared" si="4"/>
        <v>4100</v>
      </c>
      <c r="P84" s="1076"/>
      <c r="Q84" s="1076"/>
      <c r="R84" s="1076"/>
      <c r="S84" s="1076"/>
      <c r="T84" s="1076"/>
      <c r="U84" s="1076"/>
      <c r="V84" s="1076"/>
      <c r="W84" s="1076">
        <f>M84+N84</f>
        <v>4100</v>
      </c>
      <c r="X84" s="272"/>
    </row>
    <row r="85" spans="1:24" s="284" customFormat="1" ht="18" customHeight="1">
      <c r="A85" s="281"/>
      <c r="B85" s="281"/>
      <c r="C85" s="281">
        <v>6050</v>
      </c>
      <c r="D85" s="177" t="s">
        <v>723</v>
      </c>
      <c r="E85" s="530">
        <v>3891000</v>
      </c>
      <c r="F85" s="530"/>
      <c r="G85" s="530"/>
      <c r="H85" s="530"/>
      <c r="I85" s="530"/>
      <c r="J85" s="530"/>
      <c r="K85" s="530"/>
      <c r="L85" s="530"/>
      <c r="M85" s="530">
        <v>3891000</v>
      </c>
      <c r="N85" s="530">
        <f>N84</f>
        <v>4100</v>
      </c>
      <c r="O85" s="530">
        <f t="shared" si="4"/>
        <v>3895100</v>
      </c>
      <c r="P85" s="530"/>
      <c r="Q85" s="530"/>
      <c r="R85" s="530"/>
      <c r="S85" s="530"/>
      <c r="T85" s="530"/>
      <c r="U85" s="530"/>
      <c r="V85" s="530"/>
      <c r="W85" s="530">
        <f>M85+N85</f>
        <v>3895100</v>
      </c>
      <c r="X85" s="272"/>
    </row>
    <row r="86" spans="1:24" s="143" customFormat="1" ht="20.25" customHeight="1">
      <c r="A86" s="278"/>
      <c r="B86" s="291">
        <v>80111</v>
      </c>
      <c r="C86" s="291"/>
      <c r="D86" s="792" t="s">
        <v>54</v>
      </c>
      <c r="E86" s="630">
        <v>5000785</v>
      </c>
      <c r="F86" s="630">
        <v>4990785</v>
      </c>
      <c r="G86" s="630">
        <v>3874000</v>
      </c>
      <c r="H86" s="630">
        <v>748600</v>
      </c>
      <c r="I86" s="630"/>
      <c r="J86" s="630"/>
      <c r="K86" s="630"/>
      <c r="L86" s="630"/>
      <c r="M86" s="630">
        <v>10000</v>
      </c>
      <c r="N86" s="630">
        <f>N87</f>
        <v>2000</v>
      </c>
      <c r="O86" s="630">
        <f>E86+N86</f>
        <v>5002785</v>
      </c>
      <c r="P86" s="630">
        <f>F86+N88</f>
        <v>4992785</v>
      </c>
      <c r="Q86" s="630">
        <f>G86</f>
        <v>3874000</v>
      </c>
      <c r="R86" s="630">
        <f>H86</f>
        <v>748600</v>
      </c>
      <c r="S86" s="630"/>
      <c r="T86" s="630"/>
      <c r="U86" s="630"/>
      <c r="V86" s="630"/>
      <c r="W86" s="630">
        <f>M86</f>
        <v>10000</v>
      </c>
      <c r="X86" s="272"/>
    </row>
    <row r="87" spans="1:24" s="143" customFormat="1" ht="25.5">
      <c r="A87" s="278"/>
      <c r="B87" s="278"/>
      <c r="C87" s="278"/>
      <c r="D87" s="21" t="s">
        <v>72</v>
      </c>
      <c r="E87" s="525">
        <v>5000785</v>
      </c>
      <c r="F87" s="525">
        <v>4990785</v>
      </c>
      <c r="G87" s="525">
        <v>3874000</v>
      </c>
      <c r="H87" s="525">
        <v>748600</v>
      </c>
      <c r="I87" s="525"/>
      <c r="J87" s="525"/>
      <c r="K87" s="525"/>
      <c r="L87" s="525"/>
      <c r="M87" s="525">
        <v>10000</v>
      </c>
      <c r="N87" s="525">
        <f>N88</f>
        <v>2000</v>
      </c>
      <c r="O87" s="525">
        <f aca="true" t="shared" si="6" ref="O87:O92">E87+N87</f>
        <v>5002785</v>
      </c>
      <c r="P87" s="525">
        <f>F87+N88</f>
        <v>4992785</v>
      </c>
      <c r="Q87" s="525">
        <f>G87</f>
        <v>3874000</v>
      </c>
      <c r="R87" s="525">
        <f>H87</f>
        <v>748600</v>
      </c>
      <c r="S87" s="525"/>
      <c r="T87" s="525"/>
      <c r="U87" s="525"/>
      <c r="V87" s="525"/>
      <c r="W87" s="525">
        <f>M87</f>
        <v>10000</v>
      </c>
      <c r="X87" s="272"/>
    </row>
    <row r="88" spans="1:24" s="284" customFormat="1" ht="18" customHeight="1">
      <c r="A88" s="281"/>
      <c r="B88" s="281"/>
      <c r="C88" s="282">
        <v>4210</v>
      </c>
      <c r="D88" s="1074" t="s">
        <v>321</v>
      </c>
      <c r="E88" s="283">
        <v>11500</v>
      </c>
      <c r="F88" s="283">
        <v>11500</v>
      </c>
      <c r="G88" s="283"/>
      <c r="H88" s="283"/>
      <c r="I88" s="283"/>
      <c r="J88" s="283"/>
      <c r="K88" s="283"/>
      <c r="L88" s="283"/>
      <c r="M88" s="283"/>
      <c r="N88" s="283">
        <v>2000</v>
      </c>
      <c r="O88" s="283">
        <f t="shared" si="6"/>
        <v>13500</v>
      </c>
      <c r="P88" s="283">
        <f>F88+N88</f>
        <v>13500</v>
      </c>
      <c r="Q88" s="283"/>
      <c r="R88" s="283"/>
      <c r="S88" s="283"/>
      <c r="T88" s="283"/>
      <c r="U88" s="283"/>
      <c r="V88" s="283"/>
      <c r="W88" s="283"/>
      <c r="X88" s="272"/>
    </row>
    <row r="89" spans="1:24" s="143" customFormat="1" ht="19.5" customHeight="1">
      <c r="A89" s="278"/>
      <c r="B89" s="291">
        <v>80113</v>
      </c>
      <c r="C89" s="291"/>
      <c r="D89" s="792" t="s">
        <v>55</v>
      </c>
      <c r="E89" s="630">
        <v>630000</v>
      </c>
      <c r="F89" s="630">
        <v>630000</v>
      </c>
      <c r="G89" s="630"/>
      <c r="H89" s="630"/>
      <c r="I89" s="630"/>
      <c r="J89" s="630"/>
      <c r="K89" s="630"/>
      <c r="L89" s="630"/>
      <c r="M89" s="630"/>
      <c r="N89" s="630">
        <f>N90</f>
        <v>0</v>
      </c>
      <c r="O89" s="630">
        <f t="shared" si="6"/>
        <v>630000</v>
      </c>
      <c r="P89" s="630">
        <f>F89+N91+N92</f>
        <v>630000</v>
      </c>
      <c r="Q89" s="630"/>
      <c r="R89" s="630"/>
      <c r="S89" s="630"/>
      <c r="T89" s="630"/>
      <c r="U89" s="630"/>
      <c r="V89" s="630"/>
      <c r="W89" s="630"/>
      <c r="X89" s="272"/>
    </row>
    <row r="90" spans="1:24" s="143" customFormat="1" ht="18" customHeight="1">
      <c r="A90" s="278"/>
      <c r="B90" s="278"/>
      <c r="C90" s="278"/>
      <c r="D90" s="1134" t="s">
        <v>252</v>
      </c>
      <c r="E90" s="525">
        <v>630000</v>
      </c>
      <c r="F90" s="525">
        <v>630000</v>
      </c>
      <c r="G90" s="525"/>
      <c r="H90" s="525"/>
      <c r="I90" s="525"/>
      <c r="J90" s="525"/>
      <c r="K90" s="525"/>
      <c r="L90" s="525"/>
      <c r="M90" s="525"/>
      <c r="N90" s="525">
        <f>SUM(N91:N92)</f>
        <v>0</v>
      </c>
      <c r="O90" s="525">
        <f t="shared" si="6"/>
        <v>630000</v>
      </c>
      <c r="P90" s="525">
        <f>F90+N91+N92</f>
        <v>630000</v>
      </c>
      <c r="Q90" s="525"/>
      <c r="R90" s="525"/>
      <c r="S90" s="525"/>
      <c r="T90" s="525"/>
      <c r="U90" s="525"/>
      <c r="V90" s="525"/>
      <c r="W90" s="525"/>
      <c r="X90" s="272"/>
    </row>
    <row r="91" spans="1:24" s="284" customFormat="1" ht="18.75" customHeight="1">
      <c r="A91" s="281"/>
      <c r="B91" s="281"/>
      <c r="C91" s="282">
        <v>4210</v>
      </c>
      <c r="D91" s="1074" t="s">
        <v>321</v>
      </c>
      <c r="E91" s="283"/>
      <c r="F91" s="283"/>
      <c r="G91" s="283"/>
      <c r="H91" s="283"/>
      <c r="I91" s="283"/>
      <c r="J91" s="283"/>
      <c r="K91" s="283"/>
      <c r="L91" s="283"/>
      <c r="M91" s="283"/>
      <c r="N91" s="283">
        <v>1700</v>
      </c>
      <c r="O91" s="283">
        <f t="shared" si="6"/>
        <v>1700</v>
      </c>
      <c r="P91" s="283">
        <f>F91+N91</f>
        <v>1700</v>
      </c>
      <c r="Q91" s="283"/>
      <c r="R91" s="283"/>
      <c r="S91" s="283"/>
      <c r="T91" s="283"/>
      <c r="U91" s="283"/>
      <c r="V91" s="283"/>
      <c r="W91" s="283"/>
      <c r="X91" s="272"/>
    </row>
    <row r="92" spans="1:24" s="284" customFormat="1" ht="19.5" customHeight="1">
      <c r="A92" s="281"/>
      <c r="B92" s="281"/>
      <c r="C92" s="281">
        <v>4300</v>
      </c>
      <c r="D92" s="387" t="s">
        <v>322</v>
      </c>
      <c r="E92" s="262">
        <v>630000</v>
      </c>
      <c r="F92" s="262">
        <v>630000</v>
      </c>
      <c r="G92" s="262"/>
      <c r="H92" s="262"/>
      <c r="I92" s="262"/>
      <c r="J92" s="262"/>
      <c r="K92" s="262"/>
      <c r="L92" s="262"/>
      <c r="M92" s="262"/>
      <c r="N92" s="262">
        <v>-1700</v>
      </c>
      <c r="O92" s="262">
        <f t="shared" si="6"/>
        <v>628300</v>
      </c>
      <c r="P92" s="283">
        <f>F92+N92</f>
        <v>628300</v>
      </c>
      <c r="Q92" s="262"/>
      <c r="R92" s="262"/>
      <c r="S92" s="262"/>
      <c r="T92" s="262"/>
      <c r="U92" s="262"/>
      <c r="V92" s="262"/>
      <c r="W92" s="262"/>
      <c r="X92" s="272"/>
    </row>
    <row r="93" spans="1:24" s="143" customFormat="1" ht="20.25" customHeight="1">
      <c r="A93" s="278"/>
      <c r="B93" s="291">
        <v>80120</v>
      </c>
      <c r="C93" s="291"/>
      <c r="D93" s="280" t="s">
        <v>597</v>
      </c>
      <c r="E93" s="257">
        <v>55525395</v>
      </c>
      <c r="F93" s="257">
        <v>55025395</v>
      </c>
      <c r="G93" s="257">
        <v>35462900</v>
      </c>
      <c r="H93" s="257">
        <v>7005120</v>
      </c>
      <c r="I93" s="257">
        <v>5840835</v>
      </c>
      <c r="J93" s="257">
        <v>1273970</v>
      </c>
      <c r="K93" s="257"/>
      <c r="L93" s="257"/>
      <c r="M93" s="257">
        <v>500000</v>
      </c>
      <c r="N93" s="257">
        <f>N94</f>
        <v>-66228</v>
      </c>
      <c r="O93" s="257">
        <f t="shared" si="4"/>
        <v>55459167</v>
      </c>
      <c r="P93" s="257">
        <f>F93+N100+N95+N96+N97+N98+N101+N102</f>
        <v>54959167</v>
      </c>
      <c r="Q93" s="257">
        <f>G93+N96</f>
        <v>35467907</v>
      </c>
      <c r="R93" s="257">
        <f>H93+N95</f>
        <v>6996269</v>
      </c>
      <c r="S93" s="257">
        <f>I93</f>
        <v>5840835</v>
      </c>
      <c r="T93" s="257">
        <f>J93+N100</f>
        <v>1190235</v>
      </c>
      <c r="U93" s="257"/>
      <c r="V93" s="257"/>
      <c r="W93" s="257">
        <f>M93</f>
        <v>500000</v>
      </c>
      <c r="X93" s="272"/>
    </row>
    <row r="94" spans="1:24" s="143" customFormat="1" ht="27" customHeight="1">
      <c r="A94" s="278"/>
      <c r="B94" s="278"/>
      <c r="C94" s="278"/>
      <c r="D94" s="547" t="s">
        <v>137</v>
      </c>
      <c r="E94" s="562">
        <v>49673660</v>
      </c>
      <c r="F94" s="562">
        <v>49173660</v>
      </c>
      <c r="G94" s="562">
        <v>35462900</v>
      </c>
      <c r="H94" s="562">
        <v>7005120</v>
      </c>
      <c r="I94" s="562"/>
      <c r="J94" s="562">
        <v>1273970</v>
      </c>
      <c r="K94" s="562"/>
      <c r="L94" s="562"/>
      <c r="M94" s="562">
        <v>500000</v>
      </c>
      <c r="N94" s="562">
        <f>SUM(N95:N102)-N100</f>
        <v>-66228</v>
      </c>
      <c r="O94" s="562">
        <f t="shared" si="4"/>
        <v>49607432</v>
      </c>
      <c r="P94" s="562">
        <f>F94+N100+N95+N96+N97+N98+N101+N102</f>
        <v>49107432</v>
      </c>
      <c r="Q94" s="562">
        <f>G94+N96</f>
        <v>35467907</v>
      </c>
      <c r="R94" s="562">
        <f>H94+N95</f>
        <v>6996269</v>
      </c>
      <c r="S94" s="562"/>
      <c r="T94" s="562">
        <f>J94+N100</f>
        <v>1190235</v>
      </c>
      <c r="U94" s="562"/>
      <c r="V94" s="562"/>
      <c r="W94" s="562">
        <f>M94</f>
        <v>500000</v>
      </c>
      <c r="X94" s="272"/>
    </row>
    <row r="95" spans="1:24" s="469" customFormat="1" ht="19.5" customHeight="1">
      <c r="A95" s="282"/>
      <c r="B95" s="282"/>
      <c r="C95" s="282">
        <v>4110</v>
      </c>
      <c r="D95" s="177" t="s">
        <v>696</v>
      </c>
      <c r="E95" s="258">
        <v>6239780</v>
      </c>
      <c r="F95" s="258">
        <v>6239780</v>
      </c>
      <c r="G95" s="258"/>
      <c r="H95" s="258">
        <v>6239780</v>
      </c>
      <c r="I95" s="258"/>
      <c r="J95" s="258"/>
      <c r="K95" s="258"/>
      <c r="L95" s="258"/>
      <c r="M95" s="258"/>
      <c r="N95" s="258">
        <v>-8851</v>
      </c>
      <c r="O95" s="258">
        <f t="shared" si="4"/>
        <v>6230929</v>
      </c>
      <c r="P95" s="258">
        <f aca="true" t="shared" si="7" ref="P95:P102">F95+N95</f>
        <v>6230929</v>
      </c>
      <c r="Q95" s="258"/>
      <c r="R95" s="258">
        <f>H95+N95</f>
        <v>6230929</v>
      </c>
      <c r="S95" s="258"/>
      <c r="T95" s="258"/>
      <c r="U95" s="258"/>
      <c r="V95" s="258"/>
      <c r="W95" s="258"/>
      <c r="X95" s="272"/>
    </row>
    <row r="96" spans="1:24" s="469" customFormat="1" ht="17.25" customHeight="1">
      <c r="A96" s="281"/>
      <c r="B96" s="281"/>
      <c r="C96" s="282">
        <v>4170</v>
      </c>
      <c r="D96" s="177" t="s">
        <v>320</v>
      </c>
      <c r="E96" s="258">
        <v>29754</v>
      </c>
      <c r="F96" s="258">
        <v>29754</v>
      </c>
      <c r="G96" s="258">
        <v>29754</v>
      </c>
      <c r="H96" s="258"/>
      <c r="I96" s="258"/>
      <c r="J96" s="258"/>
      <c r="K96" s="258"/>
      <c r="L96" s="258"/>
      <c r="M96" s="258"/>
      <c r="N96" s="258">
        <v>5007</v>
      </c>
      <c r="O96" s="258">
        <f t="shared" si="4"/>
        <v>34761</v>
      </c>
      <c r="P96" s="258">
        <f t="shared" si="7"/>
        <v>34761</v>
      </c>
      <c r="Q96" s="258">
        <f>G96+N96</f>
        <v>34761</v>
      </c>
      <c r="R96" s="258"/>
      <c r="S96" s="258"/>
      <c r="T96" s="258"/>
      <c r="U96" s="258"/>
      <c r="V96" s="258"/>
      <c r="W96" s="258"/>
      <c r="X96" s="272"/>
    </row>
    <row r="97" spans="1:24" s="469" customFormat="1" ht="18" customHeight="1">
      <c r="A97" s="281"/>
      <c r="B97" s="281"/>
      <c r="C97" s="282">
        <v>4210</v>
      </c>
      <c r="D97" s="177" t="s">
        <v>321</v>
      </c>
      <c r="E97" s="258">
        <v>241756</v>
      </c>
      <c r="F97" s="258">
        <v>241756</v>
      </c>
      <c r="G97" s="258"/>
      <c r="H97" s="258"/>
      <c r="I97" s="258"/>
      <c r="J97" s="258"/>
      <c r="K97" s="258"/>
      <c r="L97" s="258"/>
      <c r="M97" s="258"/>
      <c r="N97" s="258">
        <v>9000</v>
      </c>
      <c r="O97" s="258">
        <f t="shared" si="4"/>
        <v>250756</v>
      </c>
      <c r="P97" s="258">
        <f t="shared" si="7"/>
        <v>250756</v>
      </c>
      <c r="Q97" s="258"/>
      <c r="R97" s="258"/>
      <c r="S97" s="258"/>
      <c r="T97" s="258"/>
      <c r="U97" s="258"/>
      <c r="V97" s="258"/>
      <c r="W97" s="258"/>
      <c r="X97" s="272"/>
    </row>
    <row r="98" spans="1:24" s="469" customFormat="1" ht="18" customHeight="1">
      <c r="A98" s="281"/>
      <c r="B98" s="281"/>
      <c r="C98" s="282">
        <v>4260</v>
      </c>
      <c r="D98" s="177" t="s">
        <v>605</v>
      </c>
      <c r="E98" s="258">
        <v>1977900</v>
      </c>
      <c r="F98" s="258">
        <v>1977900</v>
      </c>
      <c r="G98" s="258"/>
      <c r="H98" s="258"/>
      <c r="I98" s="258"/>
      <c r="J98" s="258"/>
      <c r="K98" s="258"/>
      <c r="L98" s="258"/>
      <c r="M98" s="258"/>
      <c r="N98" s="258">
        <v>-2000</v>
      </c>
      <c r="O98" s="258">
        <f t="shared" si="4"/>
        <v>1975900</v>
      </c>
      <c r="P98" s="258">
        <f t="shared" si="7"/>
        <v>1975900</v>
      </c>
      <c r="Q98" s="258"/>
      <c r="R98" s="258"/>
      <c r="S98" s="258"/>
      <c r="T98" s="258"/>
      <c r="U98" s="258"/>
      <c r="V98" s="258"/>
      <c r="W98" s="258"/>
      <c r="X98" s="272"/>
    </row>
    <row r="99" spans="1:24" s="1331" customFormat="1" ht="18" customHeight="1">
      <c r="A99" s="528"/>
      <c r="B99" s="528"/>
      <c r="C99" s="1329"/>
      <c r="D99" s="1330" t="s">
        <v>717</v>
      </c>
      <c r="E99" s="1334">
        <v>1273970</v>
      </c>
      <c r="F99" s="1334">
        <v>1273970</v>
      </c>
      <c r="G99" s="1330"/>
      <c r="H99" s="1330"/>
      <c r="I99" s="1330"/>
      <c r="J99" s="1334">
        <v>1273970</v>
      </c>
      <c r="K99" s="1330"/>
      <c r="L99" s="1330"/>
      <c r="M99" s="1330"/>
      <c r="N99" s="1334">
        <f>-78728-5007</f>
        <v>-83735</v>
      </c>
      <c r="O99" s="1334">
        <f t="shared" si="4"/>
        <v>1190235</v>
      </c>
      <c r="P99" s="1334">
        <f t="shared" si="7"/>
        <v>1190235</v>
      </c>
      <c r="Q99" s="1330"/>
      <c r="R99" s="1330"/>
      <c r="S99" s="1330"/>
      <c r="T99" s="1334">
        <f>J99+N99</f>
        <v>1190235</v>
      </c>
      <c r="U99" s="1330"/>
      <c r="V99" s="1330"/>
      <c r="W99" s="1330"/>
      <c r="X99" s="272"/>
    </row>
    <row r="100" spans="1:24" s="1331" customFormat="1" ht="18" customHeight="1">
      <c r="A100" s="528"/>
      <c r="B100" s="528"/>
      <c r="C100" s="1332">
        <v>4270</v>
      </c>
      <c r="D100" s="148" t="s">
        <v>720</v>
      </c>
      <c r="E100" s="148">
        <v>1273970</v>
      </c>
      <c r="F100" s="148">
        <v>1273970</v>
      </c>
      <c r="G100" s="148"/>
      <c r="H100" s="148"/>
      <c r="I100" s="148"/>
      <c r="J100" s="148">
        <v>1273970</v>
      </c>
      <c r="K100" s="148"/>
      <c r="L100" s="148"/>
      <c r="M100" s="148"/>
      <c r="N100" s="148">
        <f>N99</f>
        <v>-83735</v>
      </c>
      <c r="O100" s="148">
        <f t="shared" si="4"/>
        <v>1190235</v>
      </c>
      <c r="P100" s="148">
        <f t="shared" si="7"/>
        <v>1190235</v>
      </c>
      <c r="Q100" s="148"/>
      <c r="R100" s="148"/>
      <c r="S100" s="148"/>
      <c r="T100" s="148">
        <f>J100+N100</f>
        <v>1190235</v>
      </c>
      <c r="U100" s="148"/>
      <c r="V100" s="148"/>
      <c r="W100" s="148"/>
      <c r="X100" s="272"/>
    </row>
    <row r="101" spans="1:24" s="469" customFormat="1" ht="18" customHeight="1">
      <c r="A101" s="281"/>
      <c r="B101" s="281"/>
      <c r="C101" s="33">
        <v>4300</v>
      </c>
      <c r="D101" s="127" t="s">
        <v>322</v>
      </c>
      <c r="E101" s="148">
        <v>199760</v>
      </c>
      <c r="F101" s="148">
        <v>199760</v>
      </c>
      <c r="G101" s="879"/>
      <c r="H101" s="879"/>
      <c r="I101" s="879"/>
      <c r="J101" s="879"/>
      <c r="K101" s="879"/>
      <c r="L101" s="879"/>
      <c r="M101" s="879"/>
      <c r="N101" s="880">
        <v>3500</v>
      </c>
      <c r="O101" s="258">
        <f t="shared" si="4"/>
        <v>203260</v>
      </c>
      <c r="P101" s="258">
        <f t="shared" si="7"/>
        <v>203260</v>
      </c>
      <c r="Q101" s="879"/>
      <c r="R101" s="879"/>
      <c r="S101" s="879"/>
      <c r="T101" s="880"/>
      <c r="U101" s="879"/>
      <c r="V101" s="879"/>
      <c r="W101" s="879"/>
      <c r="X101" s="272"/>
    </row>
    <row r="102" spans="1:24" s="469" customFormat="1" ht="18" customHeight="1">
      <c r="A102" s="281"/>
      <c r="B102" s="282"/>
      <c r="C102" s="282">
        <v>4440</v>
      </c>
      <c r="D102" s="387" t="s">
        <v>247</v>
      </c>
      <c r="E102" s="258">
        <v>2315570</v>
      </c>
      <c r="F102" s="258">
        <v>2315570</v>
      </c>
      <c r="G102" s="258"/>
      <c r="H102" s="258"/>
      <c r="I102" s="258"/>
      <c r="J102" s="258"/>
      <c r="K102" s="258"/>
      <c r="L102" s="258"/>
      <c r="M102" s="258"/>
      <c r="N102" s="258">
        <v>10851</v>
      </c>
      <c r="O102" s="258">
        <f t="shared" si="4"/>
        <v>2326421</v>
      </c>
      <c r="P102" s="258">
        <f t="shared" si="7"/>
        <v>2326421</v>
      </c>
      <c r="Q102" s="258"/>
      <c r="R102" s="258"/>
      <c r="S102" s="258"/>
      <c r="T102" s="258"/>
      <c r="U102" s="258"/>
      <c r="V102" s="258"/>
      <c r="W102" s="258"/>
      <c r="X102" s="882"/>
    </row>
    <row r="103" spans="1:66" s="143" customFormat="1" ht="19.5" customHeight="1">
      <c r="A103" s="278"/>
      <c r="B103" s="279">
        <v>80130</v>
      </c>
      <c r="C103" s="279"/>
      <c r="D103" s="280" t="s">
        <v>399</v>
      </c>
      <c r="E103" s="257">
        <v>54240249</v>
      </c>
      <c r="F103" s="257">
        <v>45744055</v>
      </c>
      <c r="G103" s="257">
        <v>26223200</v>
      </c>
      <c r="H103" s="257">
        <v>5244010</v>
      </c>
      <c r="I103" s="257">
        <v>8186680</v>
      </c>
      <c r="J103" s="257">
        <v>1036992</v>
      </c>
      <c r="K103" s="257"/>
      <c r="L103" s="257"/>
      <c r="M103" s="257">
        <v>8496194</v>
      </c>
      <c r="N103" s="257">
        <f>N104</f>
        <v>9508</v>
      </c>
      <c r="O103" s="257">
        <f t="shared" si="4"/>
        <v>54249757</v>
      </c>
      <c r="P103" s="257">
        <f>F103+N107+N105+N108+N109</f>
        <v>45550563</v>
      </c>
      <c r="Q103" s="257">
        <f>G103</f>
        <v>26223200</v>
      </c>
      <c r="R103" s="257">
        <f>H103</f>
        <v>5244010</v>
      </c>
      <c r="S103" s="257">
        <f>I103</f>
        <v>8186680</v>
      </c>
      <c r="T103" s="257">
        <f>J103+N107</f>
        <v>856000</v>
      </c>
      <c r="U103" s="257"/>
      <c r="V103" s="257"/>
      <c r="W103" s="257">
        <f>M103+N111</f>
        <v>8699194</v>
      </c>
      <c r="X103" s="882"/>
      <c r="Y103" s="466"/>
      <c r="Z103" s="466"/>
      <c r="AA103" s="46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6"/>
      <c r="AO103" s="466"/>
      <c r="AP103" s="466"/>
      <c r="AQ103" s="466"/>
      <c r="AR103" s="466"/>
      <c r="AS103" s="466"/>
      <c r="AT103" s="466"/>
      <c r="AU103" s="466"/>
      <c r="AV103" s="466"/>
      <c r="AW103" s="466"/>
      <c r="AX103" s="466"/>
      <c r="AY103" s="466"/>
      <c r="AZ103" s="466"/>
      <c r="BA103" s="466"/>
      <c r="BB103" s="466"/>
      <c r="BC103" s="466"/>
      <c r="BD103" s="466"/>
      <c r="BE103" s="466"/>
      <c r="BF103" s="466"/>
      <c r="BG103" s="466"/>
      <c r="BH103" s="466"/>
      <c r="BI103" s="466"/>
      <c r="BJ103" s="466"/>
      <c r="BK103" s="466"/>
      <c r="BL103" s="466"/>
      <c r="BM103" s="466"/>
      <c r="BN103" s="466"/>
    </row>
    <row r="104" spans="1:66" s="143" customFormat="1" ht="25.5">
      <c r="A104" s="278"/>
      <c r="B104" s="278"/>
      <c r="C104" s="278"/>
      <c r="D104" s="524" t="s">
        <v>724</v>
      </c>
      <c r="E104" s="525">
        <v>45930969</v>
      </c>
      <c r="F104" s="525">
        <v>37434775</v>
      </c>
      <c r="G104" s="525">
        <v>26170000</v>
      </c>
      <c r="H104" s="525">
        <v>5235010</v>
      </c>
      <c r="I104" s="525"/>
      <c r="J104" s="525">
        <v>1036992</v>
      </c>
      <c r="K104" s="525"/>
      <c r="L104" s="525"/>
      <c r="M104" s="525">
        <v>8496194</v>
      </c>
      <c r="N104" s="525">
        <f>N111+N107+N105+N108+N109</f>
        <v>9508</v>
      </c>
      <c r="O104" s="525">
        <f aca="true" t="shared" si="8" ref="O104:O109">E104+N104</f>
        <v>45940477</v>
      </c>
      <c r="P104" s="525">
        <f>F104+N107+N105+N108+N109</f>
        <v>37241283</v>
      </c>
      <c r="Q104" s="525">
        <f>G104</f>
        <v>26170000</v>
      </c>
      <c r="R104" s="525">
        <f>H104</f>
        <v>5235010</v>
      </c>
      <c r="S104" s="525"/>
      <c r="T104" s="525">
        <f>J104+N107</f>
        <v>856000</v>
      </c>
      <c r="U104" s="525"/>
      <c r="V104" s="525"/>
      <c r="W104" s="525">
        <f>M104+N111</f>
        <v>8699194</v>
      </c>
      <c r="X104" s="882"/>
      <c r="Y104" s="466"/>
      <c r="Z104" s="466"/>
      <c r="AA104" s="466"/>
      <c r="AB104" s="466"/>
      <c r="AC104" s="466"/>
      <c r="AD104" s="466"/>
      <c r="AE104" s="466"/>
      <c r="AF104" s="466"/>
      <c r="AG104" s="466"/>
      <c r="AH104" s="466"/>
      <c r="AI104" s="466"/>
      <c r="AJ104" s="466"/>
      <c r="AK104" s="466"/>
      <c r="AL104" s="466"/>
      <c r="AM104" s="466"/>
      <c r="AN104" s="466"/>
      <c r="AO104" s="466"/>
      <c r="AP104" s="466"/>
      <c r="AQ104" s="466"/>
      <c r="AR104" s="466"/>
      <c r="AS104" s="466"/>
      <c r="AT104" s="466"/>
      <c r="AU104" s="466"/>
      <c r="AV104" s="466"/>
      <c r="AW104" s="466"/>
      <c r="AX104" s="466"/>
      <c r="AY104" s="466"/>
      <c r="AZ104" s="466"/>
      <c r="BA104" s="466"/>
      <c r="BB104" s="466"/>
      <c r="BC104" s="466"/>
      <c r="BD104" s="466"/>
      <c r="BE104" s="466"/>
      <c r="BF104" s="466"/>
      <c r="BG104" s="466"/>
      <c r="BH104" s="466"/>
      <c r="BI104" s="466"/>
      <c r="BJ104" s="466"/>
      <c r="BK104" s="466"/>
      <c r="BL104" s="466"/>
      <c r="BM104" s="466"/>
      <c r="BN104" s="466"/>
    </row>
    <row r="105" spans="1:66" s="285" customFormat="1" ht="18" customHeight="1">
      <c r="A105" s="281"/>
      <c r="B105" s="281"/>
      <c r="C105" s="282">
        <v>4210</v>
      </c>
      <c r="D105" s="1074" t="s">
        <v>321</v>
      </c>
      <c r="E105" s="283">
        <v>669400</v>
      </c>
      <c r="F105" s="283">
        <v>669400</v>
      </c>
      <c r="G105" s="283"/>
      <c r="H105" s="283"/>
      <c r="I105" s="283"/>
      <c r="J105" s="283"/>
      <c r="K105" s="283"/>
      <c r="L105" s="283"/>
      <c r="M105" s="283"/>
      <c r="N105" s="283">
        <v>-23000</v>
      </c>
      <c r="O105" s="283">
        <f t="shared" si="8"/>
        <v>646400</v>
      </c>
      <c r="P105" s="283">
        <f>F105+N105</f>
        <v>646400</v>
      </c>
      <c r="Q105" s="283"/>
      <c r="R105" s="283"/>
      <c r="S105" s="283"/>
      <c r="T105" s="283"/>
      <c r="U105" s="283"/>
      <c r="V105" s="283"/>
      <c r="W105" s="283"/>
      <c r="X105" s="882"/>
      <c r="Y105" s="469"/>
      <c r="Z105" s="469"/>
      <c r="AA105" s="469"/>
      <c r="AB105" s="469"/>
      <c r="AC105" s="469"/>
      <c r="AD105" s="1078"/>
      <c r="AE105" s="1078"/>
      <c r="AF105" s="1078"/>
      <c r="AG105" s="1078"/>
      <c r="AH105" s="1078"/>
      <c r="AI105" s="1078"/>
      <c r="AJ105" s="1078"/>
      <c r="AK105" s="1078"/>
      <c r="AL105" s="1078"/>
      <c r="AM105" s="1078"/>
      <c r="AN105" s="1078"/>
      <c r="AO105" s="1078"/>
      <c r="AP105" s="1078"/>
      <c r="AQ105" s="1078"/>
      <c r="AR105" s="1078"/>
      <c r="AS105" s="1078"/>
      <c r="AT105" s="1078"/>
      <c r="AU105" s="1078"/>
      <c r="AV105" s="1078"/>
      <c r="AW105" s="1078"/>
      <c r="AX105" s="1078"/>
      <c r="AY105" s="1078"/>
      <c r="AZ105" s="1078"/>
      <c r="BA105" s="1078"/>
      <c r="BB105" s="1078"/>
      <c r="BC105" s="1078"/>
      <c r="BD105" s="1078"/>
      <c r="BE105" s="1078"/>
      <c r="BF105" s="1078"/>
      <c r="BG105" s="1078"/>
      <c r="BH105" s="1078"/>
      <c r="BI105" s="1078"/>
      <c r="BJ105" s="1078"/>
      <c r="BK105" s="1078"/>
      <c r="BL105" s="1078"/>
      <c r="BM105" s="1078"/>
      <c r="BN105" s="1078"/>
    </row>
    <row r="106" spans="1:24" s="469" customFormat="1" ht="18" customHeight="1">
      <c r="A106" s="281"/>
      <c r="B106" s="281"/>
      <c r="C106" s="281"/>
      <c r="D106" s="1013" t="s">
        <v>717</v>
      </c>
      <c r="E106" s="886">
        <v>1036992</v>
      </c>
      <c r="F106" s="886">
        <v>1036992</v>
      </c>
      <c r="G106" s="886"/>
      <c r="H106" s="886"/>
      <c r="I106" s="886"/>
      <c r="J106" s="886">
        <v>1036992</v>
      </c>
      <c r="K106" s="886"/>
      <c r="L106" s="886"/>
      <c r="M106" s="886"/>
      <c r="N106" s="886">
        <f>-203000+22008</f>
        <v>-180992</v>
      </c>
      <c r="O106" s="886">
        <f t="shared" si="8"/>
        <v>856000</v>
      </c>
      <c r="P106" s="886">
        <f>F106+N106</f>
        <v>856000</v>
      </c>
      <c r="Q106" s="886"/>
      <c r="R106" s="886"/>
      <c r="S106" s="886"/>
      <c r="T106" s="886">
        <f>J106+N106</f>
        <v>856000</v>
      </c>
      <c r="U106" s="886"/>
      <c r="V106" s="886"/>
      <c r="W106" s="886"/>
      <c r="X106" s="882"/>
    </row>
    <row r="107" spans="1:24" s="469" customFormat="1" ht="18" customHeight="1">
      <c r="A107" s="281"/>
      <c r="B107" s="281"/>
      <c r="C107" s="282">
        <v>4270</v>
      </c>
      <c r="D107" s="177" t="s">
        <v>718</v>
      </c>
      <c r="E107" s="258">
        <v>1036992</v>
      </c>
      <c r="F107" s="258">
        <v>1036992</v>
      </c>
      <c r="G107" s="258"/>
      <c r="H107" s="258"/>
      <c r="I107" s="258"/>
      <c r="J107" s="258">
        <v>1036992</v>
      </c>
      <c r="K107" s="258"/>
      <c r="L107" s="258"/>
      <c r="M107" s="258"/>
      <c r="N107" s="258">
        <f>N106</f>
        <v>-180992</v>
      </c>
      <c r="O107" s="258">
        <f t="shared" si="8"/>
        <v>856000</v>
      </c>
      <c r="P107" s="258">
        <f>F107+N107</f>
        <v>856000</v>
      </c>
      <c r="Q107" s="258"/>
      <c r="R107" s="258"/>
      <c r="S107" s="258"/>
      <c r="T107" s="258">
        <f>J107+N107</f>
        <v>856000</v>
      </c>
      <c r="U107" s="258"/>
      <c r="V107" s="258"/>
      <c r="W107" s="258"/>
      <c r="X107" s="882"/>
    </row>
    <row r="108" spans="1:24" s="469" customFormat="1" ht="18" customHeight="1">
      <c r="A108" s="281"/>
      <c r="B108" s="281"/>
      <c r="C108" s="281">
        <v>4300</v>
      </c>
      <c r="D108" s="154" t="s">
        <v>322</v>
      </c>
      <c r="E108" s="528">
        <v>334838</v>
      </c>
      <c r="F108" s="528">
        <v>334838</v>
      </c>
      <c r="G108" s="528"/>
      <c r="H108" s="528"/>
      <c r="I108" s="528"/>
      <c r="J108" s="528"/>
      <c r="K108" s="528"/>
      <c r="L108" s="528"/>
      <c r="M108" s="528"/>
      <c r="N108" s="528">
        <v>8500</v>
      </c>
      <c r="O108" s="528">
        <f t="shared" si="8"/>
        <v>343338</v>
      </c>
      <c r="P108" s="528">
        <f>F108+N108</f>
        <v>343338</v>
      </c>
      <c r="Q108" s="528"/>
      <c r="R108" s="528"/>
      <c r="S108" s="528"/>
      <c r="T108" s="528"/>
      <c r="U108" s="528"/>
      <c r="V108" s="528"/>
      <c r="W108" s="528"/>
      <c r="X108" s="882"/>
    </row>
    <row r="109" spans="1:24" s="469" customFormat="1" ht="18" customHeight="1">
      <c r="A109" s="281"/>
      <c r="B109" s="281"/>
      <c r="C109" s="290">
        <v>4410</v>
      </c>
      <c r="D109" s="369" t="s">
        <v>134</v>
      </c>
      <c r="E109" s="262">
        <v>23500</v>
      </c>
      <c r="F109" s="262">
        <v>23500</v>
      </c>
      <c r="G109" s="262"/>
      <c r="H109" s="262"/>
      <c r="I109" s="262"/>
      <c r="J109" s="262"/>
      <c r="K109" s="262"/>
      <c r="L109" s="262"/>
      <c r="M109" s="262"/>
      <c r="N109" s="262">
        <v>2000</v>
      </c>
      <c r="O109" s="262">
        <f t="shared" si="8"/>
        <v>25500</v>
      </c>
      <c r="P109" s="262">
        <f>F109+N109</f>
        <v>25500</v>
      </c>
      <c r="Q109" s="262"/>
      <c r="R109" s="262"/>
      <c r="S109" s="262"/>
      <c r="T109" s="262"/>
      <c r="U109" s="262"/>
      <c r="V109" s="262"/>
      <c r="W109" s="262"/>
      <c r="X109" s="882"/>
    </row>
    <row r="110" spans="1:66" s="284" customFormat="1" ht="18" customHeight="1">
      <c r="A110" s="281"/>
      <c r="B110" s="281"/>
      <c r="C110" s="281"/>
      <c r="D110" s="154" t="s">
        <v>41</v>
      </c>
      <c r="E110" s="528"/>
      <c r="F110" s="528"/>
      <c r="G110" s="528"/>
      <c r="H110" s="528"/>
      <c r="I110" s="528"/>
      <c r="J110" s="528"/>
      <c r="K110" s="528"/>
      <c r="L110" s="528"/>
      <c r="M110" s="528"/>
      <c r="N110" s="528">
        <v>203000</v>
      </c>
      <c r="O110" s="528">
        <f t="shared" si="4"/>
        <v>203000</v>
      </c>
      <c r="P110" s="528"/>
      <c r="Q110" s="528"/>
      <c r="R110" s="528"/>
      <c r="S110" s="528"/>
      <c r="T110" s="528"/>
      <c r="U110" s="528"/>
      <c r="V110" s="528"/>
      <c r="W110" s="528">
        <f>M110+N110</f>
        <v>203000</v>
      </c>
      <c r="X110" s="882"/>
      <c r="Y110" s="469"/>
      <c r="Z110" s="469"/>
      <c r="AA110" s="469"/>
      <c r="AB110" s="469"/>
      <c r="AC110" s="469"/>
      <c r="AD110" s="469"/>
      <c r="AE110" s="469"/>
      <c r="AF110" s="469"/>
      <c r="AG110" s="469"/>
      <c r="AH110" s="469"/>
      <c r="AI110" s="469"/>
      <c r="AJ110" s="469"/>
      <c r="AK110" s="469"/>
      <c r="AL110" s="469"/>
      <c r="AM110" s="469"/>
      <c r="AN110" s="469"/>
      <c r="AO110" s="469"/>
      <c r="AP110" s="469"/>
      <c r="AQ110" s="469"/>
      <c r="AR110" s="469"/>
      <c r="AS110" s="469"/>
      <c r="AT110" s="469"/>
      <c r="AU110" s="469"/>
      <c r="AV110" s="469"/>
      <c r="AW110" s="469"/>
      <c r="AX110" s="469"/>
      <c r="AY110" s="469"/>
      <c r="AZ110" s="469"/>
      <c r="BA110" s="469"/>
      <c r="BB110" s="469"/>
      <c r="BC110" s="469"/>
      <c r="BD110" s="469"/>
      <c r="BE110" s="469"/>
      <c r="BF110" s="469"/>
      <c r="BG110" s="469"/>
      <c r="BH110" s="469"/>
      <c r="BI110" s="469"/>
      <c r="BJ110" s="469"/>
      <c r="BK110" s="469"/>
      <c r="BL110" s="469"/>
      <c r="BM110" s="469"/>
      <c r="BN110" s="469"/>
    </row>
    <row r="111" spans="1:66" s="284" customFormat="1" ht="18" customHeight="1">
      <c r="A111" s="281"/>
      <c r="B111" s="281"/>
      <c r="C111" s="282">
        <v>6050</v>
      </c>
      <c r="D111" s="529" t="s">
        <v>723</v>
      </c>
      <c r="E111" s="530">
        <v>6771194</v>
      </c>
      <c r="F111" s="530"/>
      <c r="G111" s="530"/>
      <c r="H111" s="530"/>
      <c r="I111" s="530"/>
      <c r="J111" s="530"/>
      <c r="K111" s="530"/>
      <c r="L111" s="530"/>
      <c r="M111" s="530">
        <v>6771194</v>
      </c>
      <c r="N111" s="530">
        <f>N110</f>
        <v>203000</v>
      </c>
      <c r="O111" s="530">
        <f t="shared" si="4"/>
        <v>6974194</v>
      </c>
      <c r="P111" s="530"/>
      <c r="Q111" s="530"/>
      <c r="R111" s="530"/>
      <c r="S111" s="530"/>
      <c r="T111" s="530"/>
      <c r="U111" s="530"/>
      <c r="V111" s="530"/>
      <c r="W111" s="530">
        <f>M111+N111</f>
        <v>6974194</v>
      </c>
      <c r="X111" s="882"/>
      <c r="Y111" s="469"/>
      <c r="Z111" s="469"/>
      <c r="AA111" s="469"/>
      <c r="AB111" s="469"/>
      <c r="AC111" s="469"/>
      <c r="AD111" s="469"/>
      <c r="AE111" s="469"/>
      <c r="AF111" s="469"/>
      <c r="AG111" s="469"/>
      <c r="AH111" s="469"/>
      <c r="AI111" s="469"/>
      <c r="AJ111" s="469"/>
      <c r="AK111" s="469"/>
      <c r="AL111" s="469"/>
      <c r="AM111" s="469"/>
      <c r="AN111" s="469"/>
      <c r="AO111" s="469"/>
      <c r="AP111" s="469"/>
      <c r="AQ111" s="469"/>
      <c r="AR111" s="469"/>
      <c r="AS111" s="469"/>
      <c r="AT111" s="469"/>
      <c r="AU111" s="469"/>
      <c r="AV111" s="469"/>
      <c r="AW111" s="469"/>
      <c r="AX111" s="469"/>
      <c r="AY111" s="469"/>
      <c r="AZ111" s="469"/>
      <c r="BA111" s="469"/>
      <c r="BB111" s="469"/>
      <c r="BC111" s="469"/>
      <c r="BD111" s="469"/>
      <c r="BE111" s="469"/>
      <c r="BF111" s="469"/>
      <c r="BG111" s="469"/>
      <c r="BH111" s="469"/>
      <c r="BI111" s="469"/>
      <c r="BJ111" s="469"/>
      <c r="BK111" s="469"/>
      <c r="BL111" s="469"/>
      <c r="BM111" s="469"/>
      <c r="BN111" s="469"/>
    </row>
    <row r="112" spans="1:24" s="143" customFormat="1" ht="19.5" customHeight="1">
      <c r="A112" s="278"/>
      <c r="B112" s="291">
        <v>80146</v>
      </c>
      <c r="C112" s="1120"/>
      <c r="D112" s="629" t="s">
        <v>604</v>
      </c>
      <c r="E112" s="630">
        <v>1640000</v>
      </c>
      <c r="F112" s="630">
        <v>1640000</v>
      </c>
      <c r="G112" s="630">
        <v>672050</v>
      </c>
      <c r="H112" s="630">
        <v>50000</v>
      </c>
      <c r="I112" s="630"/>
      <c r="J112" s="630"/>
      <c r="K112" s="630"/>
      <c r="L112" s="630"/>
      <c r="M112" s="630"/>
      <c r="N112" s="630">
        <f>N113</f>
        <v>0</v>
      </c>
      <c r="O112" s="630">
        <f t="shared" si="4"/>
        <v>1640000</v>
      </c>
      <c r="P112" s="630">
        <f>F112+N114+N115+N116</f>
        <v>1640000</v>
      </c>
      <c r="Q112" s="630">
        <f>G112+N114</f>
        <v>669900</v>
      </c>
      <c r="R112" s="630">
        <f>H112</f>
        <v>50000</v>
      </c>
      <c r="S112" s="630"/>
      <c r="T112" s="630"/>
      <c r="U112" s="630"/>
      <c r="V112" s="630"/>
      <c r="W112" s="630"/>
      <c r="X112" s="272"/>
    </row>
    <row r="113" spans="1:24" s="143" customFormat="1" ht="18" customHeight="1">
      <c r="A113" s="278"/>
      <c r="B113" s="278"/>
      <c r="C113" s="286"/>
      <c r="D113" s="547" t="s">
        <v>692</v>
      </c>
      <c r="E113" s="562">
        <v>1640000</v>
      </c>
      <c r="F113" s="562">
        <v>1640000</v>
      </c>
      <c r="G113" s="562">
        <v>672050</v>
      </c>
      <c r="H113" s="562">
        <v>50000</v>
      </c>
      <c r="I113" s="562"/>
      <c r="J113" s="562"/>
      <c r="K113" s="562"/>
      <c r="L113" s="562"/>
      <c r="M113" s="562"/>
      <c r="N113" s="562">
        <f>SUM(N114:N116)</f>
        <v>0</v>
      </c>
      <c r="O113" s="562">
        <f t="shared" si="4"/>
        <v>1640000</v>
      </c>
      <c r="P113" s="562">
        <f>F113+N114+N115+N116</f>
        <v>1640000</v>
      </c>
      <c r="Q113" s="562">
        <f>G113+N114</f>
        <v>669900</v>
      </c>
      <c r="R113" s="562">
        <f>H113</f>
        <v>50000</v>
      </c>
      <c r="S113" s="562"/>
      <c r="T113" s="562"/>
      <c r="U113" s="562"/>
      <c r="V113" s="562"/>
      <c r="W113" s="562"/>
      <c r="X113" s="272"/>
    </row>
    <row r="114" spans="1:24" s="284" customFormat="1" ht="18" customHeight="1">
      <c r="A114" s="281"/>
      <c r="B114" s="281"/>
      <c r="C114" s="282">
        <v>4170</v>
      </c>
      <c r="D114" s="154" t="s">
        <v>320</v>
      </c>
      <c r="E114" s="528">
        <v>93130</v>
      </c>
      <c r="F114" s="258">
        <v>93130</v>
      </c>
      <c r="G114" s="528">
        <v>93130</v>
      </c>
      <c r="H114" s="528"/>
      <c r="I114" s="528"/>
      <c r="J114" s="528"/>
      <c r="K114" s="528"/>
      <c r="L114" s="528"/>
      <c r="M114" s="528"/>
      <c r="N114" s="528">
        <f>-2200+50</f>
        <v>-2150</v>
      </c>
      <c r="O114" s="528">
        <f t="shared" si="4"/>
        <v>90980</v>
      </c>
      <c r="P114" s="528">
        <f>F114+N114</f>
        <v>90980</v>
      </c>
      <c r="Q114" s="528">
        <f>G114+N114</f>
        <v>90980</v>
      </c>
      <c r="R114" s="528"/>
      <c r="S114" s="528"/>
      <c r="T114" s="528"/>
      <c r="U114" s="528"/>
      <c r="V114" s="528"/>
      <c r="W114" s="528"/>
      <c r="X114" s="272"/>
    </row>
    <row r="115" spans="1:24" s="284" customFormat="1" ht="18" customHeight="1">
      <c r="A115" s="281"/>
      <c r="B115" s="281"/>
      <c r="C115" s="290">
        <v>4420</v>
      </c>
      <c r="D115" s="895" t="s">
        <v>576</v>
      </c>
      <c r="E115" s="262"/>
      <c r="F115" s="262"/>
      <c r="G115" s="262"/>
      <c r="H115" s="262"/>
      <c r="I115" s="262"/>
      <c r="J115" s="262"/>
      <c r="K115" s="262"/>
      <c r="L115" s="262"/>
      <c r="M115" s="262"/>
      <c r="N115" s="262">
        <v>550</v>
      </c>
      <c r="O115" s="262">
        <f t="shared" si="4"/>
        <v>550</v>
      </c>
      <c r="P115" s="262">
        <f>F115+N115</f>
        <v>550</v>
      </c>
      <c r="Q115" s="262"/>
      <c r="R115" s="262"/>
      <c r="S115" s="262"/>
      <c r="T115" s="262"/>
      <c r="U115" s="262"/>
      <c r="V115" s="262"/>
      <c r="W115" s="262"/>
      <c r="X115" s="272"/>
    </row>
    <row r="116" spans="1:24" s="284" customFormat="1" ht="25.5">
      <c r="A116" s="281"/>
      <c r="B116" s="281"/>
      <c r="C116" s="290">
        <v>4700</v>
      </c>
      <c r="D116" s="369" t="s">
        <v>695</v>
      </c>
      <c r="E116" s="262">
        <v>578300</v>
      </c>
      <c r="F116" s="262">
        <v>578300</v>
      </c>
      <c r="G116" s="262"/>
      <c r="H116" s="262"/>
      <c r="I116" s="262"/>
      <c r="J116" s="262"/>
      <c r="K116" s="262"/>
      <c r="L116" s="262"/>
      <c r="M116" s="262"/>
      <c r="N116" s="262">
        <f>1650-50</f>
        <v>1600</v>
      </c>
      <c r="O116" s="262">
        <f t="shared" si="4"/>
        <v>579900</v>
      </c>
      <c r="P116" s="262">
        <f>F116+N116</f>
        <v>579900</v>
      </c>
      <c r="Q116" s="262"/>
      <c r="R116" s="262"/>
      <c r="S116" s="262"/>
      <c r="T116" s="262"/>
      <c r="U116" s="262"/>
      <c r="V116" s="262"/>
      <c r="W116" s="262"/>
      <c r="X116" s="272"/>
    </row>
    <row r="117" spans="1:29" s="1121" customFormat="1" ht="19.5" customHeight="1">
      <c r="A117" s="173"/>
      <c r="B117" s="291">
        <v>80195</v>
      </c>
      <c r="C117" s="291"/>
      <c r="D117" s="629" t="s">
        <v>401</v>
      </c>
      <c r="E117" s="630">
        <v>78656</v>
      </c>
      <c r="F117" s="630">
        <v>78656</v>
      </c>
      <c r="G117" s="630">
        <v>16848</v>
      </c>
      <c r="H117" s="630">
        <v>2296</v>
      </c>
      <c r="I117" s="630"/>
      <c r="J117" s="630"/>
      <c r="K117" s="630"/>
      <c r="L117" s="630"/>
      <c r="M117" s="630"/>
      <c r="N117" s="630">
        <f>N118+N122</f>
        <v>12055</v>
      </c>
      <c r="O117" s="630">
        <f t="shared" si="4"/>
        <v>90711</v>
      </c>
      <c r="P117" s="630">
        <f>F117+N119+N120+N121+N123</f>
        <v>90711</v>
      </c>
      <c r="Q117" s="630">
        <f>G117+N121</f>
        <v>18826</v>
      </c>
      <c r="R117" s="630">
        <f>H117+N119+N120</f>
        <v>2676</v>
      </c>
      <c r="S117" s="630"/>
      <c r="T117" s="630"/>
      <c r="U117" s="630"/>
      <c r="V117" s="630"/>
      <c r="W117" s="630"/>
      <c r="X117" s="272"/>
      <c r="Y117" s="1499"/>
      <c r="Z117" s="1499"/>
      <c r="AA117" s="1499"/>
      <c r="AB117" s="1499"/>
      <c r="AC117" s="1499"/>
    </row>
    <row r="118" spans="1:24" s="143" customFormat="1" ht="25.5">
      <c r="A118" s="278"/>
      <c r="B118" s="278"/>
      <c r="C118" s="278"/>
      <c r="D118" s="21" t="s">
        <v>73</v>
      </c>
      <c r="E118" s="562">
        <v>19144</v>
      </c>
      <c r="F118" s="562">
        <v>19144</v>
      </c>
      <c r="G118" s="562">
        <v>16848</v>
      </c>
      <c r="H118" s="562">
        <v>2296</v>
      </c>
      <c r="I118" s="562"/>
      <c r="J118" s="562"/>
      <c r="K118" s="562"/>
      <c r="L118" s="562"/>
      <c r="M118" s="562"/>
      <c r="N118" s="562">
        <f>SUM(N119:N121)</f>
        <v>2358</v>
      </c>
      <c r="O118" s="562">
        <f t="shared" si="4"/>
        <v>21502</v>
      </c>
      <c r="P118" s="562">
        <f>F118+N119+N120+N121</f>
        <v>21502</v>
      </c>
      <c r="Q118" s="562">
        <f>G118+N121</f>
        <v>18826</v>
      </c>
      <c r="R118" s="562">
        <f>H118+N119+N120</f>
        <v>2676</v>
      </c>
      <c r="S118" s="562"/>
      <c r="T118" s="562"/>
      <c r="U118" s="562"/>
      <c r="V118" s="562"/>
      <c r="W118" s="562"/>
      <c r="X118" s="272"/>
    </row>
    <row r="119" spans="1:24" s="284" customFormat="1" ht="18" customHeight="1">
      <c r="A119" s="281"/>
      <c r="B119" s="281"/>
      <c r="C119" s="281">
        <v>4110</v>
      </c>
      <c r="D119" s="154" t="s">
        <v>696</v>
      </c>
      <c r="E119" s="528">
        <v>2008</v>
      </c>
      <c r="F119" s="528">
        <v>2008</v>
      </c>
      <c r="G119" s="528"/>
      <c r="H119" s="528">
        <v>2008</v>
      </c>
      <c r="I119" s="528"/>
      <c r="J119" s="528"/>
      <c r="K119" s="528"/>
      <c r="L119" s="528"/>
      <c r="M119" s="528"/>
      <c r="N119" s="528">
        <v>335</v>
      </c>
      <c r="O119" s="528">
        <f t="shared" si="4"/>
        <v>2343</v>
      </c>
      <c r="P119" s="528">
        <f>F119+N119</f>
        <v>2343</v>
      </c>
      <c r="Q119" s="528"/>
      <c r="R119" s="528">
        <f>H119+N119</f>
        <v>2343</v>
      </c>
      <c r="S119" s="528"/>
      <c r="T119" s="528"/>
      <c r="U119" s="528"/>
      <c r="V119" s="528"/>
      <c r="W119" s="528"/>
      <c r="X119" s="272"/>
    </row>
    <row r="120" spans="1:24" s="284" customFormat="1" ht="18" customHeight="1">
      <c r="A120" s="281"/>
      <c r="B120" s="281"/>
      <c r="C120" s="290">
        <v>4120</v>
      </c>
      <c r="D120" s="1075" t="s">
        <v>694</v>
      </c>
      <c r="E120" s="1076">
        <v>288</v>
      </c>
      <c r="F120" s="1076">
        <v>288</v>
      </c>
      <c r="G120" s="1076"/>
      <c r="H120" s="1076">
        <v>288</v>
      </c>
      <c r="I120" s="1076"/>
      <c r="J120" s="1076"/>
      <c r="K120" s="1076"/>
      <c r="L120" s="1076"/>
      <c r="M120" s="1076"/>
      <c r="N120" s="1076">
        <v>45</v>
      </c>
      <c r="O120" s="1076">
        <f t="shared" si="4"/>
        <v>333</v>
      </c>
      <c r="P120" s="1076">
        <f>F120+N120</f>
        <v>333</v>
      </c>
      <c r="Q120" s="1076"/>
      <c r="R120" s="262">
        <f>H120+N120</f>
        <v>333</v>
      </c>
      <c r="S120" s="1076"/>
      <c r="T120" s="1076"/>
      <c r="U120" s="1076"/>
      <c r="V120" s="1076"/>
      <c r="W120" s="1076"/>
      <c r="X120" s="272"/>
    </row>
    <row r="121" spans="1:24" s="284" customFormat="1" ht="18" customHeight="1">
      <c r="A121" s="281"/>
      <c r="B121" s="281"/>
      <c r="C121" s="290">
        <v>4170</v>
      </c>
      <c r="D121" s="1075" t="s">
        <v>320</v>
      </c>
      <c r="E121" s="1076">
        <v>16848</v>
      </c>
      <c r="F121" s="1076">
        <v>16848</v>
      </c>
      <c r="G121" s="1076">
        <v>16848</v>
      </c>
      <c r="H121" s="1076"/>
      <c r="I121" s="1076"/>
      <c r="J121" s="1076"/>
      <c r="K121" s="1076"/>
      <c r="L121" s="1076"/>
      <c r="M121" s="1076"/>
      <c r="N121" s="1076">
        <v>1978</v>
      </c>
      <c r="O121" s="1076">
        <f t="shared" si="4"/>
        <v>18826</v>
      </c>
      <c r="P121" s="1076">
        <f>F121+N121</f>
        <v>18826</v>
      </c>
      <c r="Q121" s="1076">
        <f>G121+N121</f>
        <v>18826</v>
      </c>
      <c r="R121" s="1076"/>
      <c r="S121" s="1076"/>
      <c r="T121" s="1076"/>
      <c r="U121" s="1076"/>
      <c r="V121" s="1076"/>
      <c r="W121" s="1076"/>
      <c r="X121" s="272"/>
    </row>
    <row r="122" spans="1:24" s="143" customFormat="1" ht="25.5" customHeight="1">
      <c r="A122" s="278"/>
      <c r="B122" s="278"/>
      <c r="C122" s="278"/>
      <c r="D122" s="21" t="s">
        <v>372</v>
      </c>
      <c r="E122" s="562"/>
      <c r="F122" s="562"/>
      <c r="G122" s="562"/>
      <c r="H122" s="562"/>
      <c r="I122" s="562"/>
      <c r="J122" s="562"/>
      <c r="K122" s="562"/>
      <c r="L122" s="562"/>
      <c r="M122" s="562"/>
      <c r="N122" s="562">
        <f>N123</f>
        <v>9697</v>
      </c>
      <c r="O122" s="562">
        <f t="shared" si="4"/>
        <v>9697</v>
      </c>
      <c r="P122" s="562">
        <f>F122+N123</f>
        <v>9697</v>
      </c>
      <c r="Q122" s="562"/>
      <c r="R122" s="562"/>
      <c r="S122" s="562"/>
      <c r="T122" s="562"/>
      <c r="U122" s="562"/>
      <c r="V122" s="562"/>
      <c r="W122" s="562"/>
      <c r="X122" s="272"/>
    </row>
    <row r="123" spans="1:24" s="284" customFormat="1" ht="18" customHeight="1">
      <c r="A123" s="281"/>
      <c r="B123" s="281"/>
      <c r="C123" s="281">
        <v>4300</v>
      </c>
      <c r="D123" s="154" t="s">
        <v>322</v>
      </c>
      <c r="E123" s="528"/>
      <c r="F123" s="528"/>
      <c r="G123" s="528"/>
      <c r="H123" s="528"/>
      <c r="I123" s="528"/>
      <c r="J123" s="528"/>
      <c r="K123" s="528"/>
      <c r="L123" s="528"/>
      <c r="M123" s="528"/>
      <c r="N123" s="528">
        <v>9697</v>
      </c>
      <c r="O123" s="528">
        <f t="shared" si="4"/>
        <v>9697</v>
      </c>
      <c r="P123" s="528">
        <f>F123+N123</f>
        <v>9697</v>
      </c>
      <c r="Q123" s="528"/>
      <c r="R123" s="528"/>
      <c r="S123" s="528"/>
      <c r="T123" s="528"/>
      <c r="U123" s="528"/>
      <c r="V123" s="528"/>
      <c r="W123" s="528"/>
      <c r="X123" s="272"/>
    </row>
    <row r="124" spans="1:24" s="143" customFormat="1" ht="19.5" customHeight="1" thickBot="1">
      <c r="A124" s="29">
        <v>851</v>
      </c>
      <c r="B124" s="29"/>
      <c r="C124" s="29"/>
      <c r="D124" s="28" t="s">
        <v>323</v>
      </c>
      <c r="E124" s="30">
        <v>6265000</v>
      </c>
      <c r="F124" s="30">
        <v>5224000</v>
      </c>
      <c r="G124" s="30">
        <v>1194484</v>
      </c>
      <c r="H124" s="30">
        <v>160590</v>
      </c>
      <c r="I124" s="30">
        <v>1209270</v>
      </c>
      <c r="J124" s="30"/>
      <c r="K124" s="30"/>
      <c r="L124" s="30"/>
      <c r="M124" s="30">
        <v>1041000</v>
      </c>
      <c r="N124" s="30">
        <f>N125</f>
        <v>0</v>
      </c>
      <c r="O124" s="30">
        <f t="shared" si="4"/>
        <v>6265000</v>
      </c>
      <c r="P124" s="30">
        <f>F124+N128+N129+N130+N131</f>
        <v>5224000</v>
      </c>
      <c r="Q124" s="30">
        <f>G124+N130</f>
        <v>1190757</v>
      </c>
      <c r="R124" s="30">
        <f>H124+N128+N129</f>
        <v>160255</v>
      </c>
      <c r="S124" s="30">
        <f>I124</f>
        <v>1209270</v>
      </c>
      <c r="T124" s="30"/>
      <c r="U124" s="30"/>
      <c r="V124" s="30"/>
      <c r="W124" s="30">
        <f>M124</f>
        <v>1041000</v>
      </c>
      <c r="X124" s="272"/>
    </row>
    <row r="125" spans="1:24" s="143" customFormat="1" ht="19.5" customHeight="1">
      <c r="A125" s="278"/>
      <c r="B125" s="279">
        <v>85154</v>
      </c>
      <c r="C125" s="279"/>
      <c r="D125" s="280" t="s">
        <v>334</v>
      </c>
      <c r="E125" s="257">
        <v>4440000</v>
      </c>
      <c r="F125" s="257">
        <v>3399000</v>
      </c>
      <c r="G125" s="257">
        <v>1182385</v>
      </c>
      <c r="H125" s="257">
        <v>159589</v>
      </c>
      <c r="I125" s="257">
        <v>1094270</v>
      </c>
      <c r="J125" s="257"/>
      <c r="K125" s="257"/>
      <c r="L125" s="257"/>
      <c r="M125" s="257">
        <v>1041000</v>
      </c>
      <c r="N125" s="257">
        <f>N126</f>
        <v>0</v>
      </c>
      <c r="O125" s="257">
        <f t="shared" si="4"/>
        <v>4440000</v>
      </c>
      <c r="P125" s="257">
        <f>F125+N128+N129+N130+N131</f>
        <v>3399000</v>
      </c>
      <c r="Q125" s="257">
        <f>G125+N130</f>
        <v>1178658</v>
      </c>
      <c r="R125" s="257">
        <f>H125+N128+N129</f>
        <v>159254</v>
      </c>
      <c r="S125" s="257">
        <f>I125</f>
        <v>1094270</v>
      </c>
      <c r="T125" s="257"/>
      <c r="U125" s="257"/>
      <c r="V125" s="257"/>
      <c r="W125" s="257">
        <f>M125</f>
        <v>1041000</v>
      </c>
      <c r="X125" s="272"/>
    </row>
    <row r="126" spans="1:24" s="143" customFormat="1" ht="25.5">
      <c r="A126" s="278"/>
      <c r="B126" s="278"/>
      <c r="C126" s="286"/>
      <c r="D126" s="969" t="s">
        <v>335</v>
      </c>
      <c r="E126" s="970">
        <v>4440000</v>
      </c>
      <c r="F126" s="970">
        <v>3399000</v>
      </c>
      <c r="G126" s="970">
        <v>1182385</v>
      </c>
      <c r="H126" s="970">
        <v>159589</v>
      </c>
      <c r="I126" s="970">
        <v>1094270</v>
      </c>
      <c r="J126" s="970"/>
      <c r="K126" s="970"/>
      <c r="L126" s="970"/>
      <c r="M126" s="970">
        <v>1041000</v>
      </c>
      <c r="N126" s="970">
        <f>N127+N132</f>
        <v>0</v>
      </c>
      <c r="O126" s="970">
        <f t="shared" si="4"/>
        <v>4440000</v>
      </c>
      <c r="P126" s="970">
        <f>F126+N128+N129+N130+N131</f>
        <v>3399000</v>
      </c>
      <c r="Q126" s="970">
        <f>G126+N130</f>
        <v>1178658</v>
      </c>
      <c r="R126" s="970">
        <f>H126+N128+N129</f>
        <v>159254</v>
      </c>
      <c r="S126" s="970">
        <f>I126</f>
        <v>1094270</v>
      </c>
      <c r="T126" s="970"/>
      <c r="U126" s="970"/>
      <c r="V126" s="970"/>
      <c r="W126" s="970">
        <f>M126</f>
        <v>1041000</v>
      </c>
      <c r="X126" s="272"/>
    </row>
    <row r="127" spans="1:29" s="1123" customFormat="1" ht="102.75" customHeight="1">
      <c r="A127" s="278"/>
      <c r="B127" s="278"/>
      <c r="C127" s="278"/>
      <c r="D127" s="1507" t="s">
        <v>560</v>
      </c>
      <c r="E127" s="550">
        <v>1760400</v>
      </c>
      <c r="F127" s="550">
        <v>1760400</v>
      </c>
      <c r="G127" s="550">
        <v>408535</v>
      </c>
      <c r="H127" s="550">
        <v>73105</v>
      </c>
      <c r="I127" s="550">
        <v>680270</v>
      </c>
      <c r="J127" s="550"/>
      <c r="K127" s="550"/>
      <c r="L127" s="550"/>
      <c r="M127" s="550"/>
      <c r="N127" s="550">
        <f>N131+N130+N129+N128</f>
        <v>0</v>
      </c>
      <c r="O127" s="550">
        <f t="shared" si="4"/>
        <v>1760400</v>
      </c>
      <c r="P127" s="550">
        <f>F127+N128+N129+N130+N131</f>
        <v>1760400</v>
      </c>
      <c r="Q127" s="550">
        <f>G127+N130</f>
        <v>404808</v>
      </c>
      <c r="R127" s="550">
        <f>H127+N128+N129</f>
        <v>72770</v>
      </c>
      <c r="S127" s="550">
        <f>I127</f>
        <v>680270</v>
      </c>
      <c r="T127" s="550"/>
      <c r="U127" s="550"/>
      <c r="V127" s="550"/>
      <c r="W127" s="550"/>
      <c r="X127" s="272"/>
      <c r="Y127" s="143"/>
      <c r="Z127" s="143"/>
      <c r="AA127" s="143"/>
      <c r="AB127" s="143"/>
      <c r="AC127" s="143"/>
    </row>
    <row r="128" spans="1:24" s="284" customFormat="1" ht="18" customHeight="1">
      <c r="A128" s="281"/>
      <c r="B128" s="281"/>
      <c r="C128" s="281">
        <v>4110</v>
      </c>
      <c r="D128" s="972" t="s">
        <v>693</v>
      </c>
      <c r="E128" s="528">
        <v>64090</v>
      </c>
      <c r="F128" s="528">
        <v>64090</v>
      </c>
      <c r="G128" s="528"/>
      <c r="H128" s="528">
        <v>64090</v>
      </c>
      <c r="I128" s="528"/>
      <c r="J128" s="528"/>
      <c r="K128" s="528"/>
      <c r="L128" s="528"/>
      <c r="M128" s="528"/>
      <c r="N128" s="528">
        <f>-287-7</f>
        <v>-294</v>
      </c>
      <c r="O128" s="528">
        <f t="shared" si="4"/>
        <v>63796</v>
      </c>
      <c r="P128" s="528">
        <f>F128+N128</f>
        <v>63796</v>
      </c>
      <c r="Q128" s="528"/>
      <c r="R128" s="528">
        <f>H128+N128</f>
        <v>63796</v>
      </c>
      <c r="S128" s="528"/>
      <c r="T128" s="528"/>
      <c r="U128" s="528"/>
      <c r="V128" s="528"/>
      <c r="W128" s="528"/>
      <c r="X128" s="272"/>
    </row>
    <row r="129" spans="1:24" s="284" customFormat="1" ht="18" customHeight="1">
      <c r="A129" s="281"/>
      <c r="B129" s="281"/>
      <c r="C129" s="290">
        <v>4120</v>
      </c>
      <c r="D129" s="973" t="s">
        <v>694</v>
      </c>
      <c r="E129" s="262">
        <v>9015</v>
      </c>
      <c r="F129" s="262">
        <v>9015</v>
      </c>
      <c r="G129" s="262"/>
      <c r="H129" s="262">
        <v>9015</v>
      </c>
      <c r="I129" s="262"/>
      <c r="J129" s="262"/>
      <c r="K129" s="262"/>
      <c r="L129" s="262"/>
      <c r="M129" s="262"/>
      <c r="N129" s="262">
        <v>-41</v>
      </c>
      <c r="O129" s="262">
        <f t="shared" si="4"/>
        <v>8974</v>
      </c>
      <c r="P129" s="262">
        <f>F129+N129</f>
        <v>8974</v>
      </c>
      <c r="Q129" s="262"/>
      <c r="R129" s="262">
        <f>H129+N129</f>
        <v>8974</v>
      </c>
      <c r="S129" s="262"/>
      <c r="T129" s="262"/>
      <c r="U129" s="262"/>
      <c r="V129" s="262"/>
      <c r="W129" s="262"/>
      <c r="X129" s="272"/>
    </row>
    <row r="130" spans="1:24" s="284" customFormat="1" ht="18" customHeight="1">
      <c r="A130" s="281"/>
      <c r="B130" s="281"/>
      <c r="C130" s="282">
        <v>4170</v>
      </c>
      <c r="D130" s="974" t="s">
        <v>320</v>
      </c>
      <c r="E130" s="258">
        <v>408535</v>
      </c>
      <c r="F130" s="258">
        <v>408535</v>
      </c>
      <c r="G130" s="258">
        <v>408535</v>
      </c>
      <c r="H130" s="258"/>
      <c r="I130" s="258"/>
      <c r="J130" s="258"/>
      <c r="K130" s="258"/>
      <c r="L130" s="258"/>
      <c r="M130" s="258"/>
      <c r="N130" s="258">
        <f>-1652-2075</f>
        <v>-3727</v>
      </c>
      <c r="O130" s="258">
        <f t="shared" si="4"/>
        <v>404808</v>
      </c>
      <c r="P130" s="258">
        <f>F130+N130</f>
        <v>404808</v>
      </c>
      <c r="Q130" s="258">
        <f>G130+N130</f>
        <v>404808</v>
      </c>
      <c r="R130" s="258"/>
      <c r="S130" s="258"/>
      <c r="T130" s="258"/>
      <c r="U130" s="258"/>
      <c r="V130" s="258"/>
      <c r="W130" s="258"/>
      <c r="X130" s="272"/>
    </row>
    <row r="131" spans="1:24" s="284" customFormat="1" ht="18" customHeight="1">
      <c r="A131" s="281"/>
      <c r="B131" s="281"/>
      <c r="C131" s="290">
        <v>4300</v>
      </c>
      <c r="D131" s="369" t="s">
        <v>322</v>
      </c>
      <c r="E131" s="262">
        <v>348270</v>
      </c>
      <c r="F131" s="262">
        <v>348270</v>
      </c>
      <c r="G131" s="262"/>
      <c r="H131" s="262"/>
      <c r="I131" s="262"/>
      <c r="J131" s="262"/>
      <c r="K131" s="262"/>
      <c r="L131" s="262"/>
      <c r="M131" s="262"/>
      <c r="N131" s="262">
        <f>1980+2082</f>
        <v>4062</v>
      </c>
      <c r="O131" s="262">
        <f t="shared" si="4"/>
        <v>352332</v>
      </c>
      <c r="P131" s="262">
        <f>F131+N131</f>
        <v>352332</v>
      </c>
      <c r="Q131" s="262"/>
      <c r="R131" s="262"/>
      <c r="S131" s="262"/>
      <c r="T131" s="262"/>
      <c r="U131" s="262"/>
      <c r="V131" s="262"/>
      <c r="W131" s="262"/>
      <c r="X131" s="272"/>
    </row>
    <row r="132" spans="1:29" s="975" customFormat="1" ht="25.5">
      <c r="A132" s="278"/>
      <c r="B132" s="278"/>
      <c r="C132" s="278"/>
      <c r="D132" s="145" t="s">
        <v>550</v>
      </c>
      <c r="E132" s="550">
        <v>370000</v>
      </c>
      <c r="F132" s="550">
        <v>370000</v>
      </c>
      <c r="G132" s="550">
        <v>300000</v>
      </c>
      <c r="H132" s="550">
        <v>12000</v>
      </c>
      <c r="I132" s="550"/>
      <c r="J132" s="550"/>
      <c r="K132" s="550"/>
      <c r="L132" s="550"/>
      <c r="M132" s="550"/>
      <c r="N132" s="550">
        <f>SUM(N133:N134)</f>
        <v>0</v>
      </c>
      <c r="O132" s="550">
        <f>E132+N132</f>
        <v>370000</v>
      </c>
      <c r="P132" s="550">
        <f>F132+N133+N134</f>
        <v>370000</v>
      </c>
      <c r="Q132" s="550">
        <f>G132</f>
        <v>300000</v>
      </c>
      <c r="R132" s="550">
        <f>H132</f>
        <v>12000</v>
      </c>
      <c r="S132" s="550"/>
      <c r="T132" s="550"/>
      <c r="U132" s="550"/>
      <c r="V132" s="550"/>
      <c r="W132" s="550"/>
      <c r="X132" s="272"/>
      <c r="Y132" s="143"/>
      <c r="Z132" s="143"/>
      <c r="AA132" s="143"/>
      <c r="AB132" s="143"/>
      <c r="AC132" s="143"/>
    </row>
    <row r="133" spans="1:24" s="284" customFormat="1" ht="18" customHeight="1">
      <c r="A133" s="281"/>
      <c r="B133" s="281"/>
      <c r="C133" s="281">
        <v>4430</v>
      </c>
      <c r="D133" s="972" t="s">
        <v>393</v>
      </c>
      <c r="E133" s="528">
        <v>20000</v>
      </c>
      <c r="F133" s="528">
        <v>20000</v>
      </c>
      <c r="G133" s="528"/>
      <c r="H133" s="528"/>
      <c r="I133" s="528"/>
      <c r="J133" s="528"/>
      <c r="K133" s="528"/>
      <c r="L133" s="528"/>
      <c r="M133" s="528"/>
      <c r="N133" s="528">
        <v>-9000</v>
      </c>
      <c r="O133" s="528">
        <f>E133+N133</f>
        <v>11000</v>
      </c>
      <c r="P133" s="528">
        <f>F133+N133</f>
        <v>11000</v>
      </c>
      <c r="Q133" s="528"/>
      <c r="R133" s="528"/>
      <c r="S133" s="528"/>
      <c r="T133" s="528"/>
      <c r="U133" s="528"/>
      <c r="V133" s="528"/>
      <c r="W133" s="528"/>
      <c r="X133" s="272"/>
    </row>
    <row r="134" spans="1:24" s="284" customFormat="1" ht="18" customHeight="1">
      <c r="A134" s="281"/>
      <c r="B134" s="281"/>
      <c r="C134" s="290">
        <v>4610</v>
      </c>
      <c r="D134" s="973" t="s">
        <v>551</v>
      </c>
      <c r="E134" s="262"/>
      <c r="F134" s="262"/>
      <c r="G134" s="262"/>
      <c r="H134" s="262"/>
      <c r="I134" s="262"/>
      <c r="J134" s="262"/>
      <c r="K134" s="262"/>
      <c r="L134" s="262"/>
      <c r="M134" s="262"/>
      <c r="N134" s="262">
        <v>9000</v>
      </c>
      <c r="O134" s="262">
        <f>E134+N134</f>
        <v>9000</v>
      </c>
      <c r="P134" s="262">
        <f>F134+N134</f>
        <v>9000</v>
      </c>
      <c r="Q134" s="262"/>
      <c r="R134" s="262"/>
      <c r="S134" s="262"/>
      <c r="T134" s="262"/>
      <c r="U134" s="262"/>
      <c r="V134" s="262"/>
      <c r="W134" s="262"/>
      <c r="X134" s="272"/>
    </row>
    <row r="135" spans="1:24" s="143" customFormat="1" ht="19.5" customHeight="1" thickBot="1">
      <c r="A135" s="29">
        <v>852</v>
      </c>
      <c r="B135" s="29"/>
      <c r="C135" s="29"/>
      <c r="D135" s="28" t="s">
        <v>324</v>
      </c>
      <c r="E135" s="30">
        <v>109721487</v>
      </c>
      <c r="F135" s="30">
        <v>99066200</v>
      </c>
      <c r="G135" s="30">
        <v>26153110</v>
      </c>
      <c r="H135" s="30">
        <v>5073715</v>
      </c>
      <c r="I135" s="30">
        <v>16247429</v>
      </c>
      <c r="J135" s="30">
        <v>185000</v>
      </c>
      <c r="K135" s="30"/>
      <c r="L135" s="30"/>
      <c r="M135" s="30">
        <v>10655287</v>
      </c>
      <c r="N135" s="30">
        <f>N136</f>
        <v>70</v>
      </c>
      <c r="O135" s="30">
        <f aca="true" t="shared" si="9" ref="O135:O200">E135+N135</f>
        <v>109721557</v>
      </c>
      <c r="P135" s="30">
        <f>F135+N138</f>
        <v>99066270</v>
      </c>
      <c r="Q135" s="30">
        <f>G135</f>
        <v>26153110</v>
      </c>
      <c r="R135" s="30">
        <f>H135</f>
        <v>5073715</v>
      </c>
      <c r="S135" s="30">
        <f>I135</f>
        <v>16247429</v>
      </c>
      <c r="T135" s="30">
        <f>J135</f>
        <v>185000</v>
      </c>
      <c r="U135" s="30"/>
      <c r="V135" s="30"/>
      <c r="W135" s="30">
        <f>M135</f>
        <v>10655287</v>
      </c>
      <c r="X135" s="272"/>
    </row>
    <row r="136" spans="1:24" s="143" customFormat="1" ht="19.5" customHeight="1">
      <c r="A136" s="278"/>
      <c r="B136" s="291">
        <v>85295</v>
      </c>
      <c r="C136" s="291"/>
      <c r="D136" s="629" t="s">
        <v>401</v>
      </c>
      <c r="E136" s="630">
        <v>4511445</v>
      </c>
      <c r="F136" s="630">
        <v>4511445</v>
      </c>
      <c r="G136" s="630"/>
      <c r="H136" s="630"/>
      <c r="I136" s="630">
        <v>1240000</v>
      </c>
      <c r="J136" s="630"/>
      <c r="K136" s="630"/>
      <c r="L136" s="630"/>
      <c r="M136" s="630"/>
      <c r="N136" s="630">
        <f>N137</f>
        <v>70</v>
      </c>
      <c r="O136" s="630">
        <f>E136+N136</f>
        <v>4511515</v>
      </c>
      <c r="P136" s="630">
        <f>F136+N138</f>
        <v>4511515</v>
      </c>
      <c r="Q136" s="630"/>
      <c r="R136" s="630"/>
      <c r="S136" s="630">
        <f>I136</f>
        <v>1240000</v>
      </c>
      <c r="T136" s="630"/>
      <c r="U136" s="630"/>
      <c r="V136" s="630"/>
      <c r="W136" s="630"/>
      <c r="X136" s="272"/>
    </row>
    <row r="137" spans="1:29" s="945" customFormat="1" ht="25.5">
      <c r="A137" s="278"/>
      <c r="B137" s="278"/>
      <c r="C137" s="863"/>
      <c r="D137" s="21" t="s">
        <v>40</v>
      </c>
      <c r="E137" s="1500">
        <v>11545</v>
      </c>
      <c r="F137" s="1500">
        <v>11545</v>
      </c>
      <c r="G137" s="1500"/>
      <c r="H137" s="1500"/>
      <c r="I137" s="1500"/>
      <c r="J137" s="1500"/>
      <c r="K137" s="1500"/>
      <c r="L137" s="1500"/>
      <c r="M137" s="1500"/>
      <c r="N137" s="1500">
        <f>N138</f>
        <v>70</v>
      </c>
      <c r="O137" s="1500">
        <f>E137+N137</f>
        <v>11615</v>
      </c>
      <c r="P137" s="1500">
        <f>F137+N138</f>
        <v>11615</v>
      </c>
      <c r="Q137" s="1500"/>
      <c r="R137" s="1500"/>
      <c r="S137" s="1500"/>
      <c r="T137" s="1500"/>
      <c r="U137" s="1500"/>
      <c r="V137" s="1500"/>
      <c r="W137" s="1500"/>
      <c r="X137" s="272"/>
      <c r="Y137" s="143"/>
      <c r="Z137" s="143"/>
      <c r="AA137" s="143"/>
      <c r="AB137" s="143"/>
      <c r="AC137" s="143"/>
    </row>
    <row r="138" spans="1:24" s="284" customFormat="1" ht="38.25">
      <c r="A138" s="282"/>
      <c r="B138" s="282"/>
      <c r="C138" s="985">
        <v>4560</v>
      </c>
      <c r="D138" s="974" t="s">
        <v>22</v>
      </c>
      <c r="E138" s="283"/>
      <c r="F138" s="283"/>
      <c r="G138" s="283"/>
      <c r="H138" s="283"/>
      <c r="I138" s="283"/>
      <c r="J138" s="283"/>
      <c r="K138" s="283"/>
      <c r="L138" s="283"/>
      <c r="M138" s="283"/>
      <c r="N138" s="283">
        <v>70</v>
      </c>
      <c r="O138" s="283">
        <f>E138+N138</f>
        <v>70</v>
      </c>
      <c r="P138" s="283">
        <f>F138+N138</f>
        <v>70</v>
      </c>
      <c r="Q138" s="283"/>
      <c r="R138" s="283"/>
      <c r="S138" s="283"/>
      <c r="T138" s="283"/>
      <c r="U138" s="283"/>
      <c r="V138" s="283"/>
      <c r="W138" s="283"/>
      <c r="X138" s="272"/>
    </row>
    <row r="139" spans="1:24" s="143" customFormat="1" ht="19.5" customHeight="1" thickBot="1">
      <c r="A139" s="29">
        <v>853</v>
      </c>
      <c r="B139" s="29"/>
      <c r="C139" s="29"/>
      <c r="D139" s="28" t="s">
        <v>389</v>
      </c>
      <c r="E139" s="30">
        <v>11941270</v>
      </c>
      <c r="F139" s="30">
        <v>10700250</v>
      </c>
      <c r="G139" s="30">
        <v>7122232</v>
      </c>
      <c r="H139" s="30">
        <v>1367474</v>
      </c>
      <c r="I139" s="30">
        <v>343868</v>
      </c>
      <c r="J139" s="30">
        <v>189422</v>
      </c>
      <c r="K139" s="30"/>
      <c r="L139" s="30"/>
      <c r="M139" s="30">
        <v>1241020</v>
      </c>
      <c r="N139" s="30">
        <f>N150+N140</f>
        <v>0</v>
      </c>
      <c r="O139" s="30">
        <f t="shared" si="9"/>
        <v>11941270</v>
      </c>
      <c r="P139" s="30">
        <f>F139+N152+N153+N154+N155+N156+N145+N147+N148+N149+N143+N146</f>
        <v>10700250</v>
      </c>
      <c r="Q139" s="30">
        <f>G139+N153</f>
        <v>7171232</v>
      </c>
      <c r="R139" s="30">
        <f>H139+N152</f>
        <v>1375474</v>
      </c>
      <c r="S139" s="30">
        <f>I139+N145+N146</f>
        <v>333560</v>
      </c>
      <c r="T139" s="30">
        <f>J139</f>
        <v>189422</v>
      </c>
      <c r="U139" s="30"/>
      <c r="V139" s="30"/>
      <c r="W139" s="30">
        <f>M139</f>
        <v>1241020</v>
      </c>
      <c r="X139" s="272"/>
    </row>
    <row r="140" spans="1:24" s="143" customFormat="1" ht="25.5">
      <c r="A140" s="173"/>
      <c r="B140" s="291">
        <v>85311</v>
      </c>
      <c r="C140" s="291"/>
      <c r="D140" s="792" t="s">
        <v>216</v>
      </c>
      <c r="E140" s="261">
        <v>528236</v>
      </c>
      <c r="F140" s="261">
        <v>528236</v>
      </c>
      <c r="G140" s="261">
        <v>31148</v>
      </c>
      <c r="H140" s="261">
        <v>5316</v>
      </c>
      <c r="I140" s="261">
        <v>343868</v>
      </c>
      <c r="J140" s="261"/>
      <c r="K140" s="261"/>
      <c r="L140" s="261"/>
      <c r="M140" s="261"/>
      <c r="N140" s="261">
        <f>N141</f>
        <v>0</v>
      </c>
      <c r="O140" s="261">
        <f aca="true" t="shared" si="10" ref="O140:O149">E140+N140</f>
        <v>528236</v>
      </c>
      <c r="P140" s="261">
        <f>F140+N145+N147+N148+N149+N143+N146</f>
        <v>528236</v>
      </c>
      <c r="Q140" s="261">
        <f>G140</f>
        <v>31148</v>
      </c>
      <c r="R140" s="261">
        <f>H140</f>
        <v>5316</v>
      </c>
      <c r="S140" s="261">
        <f>I140+N145+N146</f>
        <v>333560</v>
      </c>
      <c r="T140" s="261"/>
      <c r="U140" s="261"/>
      <c r="V140" s="261"/>
      <c r="W140" s="261"/>
      <c r="X140" s="272"/>
    </row>
    <row r="141" spans="1:29" s="1123" customFormat="1" ht="18" customHeight="1">
      <c r="A141" s="278"/>
      <c r="B141" s="278"/>
      <c r="C141" s="786"/>
      <c r="D141" s="1122" t="s">
        <v>220</v>
      </c>
      <c r="E141" s="1129">
        <v>524000</v>
      </c>
      <c r="F141" s="1129">
        <v>524000</v>
      </c>
      <c r="G141" s="1129">
        <v>31148</v>
      </c>
      <c r="H141" s="1129">
        <v>5316</v>
      </c>
      <c r="I141" s="1129">
        <v>339632</v>
      </c>
      <c r="J141" s="1129"/>
      <c r="K141" s="1129"/>
      <c r="L141" s="1129"/>
      <c r="M141" s="970"/>
      <c r="N141" s="970">
        <f>N144+N142</f>
        <v>0</v>
      </c>
      <c r="O141" s="970">
        <f t="shared" si="10"/>
        <v>524000</v>
      </c>
      <c r="P141" s="970">
        <f>F141+N145+N147+N148+N149+N143+N146</f>
        <v>524000</v>
      </c>
      <c r="Q141" s="970">
        <f>G141</f>
        <v>31148</v>
      </c>
      <c r="R141" s="970">
        <f>H141</f>
        <v>5316</v>
      </c>
      <c r="S141" s="970">
        <f>I141+N145+N146</f>
        <v>329324</v>
      </c>
      <c r="T141" s="970"/>
      <c r="U141" s="970"/>
      <c r="V141" s="970"/>
      <c r="W141" s="970"/>
      <c r="X141" s="272"/>
      <c r="Y141" s="143"/>
      <c r="Z141" s="143"/>
      <c r="AA141" s="143"/>
      <c r="AB141" s="143"/>
      <c r="AC141" s="143"/>
    </row>
    <row r="142" spans="1:29" s="1123" customFormat="1" ht="25.5">
      <c r="A142" s="278"/>
      <c r="B142" s="278"/>
      <c r="C142" s="786"/>
      <c r="D142" s="1230" t="s">
        <v>554</v>
      </c>
      <c r="E142" s="1231">
        <v>155618</v>
      </c>
      <c r="F142" s="1231">
        <v>155618</v>
      </c>
      <c r="G142" s="1231">
        <v>14333</v>
      </c>
      <c r="H142" s="1231">
        <v>2171</v>
      </c>
      <c r="I142" s="1231">
        <v>71000</v>
      </c>
      <c r="J142" s="1231"/>
      <c r="K142" s="1231"/>
      <c r="L142" s="1231"/>
      <c r="M142" s="1500"/>
      <c r="N142" s="1500">
        <f>N143</f>
        <v>11558</v>
      </c>
      <c r="O142" s="1500">
        <f t="shared" si="10"/>
        <v>167176</v>
      </c>
      <c r="P142" s="1500">
        <f>F142+N143</f>
        <v>167176</v>
      </c>
      <c r="Q142" s="1500"/>
      <c r="R142" s="1500"/>
      <c r="S142" s="1500"/>
      <c r="T142" s="1500"/>
      <c r="U142" s="1500"/>
      <c r="V142" s="1500"/>
      <c r="W142" s="1500"/>
      <c r="X142" s="272"/>
      <c r="Y142" s="143"/>
      <c r="Z142" s="143"/>
      <c r="AA142" s="143"/>
      <c r="AB142" s="143"/>
      <c r="AC142" s="143"/>
    </row>
    <row r="143" spans="1:24" s="284" customFormat="1" ht="18" customHeight="1">
      <c r="A143" s="281"/>
      <c r="B143" s="281"/>
      <c r="C143" s="282">
        <v>4300</v>
      </c>
      <c r="D143" s="998" t="s">
        <v>322</v>
      </c>
      <c r="E143" s="283">
        <v>24756</v>
      </c>
      <c r="F143" s="283">
        <v>24756</v>
      </c>
      <c r="G143" s="283"/>
      <c r="H143" s="283"/>
      <c r="I143" s="283"/>
      <c r="J143" s="283"/>
      <c r="K143" s="283"/>
      <c r="L143" s="283"/>
      <c r="M143" s="283"/>
      <c r="N143" s="283">
        <v>11558</v>
      </c>
      <c r="O143" s="283">
        <f t="shared" si="10"/>
        <v>36314</v>
      </c>
      <c r="P143" s="283">
        <f>F143+N143</f>
        <v>36314</v>
      </c>
      <c r="Q143" s="283"/>
      <c r="R143" s="283"/>
      <c r="S143" s="283"/>
      <c r="T143" s="283"/>
      <c r="U143" s="283"/>
      <c r="V143" s="283"/>
      <c r="W143" s="283"/>
      <c r="X143" s="272"/>
    </row>
    <row r="144" spans="1:29" s="1123" customFormat="1" ht="18" customHeight="1">
      <c r="A144" s="278"/>
      <c r="B144" s="278"/>
      <c r="C144" s="1232"/>
      <c r="D144" s="1233" t="s">
        <v>218</v>
      </c>
      <c r="E144" s="1234">
        <v>174382</v>
      </c>
      <c r="F144" s="1234">
        <v>174382</v>
      </c>
      <c r="G144" s="1234"/>
      <c r="H144" s="1234"/>
      <c r="I144" s="1234">
        <v>155632</v>
      </c>
      <c r="J144" s="1234"/>
      <c r="K144" s="1234"/>
      <c r="L144" s="1234"/>
      <c r="M144" s="1500"/>
      <c r="N144" s="550">
        <f>SUM(N145:N149)</f>
        <v>-11558</v>
      </c>
      <c r="O144" s="550">
        <f t="shared" si="10"/>
        <v>162824</v>
      </c>
      <c r="P144" s="550">
        <f>F144+N145+N147+N148+N149+N146</f>
        <v>162824</v>
      </c>
      <c r="Q144" s="550"/>
      <c r="R144" s="550"/>
      <c r="S144" s="550">
        <f>I144+N145+N146</f>
        <v>145324</v>
      </c>
      <c r="T144" s="550"/>
      <c r="U144" s="550"/>
      <c r="V144" s="550"/>
      <c r="W144" s="550"/>
      <c r="X144" s="272"/>
      <c r="Y144" s="143"/>
      <c r="Z144" s="143"/>
      <c r="AA144" s="143"/>
      <c r="AB144" s="143"/>
      <c r="AC144" s="143"/>
    </row>
    <row r="145" spans="1:24" s="284" customFormat="1" ht="25.5">
      <c r="A145" s="281"/>
      <c r="B145" s="281"/>
      <c r="C145" s="985">
        <v>2570</v>
      </c>
      <c r="D145" s="974" t="s">
        <v>219</v>
      </c>
      <c r="E145" s="283">
        <v>17580</v>
      </c>
      <c r="F145" s="283">
        <v>17580</v>
      </c>
      <c r="G145" s="283"/>
      <c r="H145" s="283"/>
      <c r="I145" s="283">
        <v>17580</v>
      </c>
      <c r="J145" s="283"/>
      <c r="K145" s="283"/>
      <c r="L145" s="283"/>
      <c r="M145" s="283"/>
      <c r="N145" s="283">
        <v>-3516</v>
      </c>
      <c r="O145" s="283">
        <f t="shared" si="10"/>
        <v>14064</v>
      </c>
      <c r="P145" s="283">
        <f>F145+N145</f>
        <v>14064</v>
      </c>
      <c r="Q145" s="283"/>
      <c r="R145" s="283"/>
      <c r="S145" s="283">
        <f>I145+N145</f>
        <v>14064</v>
      </c>
      <c r="T145" s="283"/>
      <c r="U145" s="283"/>
      <c r="V145" s="283"/>
      <c r="W145" s="283"/>
      <c r="X145" s="272"/>
    </row>
    <row r="146" spans="1:24" s="284" customFormat="1" ht="25.5">
      <c r="A146" s="281"/>
      <c r="B146" s="281"/>
      <c r="C146" s="985">
        <v>2580</v>
      </c>
      <c r="D146" s="127" t="s">
        <v>755</v>
      </c>
      <c r="E146" s="258">
        <v>138052</v>
      </c>
      <c r="F146" s="258">
        <v>138052</v>
      </c>
      <c r="G146" s="258"/>
      <c r="H146" s="258"/>
      <c r="I146" s="258">
        <v>138052</v>
      </c>
      <c r="J146" s="258"/>
      <c r="K146" s="258"/>
      <c r="L146" s="258"/>
      <c r="M146" s="258"/>
      <c r="N146" s="258">
        <v>-6792</v>
      </c>
      <c r="O146" s="283">
        <f t="shared" si="10"/>
        <v>131260</v>
      </c>
      <c r="P146" s="283">
        <f>F146+N146</f>
        <v>131260</v>
      </c>
      <c r="Q146" s="258"/>
      <c r="R146" s="258"/>
      <c r="S146" s="283">
        <f>I146+N146</f>
        <v>131260</v>
      </c>
      <c r="T146" s="258"/>
      <c r="U146" s="258"/>
      <c r="V146" s="258"/>
      <c r="W146" s="258"/>
      <c r="X146" s="272"/>
    </row>
    <row r="147" spans="1:24" s="284" customFormat="1" ht="18" customHeight="1">
      <c r="A147" s="281"/>
      <c r="B147" s="281"/>
      <c r="C147" s="985">
        <v>4210</v>
      </c>
      <c r="D147" s="974" t="s">
        <v>321</v>
      </c>
      <c r="E147" s="258">
        <v>17250</v>
      </c>
      <c r="F147" s="258">
        <v>17250</v>
      </c>
      <c r="G147" s="258"/>
      <c r="H147" s="258"/>
      <c r="I147" s="258"/>
      <c r="J147" s="258"/>
      <c r="K147" s="258"/>
      <c r="L147" s="258"/>
      <c r="M147" s="258"/>
      <c r="N147" s="258">
        <v>-1150</v>
      </c>
      <c r="O147" s="283">
        <f t="shared" si="10"/>
        <v>16100</v>
      </c>
      <c r="P147" s="283">
        <f>F147+N147</f>
        <v>16100</v>
      </c>
      <c r="Q147" s="258"/>
      <c r="R147" s="258"/>
      <c r="S147" s="258"/>
      <c r="T147" s="258"/>
      <c r="U147" s="258"/>
      <c r="V147" s="258"/>
      <c r="W147" s="258"/>
      <c r="X147" s="272"/>
    </row>
    <row r="148" spans="1:24" s="284" customFormat="1" ht="18" customHeight="1">
      <c r="A148" s="281"/>
      <c r="B148" s="281"/>
      <c r="C148" s="985">
        <v>4300</v>
      </c>
      <c r="D148" s="974" t="s">
        <v>322</v>
      </c>
      <c r="E148" s="528">
        <v>500</v>
      </c>
      <c r="F148" s="528">
        <v>500</v>
      </c>
      <c r="G148" s="528"/>
      <c r="H148" s="528"/>
      <c r="I148" s="528"/>
      <c r="J148" s="528"/>
      <c r="K148" s="528"/>
      <c r="L148" s="528"/>
      <c r="M148" s="528"/>
      <c r="N148" s="528">
        <v>-30</v>
      </c>
      <c r="O148" s="528">
        <f t="shared" si="10"/>
        <v>470</v>
      </c>
      <c r="P148" s="283">
        <f>F148+N148</f>
        <v>470</v>
      </c>
      <c r="Q148" s="528"/>
      <c r="R148" s="528"/>
      <c r="S148" s="528"/>
      <c r="T148" s="528"/>
      <c r="U148" s="528"/>
      <c r="V148" s="528"/>
      <c r="W148" s="528"/>
      <c r="X148" s="272"/>
    </row>
    <row r="149" spans="1:24" s="284" customFormat="1" ht="25.5">
      <c r="A149" s="281"/>
      <c r="B149" s="281"/>
      <c r="C149" s="985">
        <v>4740</v>
      </c>
      <c r="D149" s="127" t="s">
        <v>135</v>
      </c>
      <c r="E149" s="262">
        <v>1000</v>
      </c>
      <c r="F149" s="262">
        <v>1000</v>
      </c>
      <c r="G149" s="262"/>
      <c r="H149" s="262"/>
      <c r="I149" s="262"/>
      <c r="J149" s="262"/>
      <c r="K149" s="262"/>
      <c r="L149" s="262"/>
      <c r="M149" s="262"/>
      <c r="N149" s="262">
        <v>-70</v>
      </c>
      <c r="O149" s="262">
        <f t="shared" si="10"/>
        <v>930</v>
      </c>
      <c r="P149" s="283">
        <f>F149+N149</f>
        <v>930</v>
      </c>
      <c r="Q149" s="262"/>
      <c r="R149" s="262"/>
      <c r="S149" s="262"/>
      <c r="T149" s="262"/>
      <c r="U149" s="262"/>
      <c r="V149" s="262"/>
      <c r="W149" s="262"/>
      <c r="X149" s="272"/>
    </row>
    <row r="150" spans="1:29" s="1121" customFormat="1" ht="25.5">
      <c r="A150" s="173"/>
      <c r="B150" s="291">
        <v>85321</v>
      </c>
      <c r="C150" s="954"/>
      <c r="D150" s="542" t="s">
        <v>686</v>
      </c>
      <c r="E150" s="1124">
        <v>100000</v>
      </c>
      <c r="F150" s="1124">
        <v>100000</v>
      </c>
      <c r="G150" s="1124">
        <v>12000</v>
      </c>
      <c r="H150" s="1124">
        <v>2300</v>
      </c>
      <c r="I150" s="1124"/>
      <c r="J150" s="1124"/>
      <c r="K150" s="1124"/>
      <c r="L150" s="1124"/>
      <c r="M150" s="261"/>
      <c r="N150" s="261">
        <f>N151</f>
        <v>0</v>
      </c>
      <c r="O150" s="257">
        <f t="shared" si="9"/>
        <v>100000</v>
      </c>
      <c r="P150" s="1508">
        <f>F150+N152+N153+N154+N155+N156</f>
        <v>100000</v>
      </c>
      <c r="Q150" s="261">
        <f>G150+N153</f>
        <v>61000</v>
      </c>
      <c r="R150" s="261">
        <f>H150+N152</f>
        <v>10300</v>
      </c>
      <c r="S150" s="261"/>
      <c r="T150" s="261"/>
      <c r="U150" s="261"/>
      <c r="V150" s="261"/>
      <c r="W150" s="261"/>
      <c r="X150" s="272"/>
      <c r="Y150" s="1499"/>
      <c r="Z150" s="1499"/>
      <c r="AA150" s="1499"/>
      <c r="AB150" s="1499"/>
      <c r="AC150" s="1499"/>
    </row>
    <row r="151" spans="1:29" s="1123" customFormat="1" ht="25.5">
      <c r="A151" s="278"/>
      <c r="B151" s="278"/>
      <c r="C151" s="209"/>
      <c r="D151" s="834" t="s">
        <v>359</v>
      </c>
      <c r="E151" s="1126">
        <v>100000</v>
      </c>
      <c r="F151" s="1126">
        <v>100000</v>
      </c>
      <c r="G151" s="1126">
        <v>12000</v>
      </c>
      <c r="H151" s="1126">
        <v>2300</v>
      </c>
      <c r="I151" s="1126"/>
      <c r="J151" s="1126"/>
      <c r="K151" s="1126"/>
      <c r="L151" s="1126"/>
      <c r="M151" s="562"/>
      <c r="N151" s="562">
        <f>SUM(N152:N156)</f>
        <v>0</v>
      </c>
      <c r="O151" s="1432">
        <f aca="true" t="shared" si="11" ref="O151:O156">E151+N151</f>
        <v>100000</v>
      </c>
      <c r="P151" s="562">
        <f>F151+N152+N153+N154+N155+N156</f>
        <v>100000</v>
      </c>
      <c r="Q151" s="562">
        <f>G151+N153</f>
        <v>61000</v>
      </c>
      <c r="R151" s="562">
        <f>H151+N152</f>
        <v>10300</v>
      </c>
      <c r="S151" s="562"/>
      <c r="T151" s="562"/>
      <c r="U151" s="562"/>
      <c r="V151" s="562"/>
      <c r="W151" s="562"/>
      <c r="X151" s="272"/>
      <c r="Y151" s="143"/>
      <c r="Z151" s="143"/>
      <c r="AA151" s="143"/>
      <c r="AB151" s="143"/>
      <c r="AC151" s="143"/>
    </row>
    <row r="152" spans="1:24" s="284" customFormat="1" ht="18" customHeight="1">
      <c r="A152" s="281"/>
      <c r="B152" s="281"/>
      <c r="C152" s="33">
        <v>4110</v>
      </c>
      <c r="D152" s="32" t="s">
        <v>696</v>
      </c>
      <c r="E152" s="283">
        <v>2000</v>
      </c>
      <c r="F152" s="283">
        <v>2000</v>
      </c>
      <c r="G152" s="283"/>
      <c r="H152" s="283">
        <v>2000</v>
      </c>
      <c r="I152" s="283"/>
      <c r="J152" s="283"/>
      <c r="K152" s="283"/>
      <c r="L152" s="283"/>
      <c r="M152" s="283"/>
      <c r="N152" s="283">
        <v>8000</v>
      </c>
      <c r="O152" s="283">
        <f t="shared" si="11"/>
        <v>10000</v>
      </c>
      <c r="P152" s="283">
        <f>F152+N152</f>
        <v>10000</v>
      </c>
      <c r="Q152" s="283"/>
      <c r="R152" s="283">
        <f>H152+N152</f>
        <v>10000</v>
      </c>
      <c r="S152" s="283"/>
      <c r="T152" s="283"/>
      <c r="U152" s="283"/>
      <c r="V152" s="283"/>
      <c r="W152" s="283"/>
      <c r="X152" s="272"/>
    </row>
    <row r="153" spans="1:24" s="284" customFormat="1" ht="18" customHeight="1">
      <c r="A153" s="281"/>
      <c r="B153" s="281"/>
      <c r="C153" s="282">
        <v>4170</v>
      </c>
      <c r="D153" s="177" t="s">
        <v>320</v>
      </c>
      <c r="E153" s="258"/>
      <c r="F153" s="258"/>
      <c r="G153" s="258"/>
      <c r="H153" s="258"/>
      <c r="I153" s="258"/>
      <c r="J153" s="258"/>
      <c r="K153" s="258"/>
      <c r="L153" s="258"/>
      <c r="M153" s="258"/>
      <c r="N153" s="258">
        <v>49000</v>
      </c>
      <c r="O153" s="283">
        <f t="shared" si="11"/>
        <v>49000</v>
      </c>
      <c r="P153" s="283">
        <f>F153+N153</f>
        <v>49000</v>
      </c>
      <c r="Q153" s="258">
        <f>G153+N153</f>
        <v>49000</v>
      </c>
      <c r="R153" s="258"/>
      <c r="S153" s="258"/>
      <c r="T153" s="258"/>
      <c r="U153" s="258"/>
      <c r="V153" s="258"/>
      <c r="W153" s="258"/>
      <c r="X153" s="272"/>
    </row>
    <row r="154" spans="1:24" s="284" customFormat="1" ht="18" customHeight="1">
      <c r="A154" s="281"/>
      <c r="B154" s="281"/>
      <c r="C154" s="281">
        <v>4260</v>
      </c>
      <c r="D154" s="154" t="s">
        <v>605</v>
      </c>
      <c r="E154" s="528"/>
      <c r="F154" s="528"/>
      <c r="G154" s="528"/>
      <c r="H154" s="528"/>
      <c r="I154" s="528"/>
      <c r="J154" s="528"/>
      <c r="K154" s="528"/>
      <c r="L154" s="528"/>
      <c r="M154" s="528"/>
      <c r="N154" s="528">
        <v>300</v>
      </c>
      <c r="O154" s="283">
        <f t="shared" si="11"/>
        <v>300</v>
      </c>
      <c r="P154" s="283">
        <f>F154+N154</f>
        <v>300</v>
      </c>
      <c r="Q154" s="528"/>
      <c r="R154" s="528"/>
      <c r="S154" s="528"/>
      <c r="T154" s="528"/>
      <c r="U154" s="528"/>
      <c r="V154" s="528"/>
      <c r="W154" s="528"/>
      <c r="X154" s="272"/>
    </row>
    <row r="155" spans="1:24" s="284" customFormat="1" ht="18" customHeight="1">
      <c r="A155" s="281"/>
      <c r="B155" s="281"/>
      <c r="C155" s="290">
        <v>4300</v>
      </c>
      <c r="D155" s="369" t="s">
        <v>322</v>
      </c>
      <c r="E155" s="262">
        <v>85700</v>
      </c>
      <c r="F155" s="262">
        <v>85700</v>
      </c>
      <c r="G155" s="262"/>
      <c r="H155" s="262"/>
      <c r="I155" s="262"/>
      <c r="J155" s="262"/>
      <c r="K155" s="262"/>
      <c r="L155" s="262"/>
      <c r="M155" s="262"/>
      <c r="N155" s="262">
        <v>-81300</v>
      </c>
      <c r="O155" s="283">
        <f t="shared" si="11"/>
        <v>4400</v>
      </c>
      <c r="P155" s="283">
        <f>F155+N155</f>
        <v>4400</v>
      </c>
      <c r="Q155" s="262"/>
      <c r="R155" s="262"/>
      <c r="S155" s="262"/>
      <c r="T155" s="262"/>
      <c r="U155" s="262"/>
      <c r="V155" s="262"/>
      <c r="W155" s="262"/>
      <c r="X155" s="272"/>
    </row>
    <row r="156" spans="1:24" s="284" customFormat="1" ht="25.5">
      <c r="A156" s="281"/>
      <c r="B156" s="281"/>
      <c r="C156" s="281">
        <v>4400</v>
      </c>
      <c r="D156" s="127" t="s">
        <v>687</v>
      </c>
      <c r="E156" s="528"/>
      <c r="F156" s="528"/>
      <c r="G156" s="528"/>
      <c r="H156" s="528"/>
      <c r="I156" s="528"/>
      <c r="J156" s="528"/>
      <c r="K156" s="528"/>
      <c r="L156" s="528"/>
      <c r="M156" s="528"/>
      <c r="N156" s="528">
        <v>24000</v>
      </c>
      <c r="O156" s="283">
        <f t="shared" si="11"/>
        <v>24000</v>
      </c>
      <c r="P156" s="283">
        <f>F156+N156</f>
        <v>24000</v>
      </c>
      <c r="Q156" s="528"/>
      <c r="R156" s="528"/>
      <c r="S156" s="528"/>
      <c r="T156" s="528"/>
      <c r="U156" s="528"/>
      <c r="V156" s="528"/>
      <c r="W156" s="528"/>
      <c r="X156" s="272"/>
    </row>
    <row r="157" spans="1:24" s="143" customFormat="1" ht="19.5" customHeight="1" thickBot="1">
      <c r="A157" s="29">
        <v>854</v>
      </c>
      <c r="B157" s="29"/>
      <c r="C157" s="29"/>
      <c r="D157" s="28" t="s">
        <v>403</v>
      </c>
      <c r="E157" s="30">
        <v>46160333</v>
      </c>
      <c r="F157" s="30">
        <v>44140333</v>
      </c>
      <c r="G157" s="30">
        <v>28451160</v>
      </c>
      <c r="H157" s="30">
        <v>5638173</v>
      </c>
      <c r="I157" s="30">
        <v>1563000</v>
      </c>
      <c r="J157" s="30">
        <v>547300</v>
      </c>
      <c r="K157" s="30"/>
      <c r="L157" s="30"/>
      <c r="M157" s="30">
        <v>2020000</v>
      </c>
      <c r="N157" s="30">
        <f>+N162+N166+N158+N171+N183+N178</f>
        <v>151000</v>
      </c>
      <c r="O157" s="30">
        <f t="shared" si="9"/>
        <v>46311333</v>
      </c>
      <c r="P157" s="30">
        <f>F157+N160+N161+N168+N170+N173+N174+N175+N176+N177+N185+N186+N187+N180+N181</f>
        <v>44144333</v>
      </c>
      <c r="Q157" s="30">
        <f>G157</f>
        <v>28451160</v>
      </c>
      <c r="R157" s="30">
        <f>H157+N160</f>
        <v>5633414</v>
      </c>
      <c r="S157" s="30">
        <f>I157</f>
        <v>1563000</v>
      </c>
      <c r="T157" s="30">
        <f>J157+N170</f>
        <v>551300</v>
      </c>
      <c r="U157" s="30"/>
      <c r="V157" s="30"/>
      <c r="W157" s="30">
        <f>M157+N165</f>
        <v>2167000</v>
      </c>
      <c r="X157" s="272"/>
    </row>
    <row r="158" spans="1:24" s="143" customFormat="1" ht="19.5" customHeight="1">
      <c r="A158" s="173"/>
      <c r="B158" s="637">
        <v>85401</v>
      </c>
      <c r="C158" s="637"/>
      <c r="D158" s="638" t="s">
        <v>61</v>
      </c>
      <c r="E158" s="261">
        <v>7820995</v>
      </c>
      <c r="F158" s="261">
        <v>7820995</v>
      </c>
      <c r="G158" s="261">
        <v>6050000</v>
      </c>
      <c r="H158" s="261">
        <v>1229773</v>
      </c>
      <c r="I158" s="261"/>
      <c r="J158" s="261"/>
      <c r="K158" s="261"/>
      <c r="L158" s="261"/>
      <c r="M158" s="261"/>
      <c r="N158" s="261">
        <f>N159</f>
        <v>0</v>
      </c>
      <c r="O158" s="261">
        <f t="shared" si="9"/>
        <v>7820995</v>
      </c>
      <c r="P158" s="261">
        <f>F158+N160+N161</f>
        <v>7820995</v>
      </c>
      <c r="Q158" s="261">
        <f>G158</f>
        <v>6050000</v>
      </c>
      <c r="R158" s="261">
        <f>H158+N160</f>
        <v>1225014</v>
      </c>
      <c r="S158" s="261"/>
      <c r="T158" s="261"/>
      <c r="U158" s="261"/>
      <c r="V158" s="261"/>
      <c r="W158" s="261"/>
      <c r="X158" s="272"/>
    </row>
    <row r="159" spans="1:29" s="945" customFormat="1" ht="25.5">
      <c r="A159" s="278"/>
      <c r="B159" s="278"/>
      <c r="C159" s="209"/>
      <c r="D159" s="172" t="s">
        <v>260</v>
      </c>
      <c r="E159" s="1126">
        <v>7820995</v>
      </c>
      <c r="F159" s="1126">
        <v>7820995</v>
      </c>
      <c r="G159" s="1126">
        <v>6050000</v>
      </c>
      <c r="H159" s="1126">
        <v>1229773</v>
      </c>
      <c r="I159" s="1126"/>
      <c r="J159" s="1126"/>
      <c r="K159" s="1126"/>
      <c r="L159" s="1126"/>
      <c r="M159" s="562"/>
      <c r="N159" s="562">
        <f>SUM(N160:N161)</f>
        <v>0</v>
      </c>
      <c r="O159" s="562">
        <f t="shared" si="9"/>
        <v>7820995</v>
      </c>
      <c r="P159" s="562">
        <f>F159+N160+N161</f>
        <v>7820995</v>
      </c>
      <c r="Q159" s="562">
        <f>G159</f>
        <v>6050000</v>
      </c>
      <c r="R159" s="562">
        <f>H159+N160</f>
        <v>1225014</v>
      </c>
      <c r="S159" s="562"/>
      <c r="T159" s="562"/>
      <c r="U159" s="562"/>
      <c r="V159" s="562"/>
      <c r="W159" s="562"/>
      <c r="X159" s="272"/>
      <c r="Y159" s="143"/>
      <c r="Z159" s="143"/>
      <c r="AA159" s="143"/>
      <c r="AB159" s="143"/>
      <c r="AC159" s="143"/>
    </row>
    <row r="160" spans="1:24" s="284" customFormat="1" ht="18" customHeight="1">
      <c r="A160" s="281"/>
      <c r="B160" s="281"/>
      <c r="C160" s="33">
        <v>4110</v>
      </c>
      <c r="D160" s="32" t="s">
        <v>696</v>
      </c>
      <c r="E160" s="283">
        <v>1098403</v>
      </c>
      <c r="F160" s="283">
        <v>1098403</v>
      </c>
      <c r="G160" s="283"/>
      <c r="H160" s="283">
        <v>1098403</v>
      </c>
      <c r="I160" s="283"/>
      <c r="J160" s="283"/>
      <c r="K160" s="283"/>
      <c r="L160" s="283"/>
      <c r="M160" s="283"/>
      <c r="N160" s="283">
        <v>-4759</v>
      </c>
      <c r="O160" s="283">
        <f t="shared" si="9"/>
        <v>1093644</v>
      </c>
      <c r="P160" s="283">
        <f>F160+N160</f>
        <v>1093644</v>
      </c>
      <c r="Q160" s="283"/>
      <c r="R160" s="283">
        <f>H160+N160</f>
        <v>1093644</v>
      </c>
      <c r="S160" s="283"/>
      <c r="T160" s="283"/>
      <c r="U160" s="283"/>
      <c r="V160" s="283"/>
      <c r="W160" s="283"/>
      <c r="X160" s="272"/>
    </row>
    <row r="161" spans="1:24" s="284" customFormat="1" ht="18" customHeight="1">
      <c r="A161" s="281"/>
      <c r="B161" s="281"/>
      <c r="C161" s="281">
        <v>4440</v>
      </c>
      <c r="D161" s="177" t="s">
        <v>247</v>
      </c>
      <c r="E161" s="258">
        <v>439422</v>
      </c>
      <c r="F161" s="258">
        <v>439422</v>
      </c>
      <c r="G161" s="258"/>
      <c r="H161" s="258"/>
      <c r="I161" s="258"/>
      <c r="J161" s="258"/>
      <c r="K161" s="258"/>
      <c r="L161" s="258"/>
      <c r="M161" s="258"/>
      <c r="N161" s="258">
        <v>4759</v>
      </c>
      <c r="O161" s="258">
        <f t="shared" si="9"/>
        <v>444181</v>
      </c>
      <c r="P161" s="283">
        <f>F161+N161</f>
        <v>444181</v>
      </c>
      <c r="Q161" s="258"/>
      <c r="R161" s="258"/>
      <c r="S161" s="258"/>
      <c r="T161" s="258"/>
      <c r="U161" s="258"/>
      <c r="V161" s="258"/>
      <c r="W161" s="258"/>
      <c r="X161" s="272"/>
    </row>
    <row r="162" spans="1:24" s="143" customFormat="1" ht="19.5" customHeight="1">
      <c r="A162" s="173"/>
      <c r="B162" s="291">
        <v>85403</v>
      </c>
      <c r="C162" s="291"/>
      <c r="D162" s="638" t="s">
        <v>599</v>
      </c>
      <c r="E162" s="261">
        <v>11053565</v>
      </c>
      <c r="F162" s="261">
        <v>9178565</v>
      </c>
      <c r="G162" s="261">
        <v>5880000</v>
      </c>
      <c r="H162" s="261">
        <v>1193000</v>
      </c>
      <c r="I162" s="261">
        <v>663000</v>
      </c>
      <c r="J162" s="261">
        <v>50000</v>
      </c>
      <c r="K162" s="261"/>
      <c r="L162" s="261"/>
      <c r="M162" s="261">
        <v>1875000</v>
      </c>
      <c r="N162" s="261">
        <f>N163</f>
        <v>147000</v>
      </c>
      <c r="O162" s="261">
        <f t="shared" si="9"/>
        <v>11200565</v>
      </c>
      <c r="P162" s="261">
        <f>F162</f>
        <v>9178565</v>
      </c>
      <c r="Q162" s="261">
        <f>G162</f>
        <v>5880000</v>
      </c>
      <c r="R162" s="261">
        <f>H162</f>
        <v>1193000</v>
      </c>
      <c r="S162" s="261">
        <f>I162</f>
        <v>663000</v>
      </c>
      <c r="T162" s="261">
        <f>J162</f>
        <v>50000</v>
      </c>
      <c r="U162" s="261"/>
      <c r="V162" s="261"/>
      <c r="W162" s="261">
        <f>M162+N165</f>
        <v>2022000</v>
      </c>
      <c r="X162" s="272"/>
    </row>
    <row r="163" spans="1:29" s="945" customFormat="1" ht="25.5">
      <c r="A163" s="278"/>
      <c r="B163" s="278"/>
      <c r="C163" s="209"/>
      <c r="D163" s="1228" t="s">
        <v>138</v>
      </c>
      <c r="E163" s="1229">
        <v>9022765</v>
      </c>
      <c r="F163" s="1229">
        <v>8397765</v>
      </c>
      <c r="G163" s="1229">
        <v>5880000</v>
      </c>
      <c r="H163" s="1229">
        <v>1193000</v>
      </c>
      <c r="I163" s="1229"/>
      <c r="J163" s="1229">
        <v>50000</v>
      </c>
      <c r="K163" s="1229"/>
      <c r="L163" s="1229"/>
      <c r="M163" s="525">
        <v>625000</v>
      </c>
      <c r="N163" s="525">
        <f>N165</f>
        <v>147000</v>
      </c>
      <c r="O163" s="525">
        <f t="shared" si="9"/>
        <v>9169765</v>
      </c>
      <c r="P163" s="525">
        <f>F163</f>
        <v>8397765</v>
      </c>
      <c r="Q163" s="525">
        <f>G163</f>
        <v>5880000</v>
      </c>
      <c r="R163" s="525">
        <f>H163</f>
        <v>1193000</v>
      </c>
      <c r="S163" s="525"/>
      <c r="T163" s="525">
        <f>J163</f>
        <v>50000</v>
      </c>
      <c r="U163" s="525"/>
      <c r="V163" s="525"/>
      <c r="W163" s="525">
        <f>M163+N165</f>
        <v>772000</v>
      </c>
      <c r="X163" s="272"/>
      <c r="Y163" s="143"/>
      <c r="Z163" s="143"/>
      <c r="AA163" s="143"/>
      <c r="AB163" s="143"/>
      <c r="AC163" s="143"/>
    </row>
    <row r="164" spans="1:24" s="284" customFormat="1" ht="18" customHeight="1">
      <c r="A164" s="281"/>
      <c r="B164" s="281"/>
      <c r="C164" s="281"/>
      <c r="D164" s="526" t="s">
        <v>41</v>
      </c>
      <c r="E164" s="527">
        <v>100000</v>
      </c>
      <c r="F164" s="527"/>
      <c r="G164" s="527"/>
      <c r="H164" s="527"/>
      <c r="I164" s="527"/>
      <c r="J164" s="527"/>
      <c r="K164" s="527"/>
      <c r="L164" s="527"/>
      <c r="M164" s="527">
        <v>100000</v>
      </c>
      <c r="N164" s="527">
        <v>147000</v>
      </c>
      <c r="O164" s="527">
        <f t="shared" si="9"/>
        <v>247000</v>
      </c>
      <c r="P164" s="527"/>
      <c r="Q164" s="527"/>
      <c r="R164" s="527"/>
      <c r="S164" s="527"/>
      <c r="T164" s="527"/>
      <c r="U164" s="527"/>
      <c r="V164" s="527"/>
      <c r="W164" s="527">
        <f>M164+N164</f>
        <v>247000</v>
      </c>
      <c r="X164" s="272"/>
    </row>
    <row r="165" spans="1:24" s="284" customFormat="1" ht="18" customHeight="1">
      <c r="A165" s="281"/>
      <c r="B165" s="281"/>
      <c r="C165" s="281">
        <v>6050</v>
      </c>
      <c r="D165" s="177" t="s">
        <v>723</v>
      </c>
      <c r="E165" s="258">
        <v>600000</v>
      </c>
      <c r="F165" s="258"/>
      <c r="G165" s="258"/>
      <c r="H165" s="258"/>
      <c r="I165" s="258"/>
      <c r="J165" s="258"/>
      <c r="K165" s="258"/>
      <c r="L165" s="258"/>
      <c r="M165" s="258">
        <v>600000</v>
      </c>
      <c r="N165" s="258">
        <f>N164</f>
        <v>147000</v>
      </c>
      <c r="O165" s="258">
        <f t="shared" si="9"/>
        <v>747000</v>
      </c>
      <c r="P165" s="258"/>
      <c r="Q165" s="258"/>
      <c r="R165" s="258"/>
      <c r="S165" s="258"/>
      <c r="T165" s="258"/>
      <c r="U165" s="258"/>
      <c r="V165" s="258"/>
      <c r="W165" s="258">
        <f>M165+N165</f>
        <v>747000</v>
      </c>
      <c r="X165" s="272"/>
    </row>
    <row r="166" spans="1:24" s="143" customFormat="1" ht="25.5">
      <c r="A166" s="173"/>
      <c r="B166" s="291">
        <v>85406</v>
      </c>
      <c r="C166" s="291"/>
      <c r="D166" s="792" t="s">
        <v>556</v>
      </c>
      <c r="E166" s="261">
        <v>6333400</v>
      </c>
      <c r="F166" s="261">
        <v>6303400</v>
      </c>
      <c r="G166" s="261">
        <v>4700000</v>
      </c>
      <c r="H166" s="261">
        <v>910000</v>
      </c>
      <c r="I166" s="261"/>
      <c r="J166" s="261"/>
      <c r="K166" s="261"/>
      <c r="L166" s="261"/>
      <c r="M166" s="261">
        <v>30000</v>
      </c>
      <c r="N166" s="261">
        <f>N167</f>
        <v>-30500</v>
      </c>
      <c r="O166" s="261">
        <f t="shared" si="9"/>
        <v>6302900</v>
      </c>
      <c r="P166" s="261">
        <f>F166+N168+N170</f>
        <v>6272900</v>
      </c>
      <c r="Q166" s="261">
        <f>G166</f>
        <v>4700000</v>
      </c>
      <c r="R166" s="261">
        <f>H166</f>
        <v>910000</v>
      </c>
      <c r="S166" s="261"/>
      <c r="T166" s="261">
        <f>J166+N170</f>
        <v>4000</v>
      </c>
      <c r="U166" s="261"/>
      <c r="V166" s="261"/>
      <c r="W166" s="261">
        <f>M166</f>
        <v>30000</v>
      </c>
      <c r="X166" s="272"/>
    </row>
    <row r="167" spans="1:29" s="942" customFormat="1" ht="25.5">
      <c r="A167" s="278"/>
      <c r="B167" s="278"/>
      <c r="C167" s="864"/>
      <c r="D167" s="172" t="s">
        <v>557</v>
      </c>
      <c r="E167" s="1126">
        <v>6333400</v>
      </c>
      <c r="F167" s="1126">
        <v>6303400</v>
      </c>
      <c r="G167" s="1126">
        <v>4700000</v>
      </c>
      <c r="H167" s="1126">
        <v>910000</v>
      </c>
      <c r="I167" s="1126"/>
      <c r="J167" s="1126"/>
      <c r="K167" s="1126"/>
      <c r="L167" s="1126"/>
      <c r="M167" s="562">
        <v>30000</v>
      </c>
      <c r="N167" s="562">
        <f>N170+N168</f>
        <v>-30500</v>
      </c>
      <c r="O167" s="562">
        <f t="shared" si="9"/>
        <v>6302900</v>
      </c>
      <c r="P167" s="562">
        <f>F167+N168+N170</f>
        <v>6272900</v>
      </c>
      <c r="Q167" s="562">
        <f>G167</f>
        <v>4700000</v>
      </c>
      <c r="R167" s="562">
        <f>H167</f>
        <v>910000</v>
      </c>
      <c r="S167" s="562"/>
      <c r="T167" s="562">
        <f>J167+N170</f>
        <v>4000</v>
      </c>
      <c r="U167" s="562"/>
      <c r="V167" s="562"/>
      <c r="W167" s="562">
        <f>M167</f>
        <v>30000</v>
      </c>
      <c r="X167" s="272"/>
      <c r="Y167" s="143"/>
      <c r="Z167" s="143"/>
      <c r="AA167" s="143"/>
      <c r="AB167" s="143"/>
      <c r="AC167" s="143"/>
    </row>
    <row r="168" spans="1:29" s="285" customFormat="1" ht="18" customHeight="1">
      <c r="A168" s="281"/>
      <c r="B168" s="281"/>
      <c r="C168" s="38">
        <v>4260</v>
      </c>
      <c r="D168" s="1018" t="s">
        <v>605</v>
      </c>
      <c r="E168" s="789">
        <v>91680</v>
      </c>
      <c r="F168" s="789">
        <v>91680</v>
      </c>
      <c r="G168" s="789"/>
      <c r="H168" s="789"/>
      <c r="I168" s="789"/>
      <c r="J168" s="789"/>
      <c r="K168" s="789"/>
      <c r="L168" s="789"/>
      <c r="M168" s="258"/>
      <c r="N168" s="258">
        <v>-34500</v>
      </c>
      <c r="O168" s="258">
        <f t="shared" si="9"/>
        <v>57180</v>
      </c>
      <c r="P168" s="258">
        <f>F168+N168</f>
        <v>57180</v>
      </c>
      <c r="Q168" s="258"/>
      <c r="R168" s="258"/>
      <c r="S168" s="258"/>
      <c r="T168" s="258"/>
      <c r="U168" s="258"/>
      <c r="V168" s="258"/>
      <c r="W168" s="258"/>
      <c r="X168" s="272"/>
      <c r="Y168" s="284"/>
      <c r="Z168" s="284"/>
      <c r="AA168" s="284"/>
      <c r="AB168" s="284"/>
      <c r="AC168" s="284"/>
    </row>
    <row r="169" spans="1:24" s="284" customFormat="1" ht="18" customHeight="1">
      <c r="A169" s="281"/>
      <c r="B169" s="281"/>
      <c r="C169" s="281"/>
      <c r="D169" s="1013" t="s">
        <v>168</v>
      </c>
      <c r="E169" s="886"/>
      <c r="F169" s="886"/>
      <c r="G169" s="886"/>
      <c r="H169" s="886"/>
      <c r="I169" s="886"/>
      <c r="J169" s="886"/>
      <c r="K169" s="886"/>
      <c r="L169" s="886"/>
      <c r="M169" s="886"/>
      <c r="N169" s="886">
        <v>4000</v>
      </c>
      <c r="O169" s="886">
        <f t="shared" si="9"/>
        <v>4000</v>
      </c>
      <c r="P169" s="886">
        <f>F169+N169</f>
        <v>4000</v>
      </c>
      <c r="Q169" s="886"/>
      <c r="R169" s="886"/>
      <c r="S169" s="886"/>
      <c r="T169" s="886">
        <f>J169+N169</f>
        <v>4000</v>
      </c>
      <c r="U169" s="886"/>
      <c r="V169" s="886"/>
      <c r="W169" s="886"/>
      <c r="X169" s="272"/>
    </row>
    <row r="170" spans="1:24" s="284" customFormat="1" ht="18" customHeight="1">
      <c r="A170" s="281"/>
      <c r="B170" s="281"/>
      <c r="C170" s="282">
        <v>4270</v>
      </c>
      <c r="D170" s="177" t="s">
        <v>718</v>
      </c>
      <c r="E170" s="258"/>
      <c r="F170" s="258"/>
      <c r="G170" s="258"/>
      <c r="H170" s="258"/>
      <c r="I170" s="258"/>
      <c r="J170" s="258"/>
      <c r="K170" s="258"/>
      <c r="L170" s="258"/>
      <c r="M170" s="258"/>
      <c r="N170" s="258">
        <f>N169</f>
        <v>4000</v>
      </c>
      <c r="O170" s="258">
        <f t="shared" si="9"/>
        <v>4000</v>
      </c>
      <c r="P170" s="258">
        <f>F170+N170</f>
        <v>4000</v>
      </c>
      <c r="Q170" s="258"/>
      <c r="R170" s="258"/>
      <c r="S170" s="258"/>
      <c r="T170" s="258">
        <f>J170+N170</f>
        <v>4000</v>
      </c>
      <c r="U170" s="258"/>
      <c r="V170" s="258"/>
      <c r="W170" s="258"/>
      <c r="X170" s="272"/>
    </row>
    <row r="171" spans="1:29" s="1121" customFormat="1" ht="19.5" customHeight="1">
      <c r="A171" s="173"/>
      <c r="B171" s="291">
        <v>85407</v>
      </c>
      <c r="C171" s="954"/>
      <c r="D171" s="537" t="s">
        <v>15</v>
      </c>
      <c r="E171" s="1124">
        <v>2949185</v>
      </c>
      <c r="F171" s="1124">
        <v>2939185</v>
      </c>
      <c r="G171" s="1124">
        <v>1977000</v>
      </c>
      <c r="H171" s="1124">
        <v>375000</v>
      </c>
      <c r="I171" s="1124"/>
      <c r="J171" s="1124">
        <v>200000</v>
      </c>
      <c r="K171" s="1124"/>
      <c r="L171" s="1124"/>
      <c r="M171" s="261">
        <v>10000</v>
      </c>
      <c r="N171" s="261">
        <f>N172</f>
        <v>34500</v>
      </c>
      <c r="O171" s="1508">
        <f t="shared" si="9"/>
        <v>2983685</v>
      </c>
      <c r="P171" s="1508">
        <f>F171+N173+N174+N175+N176+N177</f>
        <v>2973685</v>
      </c>
      <c r="Q171" s="261">
        <f>G171</f>
        <v>1977000</v>
      </c>
      <c r="R171" s="261">
        <f>H171</f>
        <v>375000</v>
      </c>
      <c r="S171" s="261"/>
      <c r="T171" s="261">
        <f>J171</f>
        <v>200000</v>
      </c>
      <c r="U171" s="261"/>
      <c r="V171" s="261"/>
      <c r="W171" s="261">
        <f>M171</f>
        <v>10000</v>
      </c>
      <c r="X171" s="272"/>
      <c r="Y171" s="1499"/>
      <c r="Z171" s="1499"/>
      <c r="AA171" s="1499"/>
      <c r="AB171" s="1499"/>
      <c r="AC171" s="1499"/>
    </row>
    <row r="172" spans="1:29" s="1123" customFormat="1" ht="25.5">
      <c r="A172" s="278"/>
      <c r="B172" s="278"/>
      <c r="C172" s="209"/>
      <c r="D172" s="172" t="s">
        <v>74</v>
      </c>
      <c r="E172" s="1126">
        <v>2949185</v>
      </c>
      <c r="F172" s="1126">
        <v>2939185</v>
      </c>
      <c r="G172" s="1126">
        <v>1977000</v>
      </c>
      <c r="H172" s="1126">
        <v>375000</v>
      </c>
      <c r="I172" s="1126"/>
      <c r="J172" s="1126">
        <v>200000</v>
      </c>
      <c r="K172" s="1126"/>
      <c r="L172" s="1126"/>
      <c r="M172" s="562">
        <v>10000</v>
      </c>
      <c r="N172" s="562">
        <f>SUM(N173:N177)</f>
        <v>34500</v>
      </c>
      <c r="O172" s="562">
        <f t="shared" si="9"/>
        <v>2983685</v>
      </c>
      <c r="P172" s="562">
        <f>F172+N173+N174+N175+N176+N177</f>
        <v>2973685</v>
      </c>
      <c r="Q172" s="562">
        <f>G172</f>
        <v>1977000</v>
      </c>
      <c r="R172" s="562">
        <f>H172</f>
        <v>375000</v>
      </c>
      <c r="S172" s="562"/>
      <c r="T172" s="562">
        <f>J172</f>
        <v>200000</v>
      </c>
      <c r="U172" s="562"/>
      <c r="V172" s="562"/>
      <c r="W172" s="562">
        <f>M172</f>
        <v>10000</v>
      </c>
      <c r="X172" s="272"/>
      <c r="Y172" s="143"/>
      <c r="Z172" s="143"/>
      <c r="AA172" s="143"/>
      <c r="AB172" s="143"/>
      <c r="AC172" s="143"/>
    </row>
    <row r="173" spans="1:24" s="284" customFormat="1" ht="18" customHeight="1">
      <c r="A173" s="281"/>
      <c r="B173" s="281"/>
      <c r="C173" s="33">
        <v>4210</v>
      </c>
      <c r="D173" s="32" t="s">
        <v>321</v>
      </c>
      <c r="E173" s="283">
        <v>38600</v>
      </c>
      <c r="F173" s="283">
        <v>38600</v>
      </c>
      <c r="G173" s="283"/>
      <c r="H173" s="283"/>
      <c r="I173" s="283"/>
      <c r="J173" s="283"/>
      <c r="K173" s="283"/>
      <c r="L173" s="283"/>
      <c r="M173" s="283"/>
      <c r="N173" s="283">
        <v>10000</v>
      </c>
      <c r="O173" s="283">
        <f t="shared" si="9"/>
        <v>48600</v>
      </c>
      <c r="P173" s="283">
        <f>F173+N173</f>
        <v>48600</v>
      </c>
      <c r="Q173" s="283"/>
      <c r="R173" s="283"/>
      <c r="S173" s="283"/>
      <c r="T173" s="283"/>
      <c r="U173" s="283"/>
      <c r="V173" s="283"/>
      <c r="W173" s="283"/>
      <c r="X173" s="272"/>
    </row>
    <row r="174" spans="1:24" s="284" customFormat="1" ht="25.5">
      <c r="A174" s="281"/>
      <c r="B174" s="281"/>
      <c r="C174" s="282">
        <v>4240</v>
      </c>
      <c r="D174" s="387" t="s">
        <v>117</v>
      </c>
      <c r="E174" s="258">
        <v>15000</v>
      </c>
      <c r="F174" s="258">
        <v>15000</v>
      </c>
      <c r="G174" s="258"/>
      <c r="H174" s="258"/>
      <c r="I174" s="258"/>
      <c r="J174" s="258"/>
      <c r="K174" s="258"/>
      <c r="L174" s="258"/>
      <c r="M174" s="258"/>
      <c r="N174" s="258">
        <v>12000</v>
      </c>
      <c r="O174" s="283">
        <f t="shared" si="9"/>
        <v>27000</v>
      </c>
      <c r="P174" s="283">
        <f>F174+N174</f>
        <v>27000</v>
      </c>
      <c r="Q174" s="258"/>
      <c r="R174" s="258"/>
      <c r="S174" s="258"/>
      <c r="T174" s="258"/>
      <c r="U174" s="258"/>
      <c r="V174" s="258"/>
      <c r="W174" s="258"/>
      <c r="X174" s="272"/>
    </row>
    <row r="175" spans="1:24" s="284" customFormat="1" ht="18" customHeight="1">
      <c r="A175" s="281"/>
      <c r="B175" s="281"/>
      <c r="C175" s="281">
        <v>4300</v>
      </c>
      <c r="D175" s="154" t="s">
        <v>322</v>
      </c>
      <c r="E175" s="528">
        <v>28000</v>
      </c>
      <c r="F175" s="528">
        <v>28000</v>
      </c>
      <c r="G175" s="528"/>
      <c r="H175" s="528"/>
      <c r="I175" s="528"/>
      <c r="J175" s="528"/>
      <c r="K175" s="528"/>
      <c r="L175" s="528"/>
      <c r="M175" s="528"/>
      <c r="N175" s="528">
        <v>7000</v>
      </c>
      <c r="O175" s="548">
        <f t="shared" si="9"/>
        <v>35000</v>
      </c>
      <c r="P175" s="283">
        <f>F175+N175</f>
        <v>35000</v>
      </c>
      <c r="Q175" s="528"/>
      <c r="R175" s="528"/>
      <c r="S175" s="528"/>
      <c r="T175" s="528"/>
      <c r="U175" s="528"/>
      <c r="V175" s="528"/>
      <c r="W175" s="528"/>
      <c r="X175" s="272"/>
    </row>
    <row r="176" spans="1:24" s="284" customFormat="1" ht="25.5">
      <c r="A176" s="281"/>
      <c r="B176" s="281"/>
      <c r="C176" s="290">
        <v>4370</v>
      </c>
      <c r="D176" s="387" t="s">
        <v>400</v>
      </c>
      <c r="E176" s="262">
        <v>12600</v>
      </c>
      <c r="F176" s="262">
        <v>12600</v>
      </c>
      <c r="G176" s="262"/>
      <c r="H176" s="262"/>
      <c r="I176" s="262"/>
      <c r="J176" s="262"/>
      <c r="K176" s="262"/>
      <c r="L176" s="262"/>
      <c r="M176" s="262"/>
      <c r="N176" s="262">
        <v>2500</v>
      </c>
      <c r="O176" s="262">
        <f t="shared" si="9"/>
        <v>15100</v>
      </c>
      <c r="P176" s="283">
        <f>F176+N176</f>
        <v>15100</v>
      </c>
      <c r="Q176" s="262"/>
      <c r="R176" s="262"/>
      <c r="S176" s="262"/>
      <c r="T176" s="262"/>
      <c r="U176" s="262"/>
      <c r="V176" s="262"/>
      <c r="W176" s="262"/>
      <c r="X176" s="272"/>
    </row>
    <row r="177" spans="1:24" s="284" customFormat="1" ht="25.5">
      <c r="A177" s="281"/>
      <c r="B177" s="281"/>
      <c r="C177" s="281">
        <v>4750</v>
      </c>
      <c r="D177" s="387" t="s">
        <v>118</v>
      </c>
      <c r="E177" s="262">
        <v>8000</v>
      </c>
      <c r="F177" s="262">
        <v>8000</v>
      </c>
      <c r="G177" s="262"/>
      <c r="H177" s="262"/>
      <c r="I177" s="262"/>
      <c r="J177" s="262"/>
      <c r="K177" s="262"/>
      <c r="L177" s="262"/>
      <c r="M177" s="262"/>
      <c r="N177" s="262">
        <v>3000</v>
      </c>
      <c r="O177" s="262">
        <f t="shared" si="9"/>
        <v>11000</v>
      </c>
      <c r="P177" s="283">
        <f>F177+N177</f>
        <v>11000</v>
      </c>
      <c r="Q177" s="262"/>
      <c r="R177" s="262"/>
      <c r="S177" s="262"/>
      <c r="T177" s="262"/>
      <c r="U177" s="262"/>
      <c r="V177" s="262"/>
      <c r="W177" s="262"/>
      <c r="X177" s="272"/>
    </row>
    <row r="178" spans="1:24" s="143" customFormat="1" ht="19.5" customHeight="1">
      <c r="A178" s="278"/>
      <c r="B178" s="291">
        <v>85415</v>
      </c>
      <c r="C178" s="291"/>
      <c r="D178" s="792" t="s">
        <v>600</v>
      </c>
      <c r="E178" s="257">
        <v>1610558</v>
      </c>
      <c r="F178" s="257">
        <v>1610558</v>
      </c>
      <c r="G178" s="257">
        <v>100000</v>
      </c>
      <c r="H178" s="257"/>
      <c r="I178" s="257"/>
      <c r="J178" s="257"/>
      <c r="K178" s="257"/>
      <c r="L178" s="257"/>
      <c r="M178" s="257"/>
      <c r="N178" s="257">
        <f>N179</f>
        <v>0</v>
      </c>
      <c r="O178" s="257">
        <f t="shared" si="9"/>
        <v>1610558</v>
      </c>
      <c r="P178" s="257">
        <f>F178+N180+N181</f>
        <v>1610558</v>
      </c>
      <c r="Q178" s="257">
        <f>G178</f>
        <v>100000</v>
      </c>
      <c r="R178" s="257"/>
      <c r="S178" s="257"/>
      <c r="T178" s="257"/>
      <c r="U178" s="257"/>
      <c r="V178" s="257"/>
      <c r="W178" s="257"/>
      <c r="X178" s="272"/>
    </row>
    <row r="179" spans="1:24" s="143" customFormat="1" ht="25.5">
      <c r="A179" s="278"/>
      <c r="B179" s="278"/>
      <c r="C179" s="278"/>
      <c r="D179" s="834" t="s">
        <v>76</v>
      </c>
      <c r="E179" s="562">
        <v>1016758</v>
      </c>
      <c r="F179" s="562">
        <v>1016758</v>
      </c>
      <c r="G179" s="562"/>
      <c r="H179" s="562"/>
      <c r="I179" s="562"/>
      <c r="J179" s="562"/>
      <c r="K179" s="562"/>
      <c r="L179" s="562"/>
      <c r="M179" s="562"/>
      <c r="N179" s="562">
        <f>SUM(N180:N181)</f>
        <v>0</v>
      </c>
      <c r="O179" s="562">
        <f t="shared" si="9"/>
        <v>1016758</v>
      </c>
      <c r="P179" s="562">
        <f>F179+N180+N181</f>
        <v>1016758</v>
      </c>
      <c r="Q179" s="562"/>
      <c r="R179" s="562"/>
      <c r="S179" s="562"/>
      <c r="T179" s="562"/>
      <c r="U179" s="562"/>
      <c r="V179" s="562"/>
      <c r="W179" s="562"/>
      <c r="X179" s="272"/>
    </row>
    <row r="180" spans="1:24" s="284" customFormat="1" ht="18" customHeight="1">
      <c r="A180" s="281"/>
      <c r="B180" s="281"/>
      <c r="C180" s="282">
        <v>3240</v>
      </c>
      <c r="D180" s="154" t="s">
        <v>715</v>
      </c>
      <c r="E180" s="528">
        <v>1003894</v>
      </c>
      <c r="F180" s="528">
        <v>1003894</v>
      </c>
      <c r="G180" s="528"/>
      <c r="H180" s="528"/>
      <c r="I180" s="528"/>
      <c r="J180" s="528"/>
      <c r="K180" s="528"/>
      <c r="L180" s="528"/>
      <c r="M180" s="528"/>
      <c r="N180" s="528">
        <f>-2688+256</f>
        <v>-2432</v>
      </c>
      <c r="O180" s="528">
        <f t="shared" si="9"/>
        <v>1001462</v>
      </c>
      <c r="P180" s="528">
        <f>F180+N180</f>
        <v>1001462</v>
      </c>
      <c r="Q180" s="528"/>
      <c r="R180" s="528"/>
      <c r="S180" s="528"/>
      <c r="T180" s="528"/>
      <c r="U180" s="528"/>
      <c r="V180" s="528"/>
      <c r="W180" s="528"/>
      <c r="X180" s="272"/>
    </row>
    <row r="181" spans="1:24" s="284" customFormat="1" ht="18" customHeight="1">
      <c r="A181" s="282"/>
      <c r="B181" s="282"/>
      <c r="C181" s="282">
        <v>3260</v>
      </c>
      <c r="D181" s="895" t="s">
        <v>512</v>
      </c>
      <c r="E181" s="262">
        <v>12864</v>
      </c>
      <c r="F181" s="262">
        <v>12864</v>
      </c>
      <c r="G181" s="262"/>
      <c r="H181" s="262"/>
      <c r="I181" s="262"/>
      <c r="J181" s="262"/>
      <c r="K181" s="262"/>
      <c r="L181" s="262"/>
      <c r="M181" s="262"/>
      <c r="N181" s="262">
        <v>2432</v>
      </c>
      <c r="O181" s="262">
        <f t="shared" si="9"/>
        <v>15296</v>
      </c>
      <c r="P181" s="262">
        <f>F181+N181</f>
        <v>15296</v>
      </c>
      <c r="Q181" s="262"/>
      <c r="R181" s="262"/>
      <c r="S181" s="262"/>
      <c r="T181" s="262"/>
      <c r="U181" s="262"/>
      <c r="V181" s="262"/>
      <c r="W181" s="262"/>
      <c r="X181" s="272"/>
    </row>
    <row r="182" spans="4:24" s="469" customFormat="1" ht="18" customHeight="1">
      <c r="D182" s="458"/>
      <c r="E182" s="1331"/>
      <c r="F182" s="1331"/>
      <c r="G182" s="1331"/>
      <c r="H182" s="1331"/>
      <c r="I182" s="1331"/>
      <c r="J182" s="1331"/>
      <c r="K182" s="1331"/>
      <c r="L182" s="1331"/>
      <c r="M182" s="1331"/>
      <c r="N182" s="1331"/>
      <c r="O182" s="1331"/>
      <c r="P182" s="1331"/>
      <c r="Q182" s="1331"/>
      <c r="R182" s="1331"/>
      <c r="S182" s="1331"/>
      <c r="T182" s="1331"/>
      <c r="U182" s="1331"/>
      <c r="V182" s="1331"/>
      <c r="W182" s="1331"/>
      <c r="X182" s="1435"/>
    </row>
    <row r="183" spans="1:24" s="466" customFormat="1" ht="19.5" customHeight="1">
      <c r="A183" s="278"/>
      <c r="B183" s="279">
        <v>85495</v>
      </c>
      <c r="C183" s="279"/>
      <c r="D183" s="792" t="s">
        <v>401</v>
      </c>
      <c r="E183" s="257">
        <v>6987000</v>
      </c>
      <c r="F183" s="257">
        <v>6907000</v>
      </c>
      <c r="G183" s="257">
        <v>4449000</v>
      </c>
      <c r="H183" s="257">
        <v>901000</v>
      </c>
      <c r="I183" s="257"/>
      <c r="J183" s="257"/>
      <c r="K183" s="257"/>
      <c r="L183" s="257"/>
      <c r="M183" s="257">
        <v>80000</v>
      </c>
      <c r="N183" s="257">
        <f>N184</f>
        <v>0</v>
      </c>
      <c r="O183" s="257">
        <f t="shared" si="9"/>
        <v>6987000</v>
      </c>
      <c r="P183" s="257">
        <f>F183+N185+N186+N187</f>
        <v>6907000</v>
      </c>
      <c r="Q183" s="257">
        <f>G183</f>
        <v>4449000</v>
      </c>
      <c r="R183" s="257">
        <f>H183</f>
        <v>901000</v>
      </c>
      <c r="S183" s="257"/>
      <c r="T183" s="257"/>
      <c r="U183" s="257"/>
      <c r="V183" s="257"/>
      <c r="W183" s="257">
        <f>M183</f>
        <v>80000</v>
      </c>
      <c r="X183" s="1435"/>
    </row>
    <row r="184" spans="1:24" s="143" customFormat="1" ht="18" customHeight="1">
      <c r="A184" s="278"/>
      <c r="B184" s="278"/>
      <c r="C184" s="278"/>
      <c r="D184" s="21" t="s">
        <v>139</v>
      </c>
      <c r="E184" s="562">
        <v>6980000</v>
      </c>
      <c r="F184" s="562">
        <v>6900000</v>
      </c>
      <c r="G184" s="562">
        <v>4449000</v>
      </c>
      <c r="H184" s="562">
        <v>901000</v>
      </c>
      <c r="I184" s="562"/>
      <c r="J184" s="562"/>
      <c r="K184" s="562"/>
      <c r="L184" s="562"/>
      <c r="M184" s="562">
        <v>80000</v>
      </c>
      <c r="N184" s="562">
        <f>SUM(N185:N187)</f>
        <v>0</v>
      </c>
      <c r="O184" s="562">
        <f t="shared" si="9"/>
        <v>6980000</v>
      </c>
      <c r="P184" s="562">
        <f>F184+N185+N186+N187</f>
        <v>6900000</v>
      </c>
      <c r="Q184" s="562">
        <f>G184</f>
        <v>4449000</v>
      </c>
      <c r="R184" s="562">
        <f>H184</f>
        <v>901000</v>
      </c>
      <c r="S184" s="562"/>
      <c r="T184" s="562"/>
      <c r="U184" s="562"/>
      <c r="V184" s="562"/>
      <c r="W184" s="562">
        <f>M184</f>
        <v>80000</v>
      </c>
      <c r="X184" s="272"/>
    </row>
    <row r="185" spans="1:24" s="284" customFormat="1" ht="18" customHeight="1">
      <c r="A185" s="281"/>
      <c r="B185" s="281"/>
      <c r="C185" s="281">
        <v>4210</v>
      </c>
      <c r="D185" s="154" t="s">
        <v>321</v>
      </c>
      <c r="E185" s="528">
        <v>220222</v>
      </c>
      <c r="F185" s="528">
        <v>220222</v>
      </c>
      <c r="G185" s="528"/>
      <c r="H185" s="528"/>
      <c r="I185" s="528"/>
      <c r="J185" s="528"/>
      <c r="K185" s="528"/>
      <c r="L185" s="528"/>
      <c r="M185" s="528"/>
      <c r="N185" s="528">
        <v>3000</v>
      </c>
      <c r="O185" s="528">
        <f t="shared" si="9"/>
        <v>223222</v>
      </c>
      <c r="P185" s="528">
        <f>F185+N185</f>
        <v>223222</v>
      </c>
      <c r="Q185" s="528"/>
      <c r="R185" s="528"/>
      <c r="S185" s="528"/>
      <c r="T185" s="528"/>
      <c r="U185" s="528"/>
      <c r="V185" s="528"/>
      <c r="W185" s="528"/>
      <c r="X185" s="272"/>
    </row>
    <row r="186" spans="1:24" s="284" customFormat="1" ht="18" customHeight="1">
      <c r="A186" s="281"/>
      <c r="B186" s="281"/>
      <c r="C186" s="290">
        <v>4220</v>
      </c>
      <c r="D186" s="895" t="s">
        <v>119</v>
      </c>
      <c r="E186" s="262">
        <v>558800</v>
      </c>
      <c r="F186" s="262">
        <v>558800</v>
      </c>
      <c r="G186" s="262"/>
      <c r="H186" s="262"/>
      <c r="I186" s="262"/>
      <c r="J186" s="262"/>
      <c r="K186" s="262"/>
      <c r="L186" s="262"/>
      <c r="M186" s="262"/>
      <c r="N186" s="262">
        <v>-6000</v>
      </c>
      <c r="O186" s="262">
        <f t="shared" si="9"/>
        <v>552800</v>
      </c>
      <c r="P186" s="262">
        <f>F186+N186</f>
        <v>552800</v>
      </c>
      <c r="Q186" s="262"/>
      <c r="R186" s="262"/>
      <c r="S186" s="262"/>
      <c r="T186" s="262"/>
      <c r="U186" s="262"/>
      <c r="V186" s="262"/>
      <c r="W186" s="262"/>
      <c r="X186" s="272"/>
    </row>
    <row r="187" spans="1:24" s="284" customFormat="1" ht="18" customHeight="1">
      <c r="A187" s="281"/>
      <c r="B187" s="281"/>
      <c r="C187" s="290">
        <v>4260</v>
      </c>
      <c r="D187" s="369" t="s">
        <v>605</v>
      </c>
      <c r="E187" s="262">
        <v>415330</v>
      </c>
      <c r="F187" s="262">
        <v>415330</v>
      </c>
      <c r="G187" s="262"/>
      <c r="H187" s="262"/>
      <c r="I187" s="262"/>
      <c r="J187" s="262"/>
      <c r="K187" s="262"/>
      <c r="L187" s="262"/>
      <c r="M187" s="262"/>
      <c r="N187" s="262">
        <v>3000</v>
      </c>
      <c r="O187" s="262">
        <f t="shared" si="9"/>
        <v>418330</v>
      </c>
      <c r="P187" s="528">
        <f>F187+N187</f>
        <v>418330</v>
      </c>
      <c r="Q187" s="262"/>
      <c r="R187" s="262"/>
      <c r="S187" s="262"/>
      <c r="T187" s="262"/>
      <c r="U187" s="262"/>
      <c r="V187" s="262"/>
      <c r="W187" s="262"/>
      <c r="X187" s="272"/>
    </row>
    <row r="188" spans="1:24" s="143" customFormat="1" ht="19.5" customHeight="1" thickBot="1">
      <c r="A188" s="29">
        <v>900</v>
      </c>
      <c r="B188" s="29"/>
      <c r="C188" s="29"/>
      <c r="D188" s="28" t="s">
        <v>633</v>
      </c>
      <c r="E188" s="30">
        <v>76695277</v>
      </c>
      <c r="F188" s="30">
        <v>31809618</v>
      </c>
      <c r="G188" s="30"/>
      <c r="H188" s="30"/>
      <c r="I188" s="30"/>
      <c r="J188" s="30">
        <v>550000</v>
      </c>
      <c r="K188" s="30"/>
      <c r="L188" s="30"/>
      <c r="M188" s="30">
        <v>44885659</v>
      </c>
      <c r="N188" s="30">
        <f>N194</f>
        <v>0</v>
      </c>
      <c r="O188" s="30">
        <f t="shared" si="9"/>
        <v>76695277</v>
      </c>
      <c r="P188" s="30">
        <f>F188+N196+N197</f>
        <v>31809618</v>
      </c>
      <c r="Q188" s="30"/>
      <c r="R188" s="30"/>
      <c r="S188" s="30"/>
      <c r="T188" s="30">
        <f>J188</f>
        <v>550000</v>
      </c>
      <c r="U188" s="30"/>
      <c r="V188" s="30"/>
      <c r="W188" s="30">
        <f>M188+N191+N192</f>
        <v>44885659</v>
      </c>
      <c r="X188" s="272"/>
    </row>
    <row r="189" spans="1:24" s="143" customFormat="1" ht="19.5" customHeight="1">
      <c r="A189" s="278"/>
      <c r="B189" s="291">
        <v>90001</v>
      </c>
      <c r="C189" s="279"/>
      <c r="D189" s="1135" t="s">
        <v>341</v>
      </c>
      <c r="E189" s="257">
        <v>18010000</v>
      </c>
      <c r="F189" s="257">
        <v>2965000</v>
      </c>
      <c r="G189" s="257"/>
      <c r="H189" s="257"/>
      <c r="I189" s="257"/>
      <c r="J189" s="257">
        <v>500000</v>
      </c>
      <c r="K189" s="257"/>
      <c r="L189" s="257"/>
      <c r="M189" s="257">
        <v>15045000</v>
      </c>
      <c r="N189" s="257">
        <f>N190</f>
        <v>0</v>
      </c>
      <c r="O189" s="257">
        <f t="shared" si="9"/>
        <v>18010000</v>
      </c>
      <c r="P189" s="257">
        <f>F189</f>
        <v>2965000</v>
      </c>
      <c r="Q189" s="257"/>
      <c r="R189" s="257"/>
      <c r="S189" s="257"/>
      <c r="T189" s="257">
        <f>J189</f>
        <v>500000</v>
      </c>
      <c r="U189" s="257"/>
      <c r="V189" s="257"/>
      <c r="W189" s="257">
        <f>M189+N191+N192</f>
        <v>15045000</v>
      </c>
      <c r="X189" s="272"/>
    </row>
    <row r="190" spans="1:24" s="143" customFormat="1" ht="18" customHeight="1">
      <c r="A190" s="278"/>
      <c r="B190" s="278"/>
      <c r="C190" s="278"/>
      <c r="D190" s="1134" t="s">
        <v>366</v>
      </c>
      <c r="E190" s="550">
        <v>15045000</v>
      </c>
      <c r="F190" s="550"/>
      <c r="G190" s="550"/>
      <c r="H190" s="550"/>
      <c r="I190" s="550"/>
      <c r="J190" s="550"/>
      <c r="K190" s="550"/>
      <c r="L190" s="550"/>
      <c r="M190" s="550">
        <v>15045000</v>
      </c>
      <c r="N190" s="550">
        <f>N193</f>
        <v>0</v>
      </c>
      <c r="O190" s="550">
        <f t="shared" si="9"/>
        <v>15045000</v>
      </c>
      <c r="P190" s="550"/>
      <c r="Q190" s="550"/>
      <c r="R190" s="550"/>
      <c r="S190" s="550"/>
      <c r="T190" s="550"/>
      <c r="U190" s="550"/>
      <c r="V190" s="550"/>
      <c r="W190" s="550">
        <f>M190+N191+N192</f>
        <v>15045000</v>
      </c>
      <c r="X190" s="272"/>
    </row>
    <row r="191" spans="1:29" s="285" customFormat="1" ht="25.5">
      <c r="A191" s="281"/>
      <c r="B191" s="281"/>
      <c r="C191" s="281"/>
      <c r="D191" s="1469" t="s">
        <v>1</v>
      </c>
      <c r="E191" s="342">
        <v>500000</v>
      </c>
      <c r="F191" s="342"/>
      <c r="G191" s="342"/>
      <c r="H191" s="342"/>
      <c r="I191" s="342"/>
      <c r="J191" s="342"/>
      <c r="K191" s="342"/>
      <c r="L191" s="342"/>
      <c r="M191" s="342">
        <v>500000</v>
      </c>
      <c r="N191" s="528">
        <v>-100000</v>
      </c>
      <c r="O191" s="528">
        <f>E191+N191</f>
        <v>400000</v>
      </c>
      <c r="P191" s="528"/>
      <c r="Q191" s="528"/>
      <c r="R191" s="528"/>
      <c r="S191" s="528"/>
      <c r="T191" s="528"/>
      <c r="U191" s="528"/>
      <c r="V191" s="528"/>
      <c r="W191" s="528">
        <f>M191+N191</f>
        <v>400000</v>
      </c>
      <c r="X191" s="272"/>
      <c r="Y191" s="284"/>
      <c r="Z191" s="284"/>
      <c r="AA191" s="284"/>
      <c r="AB191" s="284"/>
      <c r="AC191" s="284"/>
    </row>
    <row r="192" spans="1:29" s="285" customFormat="1" ht="25.5">
      <c r="A192" s="281"/>
      <c r="B192" s="281"/>
      <c r="C192" s="281"/>
      <c r="D192" s="1136" t="s">
        <v>0</v>
      </c>
      <c r="E192" s="1128">
        <v>755000</v>
      </c>
      <c r="F192" s="1128"/>
      <c r="G192" s="1128"/>
      <c r="H192" s="1128"/>
      <c r="I192" s="1128"/>
      <c r="J192" s="1128"/>
      <c r="K192" s="1128"/>
      <c r="L192" s="1128"/>
      <c r="M192" s="1128">
        <v>755000</v>
      </c>
      <c r="N192" s="791">
        <v>100000</v>
      </c>
      <c r="O192" s="791">
        <f>E192+N192</f>
        <v>855000</v>
      </c>
      <c r="P192" s="791"/>
      <c r="Q192" s="791"/>
      <c r="R192" s="791"/>
      <c r="S192" s="791"/>
      <c r="T192" s="791"/>
      <c r="U192" s="791"/>
      <c r="V192" s="791"/>
      <c r="W192" s="791">
        <f>M192+N192</f>
        <v>855000</v>
      </c>
      <c r="X192" s="272"/>
      <c r="Y192" s="284"/>
      <c r="Z192" s="284"/>
      <c r="AA192" s="284"/>
      <c r="AB192" s="284"/>
      <c r="AC192" s="284"/>
    </row>
    <row r="193" spans="1:29" s="285" customFormat="1" ht="18" customHeight="1">
      <c r="A193" s="281"/>
      <c r="B193" s="281"/>
      <c r="C193" s="985">
        <v>6050</v>
      </c>
      <c r="D193" s="974" t="s">
        <v>723</v>
      </c>
      <c r="E193" s="342">
        <v>15045000</v>
      </c>
      <c r="F193" s="342"/>
      <c r="G193" s="342"/>
      <c r="H193" s="342"/>
      <c r="I193" s="342"/>
      <c r="J193" s="342"/>
      <c r="K193" s="342"/>
      <c r="L193" s="342"/>
      <c r="M193" s="342">
        <v>15045000</v>
      </c>
      <c r="N193" s="528">
        <f>SUM(N191:N192)</f>
        <v>0</v>
      </c>
      <c r="O193" s="528">
        <f>E193+N193</f>
        <v>15045000</v>
      </c>
      <c r="P193" s="528"/>
      <c r="Q193" s="528"/>
      <c r="R193" s="528"/>
      <c r="S193" s="528"/>
      <c r="T193" s="528"/>
      <c r="U193" s="528"/>
      <c r="V193" s="528"/>
      <c r="W193" s="528">
        <f>M193+N193</f>
        <v>15045000</v>
      </c>
      <c r="X193" s="272"/>
      <c r="Y193" s="284"/>
      <c r="Z193" s="284"/>
      <c r="AA193" s="284"/>
      <c r="AB193" s="284"/>
      <c r="AC193" s="284"/>
    </row>
    <row r="194" spans="1:24" s="143" customFormat="1" ht="19.5" customHeight="1">
      <c r="A194" s="278"/>
      <c r="B194" s="291">
        <v>90003</v>
      </c>
      <c r="C194" s="279"/>
      <c r="D194" s="280" t="s">
        <v>50</v>
      </c>
      <c r="E194" s="630">
        <v>11216000</v>
      </c>
      <c r="F194" s="630">
        <v>11126000</v>
      </c>
      <c r="G194" s="630"/>
      <c r="H194" s="630"/>
      <c r="I194" s="630"/>
      <c r="J194" s="630"/>
      <c r="K194" s="630"/>
      <c r="L194" s="630"/>
      <c r="M194" s="630">
        <v>90000</v>
      </c>
      <c r="N194" s="630">
        <f>N195</f>
        <v>0</v>
      </c>
      <c r="O194" s="630">
        <f t="shared" si="9"/>
        <v>11216000</v>
      </c>
      <c r="P194" s="630">
        <f>F194+N196+N197</f>
        <v>11126000</v>
      </c>
      <c r="Q194" s="630"/>
      <c r="R194" s="630"/>
      <c r="S194" s="630"/>
      <c r="T194" s="630"/>
      <c r="U194" s="630"/>
      <c r="V194" s="630"/>
      <c r="W194" s="630">
        <f>M194</f>
        <v>90000</v>
      </c>
      <c r="X194" s="272"/>
    </row>
    <row r="195" spans="1:24" s="143" customFormat="1" ht="18" customHeight="1">
      <c r="A195" s="278"/>
      <c r="B195" s="278"/>
      <c r="C195" s="278"/>
      <c r="D195" s="549" t="s">
        <v>62</v>
      </c>
      <c r="E195" s="550">
        <v>10400000</v>
      </c>
      <c r="F195" s="550">
        <v>10400000</v>
      </c>
      <c r="G195" s="550"/>
      <c r="H195" s="550"/>
      <c r="I195" s="550"/>
      <c r="J195" s="550"/>
      <c r="K195" s="550"/>
      <c r="L195" s="550"/>
      <c r="M195" s="550"/>
      <c r="N195" s="550">
        <f>N196+N197</f>
        <v>0</v>
      </c>
      <c r="O195" s="550">
        <f t="shared" si="9"/>
        <v>10400000</v>
      </c>
      <c r="P195" s="550">
        <f>F195+N196+N197</f>
        <v>10400000</v>
      </c>
      <c r="Q195" s="550"/>
      <c r="R195" s="550"/>
      <c r="S195" s="550"/>
      <c r="T195" s="550"/>
      <c r="U195" s="550"/>
      <c r="V195" s="550"/>
      <c r="W195" s="550"/>
      <c r="X195" s="272"/>
    </row>
    <row r="196" spans="1:24" s="284" customFormat="1" ht="18" customHeight="1">
      <c r="A196" s="281"/>
      <c r="B196" s="281"/>
      <c r="C196" s="282">
        <v>4300</v>
      </c>
      <c r="D196" s="177" t="s">
        <v>322</v>
      </c>
      <c r="E196" s="283">
        <v>10096500</v>
      </c>
      <c r="F196" s="258">
        <v>10096500</v>
      </c>
      <c r="G196" s="258"/>
      <c r="H196" s="258"/>
      <c r="I196" s="258"/>
      <c r="J196" s="258"/>
      <c r="K196" s="258"/>
      <c r="L196" s="258"/>
      <c r="M196" s="258"/>
      <c r="N196" s="258">
        <v>-1000</v>
      </c>
      <c r="O196" s="258">
        <f t="shared" si="9"/>
        <v>10095500</v>
      </c>
      <c r="P196" s="258">
        <f>F196+N196</f>
        <v>10095500</v>
      </c>
      <c r="Q196" s="258"/>
      <c r="R196" s="258"/>
      <c r="S196" s="258"/>
      <c r="T196" s="258"/>
      <c r="U196" s="258"/>
      <c r="V196" s="258"/>
      <c r="W196" s="258"/>
      <c r="X196" s="272"/>
    </row>
    <row r="197" spans="1:24" s="284" customFormat="1" ht="25.5">
      <c r="A197" s="281"/>
      <c r="B197" s="281"/>
      <c r="C197" s="290">
        <v>4590</v>
      </c>
      <c r="D197" s="376" t="s">
        <v>64</v>
      </c>
      <c r="E197" s="283">
        <v>3500</v>
      </c>
      <c r="F197" s="262">
        <v>3500</v>
      </c>
      <c r="G197" s="262"/>
      <c r="H197" s="262"/>
      <c r="I197" s="377"/>
      <c r="J197" s="377"/>
      <c r="K197" s="377"/>
      <c r="L197" s="378"/>
      <c r="M197" s="378"/>
      <c r="N197" s="378">
        <v>1000</v>
      </c>
      <c r="O197" s="378">
        <f>E197+N197</f>
        <v>4500</v>
      </c>
      <c r="P197" s="378">
        <f>F197+N197</f>
        <v>4500</v>
      </c>
      <c r="Q197" s="378"/>
      <c r="R197" s="378"/>
      <c r="S197" s="378"/>
      <c r="T197" s="378"/>
      <c r="U197" s="378"/>
      <c r="V197" s="378"/>
      <c r="W197" s="378"/>
      <c r="X197" s="272"/>
    </row>
    <row r="198" spans="1:24" s="143" customFormat="1" ht="19.5" customHeight="1" thickBot="1">
      <c r="A198" s="29">
        <v>921</v>
      </c>
      <c r="B198" s="29"/>
      <c r="C198" s="29"/>
      <c r="D198" s="28" t="s">
        <v>697</v>
      </c>
      <c r="E198" s="30">
        <v>21468327</v>
      </c>
      <c r="F198" s="30">
        <v>19615667</v>
      </c>
      <c r="G198" s="30">
        <v>12000</v>
      </c>
      <c r="H198" s="30"/>
      <c r="I198" s="30">
        <v>18448467</v>
      </c>
      <c r="J198" s="30">
        <v>2980000</v>
      </c>
      <c r="K198" s="30"/>
      <c r="L198" s="30"/>
      <c r="M198" s="30">
        <v>1852660</v>
      </c>
      <c r="N198" s="30">
        <f>N199</f>
        <v>0</v>
      </c>
      <c r="O198" s="30">
        <f t="shared" si="9"/>
        <v>21468327</v>
      </c>
      <c r="P198" s="30">
        <f>F198+N201+N202+N203</f>
        <v>19615667</v>
      </c>
      <c r="Q198" s="30">
        <f>G198</f>
        <v>12000</v>
      </c>
      <c r="R198" s="30"/>
      <c r="S198" s="30">
        <f>I198</f>
        <v>18448467</v>
      </c>
      <c r="T198" s="30">
        <f>J198</f>
        <v>2980000</v>
      </c>
      <c r="U198" s="30"/>
      <c r="V198" s="30"/>
      <c r="W198" s="30">
        <f>M198</f>
        <v>1852660</v>
      </c>
      <c r="X198" s="272"/>
    </row>
    <row r="199" spans="1:24" s="143" customFormat="1" ht="19.5" customHeight="1">
      <c r="A199" s="278"/>
      <c r="B199" s="291">
        <v>92105</v>
      </c>
      <c r="C199" s="291"/>
      <c r="D199" s="280" t="s">
        <v>615</v>
      </c>
      <c r="E199" s="257">
        <v>927200</v>
      </c>
      <c r="F199" s="257">
        <v>927200</v>
      </c>
      <c r="G199" s="257">
        <v>12000</v>
      </c>
      <c r="H199" s="257"/>
      <c r="I199" s="257">
        <v>565000</v>
      </c>
      <c r="J199" s="257"/>
      <c r="K199" s="257"/>
      <c r="L199" s="257"/>
      <c r="M199" s="257"/>
      <c r="N199" s="257">
        <f>N200</f>
        <v>0</v>
      </c>
      <c r="O199" s="257">
        <f>E199+N199</f>
        <v>927200</v>
      </c>
      <c r="P199" s="257">
        <f>F199+N201+N202+N203</f>
        <v>927200</v>
      </c>
      <c r="Q199" s="257">
        <f>G199</f>
        <v>12000</v>
      </c>
      <c r="R199" s="257"/>
      <c r="S199" s="257">
        <f>I199</f>
        <v>565000</v>
      </c>
      <c r="T199" s="257"/>
      <c r="U199" s="257"/>
      <c r="V199" s="257"/>
      <c r="W199" s="257"/>
      <c r="X199" s="272"/>
    </row>
    <row r="200" spans="1:24" s="1118" customFormat="1" ht="25.5">
      <c r="A200" s="528"/>
      <c r="B200" s="528"/>
      <c r="C200" s="525"/>
      <c r="D200" s="1235" t="s">
        <v>129</v>
      </c>
      <c r="E200" s="1235">
        <v>20000</v>
      </c>
      <c r="F200" s="1235">
        <v>20000</v>
      </c>
      <c r="G200" s="1235">
        <v>12000</v>
      </c>
      <c r="H200" s="1235"/>
      <c r="I200" s="1235"/>
      <c r="J200" s="1235"/>
      <c r="K200" s="1235"/>
      <c r="L200" s="1235"/>
      <c r="M200" s="1235"/>
      <c r="N200" s="1235">
        <f>SUM(N201:N203)</f>
        <v>0</v>
      </c>
      <c r="O200" s="1235">
        <f t="shared" si="9"/>
        <v>20000</v>
      </c>
      <c r="P200" s="1235">
        <f>F200+N201+N202+N203</f>
        <v>20000</v>
      </c>
      <c r="Q200" s="1235">
        <f>G200</f>
        <v>12000</v>
      </c>
      <c r="R200" s="1235"/>
      <c r="S200" s="1235"/>
      <c r="T200" s="1235"/>
      <c r="U200" s="1235"/>
      <c r="V200" s="1235"/>
      <c r="W200" s="1235"/>
      <c r="X200" s="272"/>
    </row>
    <row r="201" spans="1:24" s="1118" customFormat="1" ht="18" customHeight="1">
      <c r="A201" s="528"/>
      <c r="B201" s="528"/>
      <c r="C201" s="1332">
        <v>4300</v>
      </c>
      <c r="D201" s="1236" t="s">
        <v>322</v>
      </c>
      <c r="E201" s="1236">
        <v>8000</v>
      </c>
      <c r="F201" s="1236">
        <v>8000</v>
      </c>
      <c r="G201" s="1236"/>
      <c r="H201" s="1236"/>
      <c r="I201" s="1236"/>
      <c r="J201" s="1236"/>
      <c r="K201" s="1236"/>
      <c r="L201" s="1236"/>
      <c r="M201" s="1236"/>
      <c r="N201" s="1236">
        <v>-2702</v>
      </c>
      <c r="O201" s="1236">
        <f>E201+N201</f>
        <v>5298</v>
      </c>
      <c r="P201" s="1236">
        <f>F201+N201</f>
        <v>5298</v>
      </c>
      <c r="Q201" s="1236"/>
      <c r="R201" s="1236"/>
      <c r="S201" s="1236"/>
      <c r="T201" s="1236"/>
      <c r="U201" s="1236"/>
      <c r="V201" s="1236"/>
      <c r="W201" s="1236"/>
      <c r="X201" s="272"/>
    </row>
    <row r="202" spans="1:24" s="1118" customFormat="1" ht="18" customHeight="1">
      <c r="A202" s="528"/>
      <c r="B202" s="528"/>
      <c r="C202" s="1332">
        <v>4350</v>
      </c>
      <c r="D202" s="1236" t="s">
        <v>120</v>
      </c>
      <c r="E202" s="1236"/>
      <c r="F202" s="1236"/>
      <c r="G202" s="1236"/>
      <c r="H202" s="1236"/>
      <c r="I202" s="1236"/>
      <c r="J202" s="1236"/>
      <c r="K202" s="1236"/>
      <c r="L202" s="1236"/>
      <c r="M202" s="1236"/>
      <c r="N202" s="1236">
        <v>702</v>
      </c>
      <c r="O202" s="1236">
        <f>E202+N202</f>
        <v>702</v>
      </c>
      <c r="P202" s="1236">
        <f>F202+N202</f>
        <v>702</v>
      </c>
      <c r="Q202" s="1236"/>
      <c r="R202" s="1236"/>
      <c r="S202" s="1236"/>
      <c r="T202" s="1236"/>
      <c r="U202" s="1236"/>
      <c r="V202" s="1236"/>
      <c r="W202" s="1236"/>
      <c r="X202" s="272"/>
    </row>
    <row r="203" spans="1:24" s="1118" customFormat="1" ht="18" customHeight="1">
      <c r="A203" s="528"/>
      <c r="B203" s="528"/>
      <c r="C203" s="1333">
        <v>4380</v>
      </c>
      <c r="D203" s="1237" t="s">
        <v>121</v>
      </c>
      <c r="E203" s="1237"/>
      <c r="F203" s="1237"/>
      <c r="G203" s="1237"/>
      <c r="H203" s="1237"/>
      <c r="I203" s="1237"/>
      <c r="J203" s="1237"/>
      <c r="K203" s="1237"/>
      <c r="L203" s="1237"/>
      <c r="M203" s="1237"/>
      <c r="N203" s="1237">
        <v>2000</v>
      </c>
      <c r="O203" s="1237">
        <f>E203+N203</f>
        <v>2000</v>
      </c>
      <c r="P203" s="1237">
        <f>F203+N203</f>
        <v>2000</v>
      </c>
      <c r="Q203" s="1237"/>
      <c r="R203" s="1237"/>
      <c r="S203" s="1237"/>
      <c r="T203" s="1237"/>
      <c r="U203" s="1237"/>
      <c r="V203" s="1237"/>
      <c r="W203" s="1237"/>
      <c r="X203" s="272"/>
    </row>
    <row r="204" spans="1:24" s="143" customFormat="1" ht="19.5" customHeight="1" thickBot="1">
      <c r="A204" s="29">
        <v>926</v>
      </c>
      <c r="B204" s="29"/>
      <c r="C204" s="29"/>
      <c r="D204" s="757" t="s">
        <v>601</v>
      </c>
      <c r="E204" s="30">
        <v>19665000</v>
      </c>
      <c r="F204" s="30">
        <v>9315000</v>
      </c>
      <c r="G204" s="30">
        <v>913290</v>
      </c>
      <c r="H204" s="30">
        <v>186710</v>
      </c>
      <c r="I204" s="30">
        <v>6720000</v>
      </c>
      <c r="J204" s="30">
        <v>495000</v>
      </c>
      <c r="K204" s="30"/>
      <c r="L204" s="30"/>
      <c r="M204" s="30">
        <v>10350000</v>
      </c>
      <c r="N204" s="30">
        <f>N205+N212</f>
        <v>0</v>
      </c>
      <c r="O204" s="30">
        <f aca="true" t="shared" si="12" ref="O204:O228">E204+N204</f>
        <v>19665000</v>
      </c>
      <c r="P204" s="30">
        <f>F204+N214+N215</f>
        <v>9315000</v>
      </c>
      <c r="Q204" s="30">
        <f>G204+N215</f>
        <v>913881</v>
      </c>
      <c r="R204" s="30">
        <f>H204+N214</f>
        <v>186119</v>
      </c>
      <c r="S204" s="30">
        <f aca="true" t="shared" si="13" ref="S204:T206">I204</f>
        <v>6720000</v>
      </c>
      <c r="T204" s="30">
        <f t="shared" si="13"/>
        <v>495000</v>
      </c>
      <c r="U204" s="30"/>
      <c r="V204" s="30"/>
      <c r="W204" s="30">
        <f>M204+N207+N208+N209+N210</f>
        <v>10350000</v>
      </c>
      <c r="X204" s="272"/>
    </row>
    <row r="205" spans="1:24" s="143" customFormat="1" ht="19.5" customHeight="1">
      <c r="A205" s="278"/>
      <c r="B205" s="291">
        <v>92604</v>
      </c>
      <c r="C205" s="291"/>
      <c r="D205" s="792" t="s">
        <v>754</v>
      </c>
      <c r="E205" s="257">
        <v>12900000</v>
      </c>
      <c r="F205" s="257">
        <v>3650000</v>
      </c>
      <c r="G205" s="257"/>
      <c r="H205" s="257"/>
      <c r="I205" s="257">
        <v>3650000</v>
      </c>
      <c r="J205" s="257">
        <v>350000</v>
      </c>
      <c r="K205" s="257"/>
      <c r="L205" s="257"/>
      <c r="M205" s="257">
        <v>9250000</v>
      </c>
      <c r="N205" s="257">
        <f>N206</f>
        <v>0</v>
      </c>
      <c r="O205" s="257">
        <f t="shared" si="12"/>
        <v>12900000</v>
      </c>
      <c r="P205" s="257">
        <f>F205</f>
        <v>3650000</v>
      </c>
      <c r="Q205" s="257"/>
      <c r="R205" s="257"/>
      <c r="S205" s="257">
        <f t="shared" si="13"/>
        <v>3650000</v>
      </c>
      <c r="T205" s="257">
        <f t="shared" si="13"/>
        <v>350000</v>
      </c>
      <c r="U205" s="257"/>
      <c r="V205" s="257"/>
      <c r="W205" s="257">
        <f>M205+N207+N208+N209+N210</f>
        <v>9250000</v>
      </c>
      <c r="X205" s="272"/>
    </row>
    <row r="206" spans="1:29" s="945" customFormat="1" ht="18" customHeight="1">
      <c r="A206" s="278"/>
      <c r="B206" s="278"/>
      <c r="C206" s="1238"/>
      <c r="D206" s="172" t="s">
        <v>758</v>
      </c>
      <c r="E206" s="1231">
        <v>12900000</v>
      </c>
      <c r="F206" s="1231">
        <v>3650000</v>
      </c>
      <c r="G206" s="1231"/>
      <c r="H206" s="1231"/>
      <c r="I206" s="1231">
        <v>3650000</v>
      </c>
      <c r="J206" s="1231">
        <v>350000</v>
      </c>
      <c r="K206" s="1231"/>
      <c r="L206" s="1231"/>
      <c r="M206" s="1231">
        <v>9250000</v>
      </c>
      <c r="N206" s="1500">
        <f>N211</f>
        <v>0</v>
      </c>
      <c r="O206" s="1500">
        <f t="shared" si="12"/>
        <v>12900000</v>
      </c>
      <c r="P206" s="1500">
        <f>F206</f>
        <v>3650000</v>
      </c>
      <c r="Q206" s="1500"/>
      <c r="R206" s="1500"/>
      <c r="S206" s="1500">
        <f t="shared" si="13"/>
        <v>3650000</v>
      </c>
      <c r="T206" s="1500">
        <f t="shared" si="13"/>
        <v>350000</v>
      </c>
      <c r="U206" s="1500"/>
      <c r="V206" s="1500"/>
      <c r="W206" s="1500">
        <f>M206+N207+N208+N209+N210</f>
        <v>9250000</v>
      </c>
      <c r="X206" s="272"/>
      <c r="Y206" s="143"/>
      <c r="Z206" s="143"/>
      <c r="AA206" s="143"/>
      <c r="AB206" s="143"/>
      <c r="AC206" s="143"/>
    </row>
    <row r="207" spans="1:24" s="284" customFormat="1" ht="25.5">
      <c r="A207" s="281"/>
      <c r="B207" s="281"/>
      <c r="C207" s="154"/>
      <c r="D207" s="793" t="s">
        <v>759</v>
      </c>
      <c r="E207" s="527">
        <v>1670000</v>
      </c>
      <c r="F207" s="527"/>
      <c r="G207" s="527"/>
      <c r="H207" s="527"/>
      <c r="I207" s="527"/>
      <c r="J207" s="527"/>
      <c r="K207" s="527"/>
      <c r="L207" s="527"/>
      <c r="M207" s="527">
        <v>1670000</v>
      </c>
      <c r="N207" s="527">
        <v>-1380000</v>
      </c>
      <c r="O207" s="548">
        <f t="shared" si="12"/>
        <v>290000</v>
      </c>
      <c r="P207" s="527"/>
      <c r="Q207" s="527"/>
      <c r="R207" s="527"/>
      <c r="S207" s="527"/>
      <c r="T207" s="527"/>
      <c r="U207" s="527"/>
      <c r="V207" s="527"/>
      <c r="W207" s="527">
        <f aca="true" t="shared" si="14" ref="W207:W212">M207+N207</f>
        <v>290000</v>
      </c>
      <c r="X207" s="272"/>
    </row>
    <row r="208" spans="1:24" s="284" customFormat="1" ht="25.5">
      <c r="A208" s="281"/>
      <c r="B208" s="281"/>
      <c r="C208" s="154"/>
      <c r="D208" s="793" t="s">
        <v>760</v>
      </c>
      <c r="E208" s="791">
        <v>500000</v>
      </c>
      <c r="F208" s="791"/>
      <c r="G208" s="791"/>
      <c r="H208" s="791"/>
      <c r="I208" s="791"/>
      <c r="J208" s="791"/>
      <c r="K208" s="791"/>
      <c r="L208" s="791"/>
      <c r="M208" s="791">
        <v>500000</v>
      </c>
      <c r="N208" s="791">
        <f>1000000-550000</f>
        <v>450000</v>
      </c>
      <c r="O208" s="791">
        <f t="shared" si="12"/>
        <v>950000</v>
      </c>
      <c r="P208" s="791"/>
      <c r="Q208" s="791"/>
      <c r="R208" s="791"/>
      <c r="S208" s="791"/>
      <c r="T208" s="791"/>
      <c r="U208" s="791"/>
      <c r="V208" s="791"/>
      <c r="W208" s="791">
        <f t="shared" si="14"/>
        <v>950000</v>
      </c>
      <c r="X208" s="272"/>
    </row>
    <row r="209" spans="1:24" s="284" customFormat="1" ht="25.5">
      <c r="A209" s="281"/>
      <c r="B209" s="281"/>
      <c r="C209" s="154"/>
      <c r="D209" s="794" t="s">
        <v>761</v>
      </c>
      <c r="E209" s="791">
        <v>2000000</v>
      </c>
      <c r="F209" s="791"/>
      <c r="G209" s="791"/>
      <c r="H209" s="791"/>
      <c r="I209" s="791"/>
      <c r="J209" s="791"/>
      <c r="K209" s="791"/>
      <c r="L209" s="791"/>
      <c r="M209" s="791">
        <v>2000000</v>
      </c>
      <c r="N209" s="791">
        <v>380000</v>
      </c>
      <c r="O209" s="886">
        <f t="shared" si="12"/>
        <v>2380000</v>
      </c>
      <c r="P209" s="791"/>
      <c r="Q209" s="791"/>
      <c r="R209" s="791"/>
      <c r="S209" s="791"/>
      <c r="T209" s="791"/>
      <c r="U209" s="791"/>
      <c r="V209" s="791"/>
      <c r="W209" s="791">
        <f t="shared" si="14"/>
        <v>2380000</v>
      </c>
      <c r="X209" s="272"/>
    </row>
    <row r="210" spans="1:24" s="284" customFormat="1" ht="17.25" customHeight="1">
      <c r="A210" s="281"/>
      <c r="B210" s="281"/>
      <c r="C210" s="154"/>
      <c r="D210" s="794" t="s">
        <v>23</v>
      </c>
      <c r="E210" s="1336">
        <v>1300000</v>
      </c>
      <c r="F210" s="1336"/>
      <c r="G210" s="1336"/>
      <c r="H210" s="1336"/>
      <c r="I210" s="1336"/>
      <c r="J210" s="1336"/>
      <c r="K210" s="1336"/>
      <c r="L210" s="1336"/>
      <c r="M210" s="1336">
        <v>1300000</v>
      </c>
      <c r="N210" s="1336">
        <v>550000</v>
      </c>
      <c r="O210" s="886">
        <f t="shared" si="12"/>
        <v>1850000</v>
      </c>
      <c r="P210" s="1336"/>
      <c r="Q210" s="1336"/>
      <c r="R210" s="1336"/>
      <c r="S210" s="1336"/>
      <c r="T210" s="1336"/>
      <c r="U210" s="1336"/>
      <c r="V210" s="1336"/>
      <c r="W210" s="791">
        <f t="shared" si="14"/>
        <v>1850000</v>
      </c>
      <c r="X210" s="272"/>
    </row>
    <row r="211" spans="1:24" s="284" customFormat="1" ht="38.25">
      <c r="A211" s="281"/>
      <c r="B211" s="281"/>
      <c r="C211" s="33">
        <v>6210</v>
      </c>
      <c r="D211" s="385" t="s">
        <v>762</v>
      </c>
      <c r="E211" s="530">
        <v>9250000</v>
      </c>
      <c r="F211" s="530"/>
      <c r="G211" s="530"/>
      <c r="H211" s="530"/>
      <c r="I211" s="530"/>
      <c r="J211" s="530"/>
      <c r="K211" s="530"/>
      <c r="L211" s="530"/>
      <c r="M211" s="530">
        <v>9250000</v>
      </c>
      <c r="N211" s="530">
        <f>SUM(N207:N210)</f>
        <v>0</v>
      </c>
      <c r="O211" s="530">
        <f t="shared" si="12"/>
        <v>9250000</v>
      </c>
      <c r="P211" s="530"/>
      <c r="Q211" s="530"/>
      <c r="R211" s="530"/>
      <c r="S211" s="530"/>
      <c r="T211" s="530"/>
      <c r="U211" s="530"/>
      <c r="V211" s="530"/>
      <c r="W211" s="530">
        <f t="shared" si="14"/>
        <v>9250000</v>
      </c>
      <c r="X211" s="272"/>
    </row>
    <row r="212" spans="1:24" s="143" customFormat="1" ht="18.75" customHeight="1">
      <c r="A212" s="278"/>
      <c r="B212" s="291">
        <v>92605</v>
      </c>
      <c r="C212" s="279"/>
      <c r="D212" s="792" t="s">
        <v>602</v>
      </c>
      <c r="E212" s="257">
        <v>6020000</v>
      </c>
      <c r="F212" s="257">
        <v>5120000</v>
      </c>
      <c r="G212" s="257">
        <v>913290</v>
      </c>
      <c r="H212" s="257">
        <v>186710</v>
      </c>
      <c r="I212" s="257">
        <v>2860000</v>
      </c>
      <c r="J212" s="257"/>
      <c r="K212" s="257"/>
      <c r="L212" s="257"/>
      <c r="M212" s="257">
        <v>900000</v>
      </c>
      <c r="N212" s="257">
        <f>N213</f>
        <v>0</v>
      </c>
      <c r="O212" s="257">
        <f>E212+N212</f>
        <v>6020000</v>
      </c>
      <c r="P212" s="257">
        <f>F212+N214+N215</f>
        <v>5120000</v>
      </c>
      <c r="Q212" s="257">
        <f>G212+N215</f>
        <v>913881</v>
      </c>
      <c r="R212" s="257">
        <f>H212+N214</f>
        <v>186119</v>
      </c>
      <c r="S212" s="257">
        <f>I212</f>
        <v>2860000</v>
      </c>
      <c r="T212" s="257"/>
      <c r="U212" s="257"/>
      <c r="V212" s="257"/>
      <c r="W212" s="257">
        <f t="shared" si="14"/>
        <v>900000</v>
      </c>
      <c r="X212" s="272"/>
    </row>
    <row r="213" spans="1:24" s="143" customFormat="1" ht="17.25" customHeight="1">
      <c r="A213" s="278"/>
      <c r="B213" s="278"/>
      <c r="C213" s="278"/>
      <c r="D213" s="21" t="s">
        <v>75</v>
      </c>
      <c r="E213" s="550">
        <v>1100000</v>
      </c>
      <c r="F213" s="550">
        <v>1100000</v>
      </c>
      <c r="G213" s="550">
        <v>913290</v>
      </c>
      <c r="H213" s="550">
        <v>186710</v>
      </c>
      <c r="I213" s="550"/>
      <c r="J213" s="550"/>
      <c r="K213" s="550"/>
      <c r="L213" s="550"/>
      <c r="M213" s="550"/>
      <c r="N213" s="550">
        <f>SUM(N214:N215)</f>
        <v>0</v>
      </c>
      <c r="O213" s="550">
        <f>E213+N213</f>
        <v>1100000</v>
      </c>
      <c r="P213" s="550">
        <f>F213+N214+N215</f>
        <v>1100000</v>
      </c>
      <c r="Q213" s="550">
        <f>G213+N215</f>
        <v>913881</v>
      </c>
      <c r="R213" s="550">
        <f>H213+N214</f>
        <v>186119</v>
      </c>
      <c r="S213" s="550"/>
      <c r="T213" s="550"/>
      <c r="U213" s="550"/>
      <c r="V213" s="550"/>
      <c r="W213" s="550"/>
      <c r="X213" s="272"/>
    </row>
    <row r="214" spans="1:24" s="284" customFormat="1" ht="17.25" customHeight="1">
      <c r="A214" s="281"/>
      <c r="B214" s="281"/>
      <c r="C214" s="282">
        <v>4110</v>
      </c>
      <c r="D214" s="177" t="s">
        <v>696</v>
      </c>
      <c r="E214" s="283">
        <v>164225</v>
      </c>
      <c r="F214" s="258">
        <v>164225</v>
      </c>
      <c r="G214" s="258"/>
      <c r="H214" s="258">
        <v>164225</v>
      </c>
      <c r="I214" s="258"/>
      <c r="J214" s="258"/>
      <c r="K214" s="258"/>
      <c r="L214" s="258"/>
      <c r="M214" s="258"/>
      <c r="N214" s="258">
        <v>-591</v>
      </c>
      <c r="O214" s="258">
        <f>E214+N214</f>
        <v>163634</v>
      </c>
      <c r="P214" s="258">
        <f>F214+N214</f>
        <v>163634</v>
      </c>
      <c r="Q214" s="258"/>
      <c r="R214" s="258">
        <f>H214+N214</f>
        <v>163634</v>
      </c>
      <c r="S214" s="258"/>
      <c r="T214" s="258"/>
      <c r="U214" s="258"/>
      <c r="V214" s="258"/>
      <c r="W214" s="258"/>
      <c r="X214" s="272"/>
    </row>
    <row r="215" spans="1:24" s="284" customFormat="1" ht="17.25" customHeight="1">
      <c r="A215" s="281"/>
      <c r="B215" s="281"/>
      <c r="C215" s="290">
        <v>4170</v>
      </c>
      <c r="D215" s="376" t="s">
        <v>320</v>
      </c>
      <c r="E215" s="283">
        <v>913290</v>
      </c>
      <c r="F215" s="262">
        <v>913290</v>
      </c>
      <c r="G215" s="262">
        <v>913290</v>
      </c>
      <c r="H215" s="262"/>
      <c r="I215" s="377"/>
      <c r="J215" s="377"/>
      <c r="K215" s="377"/>
      <c r="L215" s="378"/>
      <c r="M215" s="378"/>
      <c r="N215" s="378">
        <v>591</v>
      </c>
      <c r="O215" s="258">
        <f>E215+N215</f>
        <v>913881</v>
      </c>
      <c r="P215" s="258">
        <f>F215+N215</f>
        <v>913881</v>
      </c>
      <c r="Q215" s="378">
        <f>G215+N215</f>
        <v>913881</v>
      </c>
      <c r="R215" s="378"/>
      <c r="S215" s="378"/>
      <c r="T215" s="378"/>
      <c r="U215" s="378"/>
      <c r="V215" s="378"/>
      <c r="W215" s="378"/>
      <c r="X215" s="272"/>
    </row>
    <row r="216" spans="1:23" s="143" customFormat="1" ht="25.5" customHeight="1" thickBot="1">
      <c r="A216" s="278"/>
      <c r="B216" s="278"/>
      <c r="C216" s="278"/>
      <c r="D216" s="288" t="s">
        <v>195</v>
      </c>
      <c r="E216" s="259">
        <v>5063131</v>
      </c>
      <c r="F216" s="259">
        <v>4745131</v>
      </c>
      <c r="G216" s="259">
        <v>1350507</v>
      </c>
      <c r="H216" s="259">
        <v>226041</v>
      </c>
      <c r="I216" s="259">
        <v>1387655</v>
      </c>
      <c r="J216" s="259"/>
      <c r="K216" s="259"/>
      <c r="L216" s="259"/>
      <c r="M216" s="259">
        <v>318000</v>
      </c>
      <c r="N216" s="259">
        <f>N217</f>
        <v>11558</v>
      </c>
      <c r="O216" s="259">
        <f t="shared" si="12"/>
        <v>5074689</v>
      </c>
      <c r="P216" s="259">
        <f>F216+N221+N223+N224+N225+N222</f>
        <v>4756689</v>
      </c>
      <c r="Q216" s="259">
        <f>G216</f>
        <v>1350507</v>
      </c>
      <c r="R216" s="259">
        <f>H216</f>
        <v>226041</v>
      </c>
      <c r="S216" s="259">
        <f>I216+N221+N222</f>
        <v>1397963</v>
      </c>
      <c r="T216" s="259"/>
      <c r="U216" s="259"/>
      <c r="V216" s="259"/>
      <c r="W216" s="259">
        <f>M216</f>
        <v>318000</v>
      </c>
    </row>
    <row r="217" spans="1:23" s="143" customFormat="1" ht="18.75" customHeight="1" thickBot="1" thickTop="1">
      <c r="A217" s="29">
        <v>853</v>
      </c>
      <c r="B217" s="29"/>
      <c r="C217" s="29"/>
      <c r="D217" s="28" t="s">
        <v>389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>
        <f>N218</f>
        <v>11558</v>
      </c>
      <c r="O217" s="30">
        <f t="shared" si="12"/>
        <v>11558</v>
      </c>
      <c r="P217" s="30">
        <f>F217+N221+N223+N224+N225+N222</f>
        <v>11558</v>
      </c>
      <c r="Q217" s="30"/>
      <c r="R217" s="30"/>
      <c r="S217" s="30">
        <f>I217+N221+N222</f>
        <v>10308</v>
      </c>
      <c r="T217" s="30"/>
      <c r="U217" s="30"/>
      <c r="V217" s="30"/>
      <c r="W217" s="30"/>
    </row>
    <row r="218" spans="1:23" s="143" customFormat="1" ht="24.75" customHeight="1">
      <c r="A218" s="173"/>
      <c r="B218" s="291">
        <v>85311</v>
      </c>
      <c r="C218" s="291"/>
      <c r="D218" s="792" t="s">
        <v>216</v>
      </c>
      <c r="E218" s="261"/>
      <c r="F218" s="261"/>
      <c r="G218" s="261"/>
      <c r="H218" s="261"/>
      <c r="I218" s="261"/>
      <c r="J218" s="261"/>
      <c r="K218" s="261"/>
      <c r="L218" s="261"/>
      <c r="M218" s="261"/>
      <c r="N218" s="261">
        <f>N219</f>
        <v>11558</v>
      </c>
      <c r="O218" s="261">
        <f t="shared" si="12"/>
        <v>11558</v>
      </c>
      <c r="P218" s="261">
        <f>F218+N221+N223+N224+N225+N222</f>
        <v>11558</v>
      </c>
      <c r="Q218" s="261"/>
      <c r="R218" s="261"/>
      <c r="S218" s="261">
        <f>I218+N221+N222</f>
        <v>10308</v>
      </c>
      <c r="T218" s="261"/>
      <c r="U218" s="261"/>
      <c r="V218" s="261"/>
      <c r="W218" s="261"/>
    </row>
    <row r="219" spans="1:29" s="1123" customFormat="1" ht="17.25" customHeight="1">
      <c r="A219" s="278"/>
      <c r="B219" s="278"/>
      <c r="C219" s="786"/>
      <c r="D219" s="1122" t="s">
        <v>220</v>
      </c>
      <c r="E219" s="1129"/>
      <c r="F219" s="1129"/>
      <c r="G219" s="1129"/>
      <c r="H219" s="1129"/>
      <c r="I219" s="1129"/>
      <c r="J219" s="1129"/>
      <c r="K219" s="1129"/>
      <c r="L219" s="1129"/>
      <c r="M219" s="1129"/>
      <c r="N219" s="970">
        <f>N220</f>
        <v>11558</v>
      </c>
      <c r="O219" s="970">
        <f t="shared" si="12"/>
        <v>11558</v>
      </c>
      <c r="P219" s="970">
        <f>F219+N221+N223+N224+N225+N222</f>
        <v>11558</v>
      </c>
      <c r="Q219" s="970"/>
      <c r="R219" s="970"/>
      <c r="S219" s="970">
        <f>I219+N221+N222</f>
        <v>10308</v>
      </c>
      <c r="T219" s="970"/>
      <c r="U219" s="970"/>
      <c r="V219" s="970"/>
      <c r="W219" s="970"/>
      <c r="X219" s="143"/>
      <c r="Y219" s="143"/>
      <c r="Z219" s="143"/>
      <c r="AA219" s="143"/>
      <c r="AB219" s="143"/>
      <c r="AC219" s="143"/>
    </row>
    <row r="220" spans="1:24" s="284" customFormat="1" ht="17.25" customHeight="1">
      <c r="A220" s="281"/>
      <c r="B220" s="281"/>
      <c r="C220" s="379"/>
      <c r="D220" s="1137" t="s">
        <v>218</v>
      </c>
      <c r="E220" s="1119"/>
      <c r="F220" s="1119"/>
      <c r="G220" s="1119"/>
      <c r="H220" s="1119"/>
      <c r="I220" s="1119"/>
      <c r="J220" s="1119"/>
      <c r="K220" s="1119"/>
      <c r="L220" s="1119"/>
      <c r="M220" s="1119"/>
      <c r="N220" s="971">
        <f>SUM(N221:N225)</f>
        <v>11558</v>
      </c>
      <c r="O220" s="971">
        <f t="shared" si="12"/>
        <v>11558</v>
      </c>
      <c r="P220" s="971">
        <f>F220+N221+N223+N224+N225+N222</f>
        <v>11558</v>
      </c>
      <c r="Q220" s="971"/>
      <c r="R220" s="971"/>
      <c r="S220" s="971">
        <f>I220+N221+N222</f>
        <v>10308</v>
      </c>
      <c r="T220" s="971"/>
      <c r="U220" s="971"/>
      <c r="V220" s="971"/>
      <c r="W220" s="971"/>
      <c r="X220" s="143"/>
    </row>
    <row r="221" spans="1:24" s="284" customFormat="1" ht="25.5">
      <c r="A221" s="281"/>
      <c r="B221" s="281"/>
      <c r="C221" s="985">
        <v>2570</v>
      </c>
      <c r="D221" s="974" t="s">
        <v>219</v>
      </c>
      <c r="E221" s="283"/>
      <c r="F221" s="283"/>
      <c r="G221" s="283"/>
      <c r="H221" s="283"/>
      <c r="I221" s="283"/>
      <c r="J221" s="283"/>
      <c r="K221" s="283"/>
      <c r="L221" s="283"/>
      <c r="M221" s="283"/>
      <c r="N221" s="283">
        <v>3516</v>
      </c>
      <c r="O221" s="283">
        <f t="shared" si="12"/>
        <v>3516</v>
      </c>
      <c r="P221" s="283">
        <f>F221+N221</f>
        <v>3516</v>
      </c>
      <c r="Q221" s="283"/>
      <c r="R221" s="283"/>
      <c r="S221" s="283">
        <f>I221+N221</f>
        <v>3516</v>
      </c>
      <c r="T221" s="283"/>
      <c r="U221" s="283"/>
      <c r="V221" s="283"/>
      <c r="W221" s="283"/>
      <c r="X221" s="143"/>
    </row>
    <row r="222" spans="1:24" s="284" customFormat="1" ht="25.5">
      <c r="A222" s="281"/>
      <c r="B222" s="281"/>
      <c r="C222" s="985">
        <v>2580</v>
      </c>
      <c r="D222" s="127" t="s">
        <v>755</v>
      </c>
      <c r="E222" s="258"/>
      <c r="F222" s="258"/>
      <c r="G222" s="258"/>
      <c r="H222" s="258"/>
      <c r="I222" s="258"/>
      <c r="J222" s="258"/>
      <c r="K222" s="258"/>
      <c r="L222" s="258"/>
      <c r="M222" s="258"/>
      <c r="N222" s="258">
        <v>6792</v>
      </c>
      <c r="O222" s="283">
        <f t="shared" si="12"/>
        <v>6792</v>
      </c>
      <c r="P222" s="283">
        <f>F222+N222</f>
        <v>6792</v>
      </c>
      <c r="Q222" s="258"/>
      <c r="R222" s="258"/>
      <c r="S222" s="283">
        <f>I222+N222</f>
        <v>6792</v>
      </c>
      <c r="T222" s="258"/>
      <c r="U222" s="258"/>
      <c r="V222" s="258"/>
      <c r="W222" s="258"/>
      <c r="X222" s="143"/>
    </row>
    <row r="223" spans="1:24" s="284" customFormat="1" ht="17.25" customHeight="1">
      <c r="A223" s="281"/>
      <c r="B223" s="281"/>
      <c r="C223" s="985">
        <v>4210</v>
      </c>
      <c r="D223" s="974" t="s">
        <v>321</v>
      </c>
      <c r="E223" s="258"/>
      <c r="F223" s="258"/>
      <c r="G223" s="258"/>
      <c r="H223" s="258"/>
      <c r="I223" s="258"/>
      <c r="J223" s="258"/>
      <c r="K223" s="258"/>
      <c r="L223" s="258"/>
      <c r="M223" s="258"/>
      <c r="N223" s="258">
        <v>1150</v>
      </c>
      <c r="O223" s="283">
        <f t="shared" si="12"/>
        <v>1150</v>
      </c>
      <c r="P223" s="283">
        <f>F223+N223</f>
        <v>1150</v>
      </c>
      <c r="Q223" s="258"/>
      <c r="R223" s="258"/>
      <c r="S223" s="258"/>
      <c r="T223" s="258"/>
      <c r="U223" s="258"/>
      <c r="V223" s="258"/>
      <c r="W223" s="258"/>
      <c r="X223" s="143"/>
    </row>
    <row r="224" spans="1:24" s="284" customFormat="1" ht="17.25" customHeight="1">
      <c r="A224" s="281"/>
      <c r="B224" s="281"/>
      <c r="C224" s="985">
        <v>4300</v>
      </c>
      <c r="D224" s="974" t="s">
        <v>322</v>
      </c>
      <c r="E224" s="262"/>
      <c r="F224" s="262"/>
      <c r="G224" s="262"/>
      <c r="H224" s="262"/>
      <c r="I224" s="262"/>
      <c r="J224" s="262"/>
      <c r="K224" s="262"/>
      <c r="L224" s="262"/>
      <c r="M224" s="262"/>
      <c r="N224" s="528">
        <v>30</v>
      </c>
      <c r="O224" s="528">
        <f t="shared" si="12"/>
        <v>30</v>
      </c>
      <c r="P224" s="283">
        <f>F224+N224</f>
        <v>30</v>
      </c>
      <c r="Q224" s="528"/>
      <c r="R224" s="528"/>
      <c r="S224" s="528"/>
      <c r="T224" s="528"/>
      <c r="U224" s="528"/>
      <c r="V224" s="528"/>
      <c r="W224" s="528"/>
      <c r="X224" s="143"/>
    </row>
    <row r="225" spans="1:24" s="284" customFormat="1" ht="25.5">
      <c r="A225" s="282"/>
      <c r="B225" s="282"/>
      <c r="C225" s="1493">
        <v>4740</v>
      </c>
      <c r="D225" s="387" t="s">
        <v>135</v>
      </c>
      <c r="E225" s="262"/>
      <c r="F225" s="262"/>
      <c r="G225" s="262"/>
      <c r="H225" s="262"/>
      <c r="I225" s="262"/>
      <c r="J225" s="262"/>
      <c r="K225" s="262"/>
      <c r="L225" s="262"/>
      <c r="M225" s="262"/>
      <c r="N225" s="262">
        <v>70</v>
      </c>
      <c r="O225" s="262">
        <f t="shared" si="12"/>
        <v>70</v>
      </c>
      <c r="P225" s="262">
        <f>F225+N225</f>
        <v>70</v>
      </c>
      <c r="Q225" s="262"/>
      <c r="R225" s="262"/>
      <c r="S225" s="262"/>
      <c r="T225" s="262"/>
      <c r="U225" s="262"/>
      <c r="V225" s="262"/>
      <c r="W225" s="262"/>
      <c r="X225" s="143"/>
    </row>
    <row r="226" spans="1:24" s="284" customFormat="1" ht="12.75">
      <c r="A226" s="469"/>
      <c r="B226" s="469"/>
      <c r="C226" s="1456"/>
      <c r="D226" s="1443"/>
      <c r="E226" s="1331"/>
      <c r="F226" s="1331"/>
      <c r="G226" s="1331"/>
      <c r="H226" s="1331"/>
      <c r="I226" s="1331"/>
      <c r="J226" s="1331"/>
      <c r="K226" s="1331"/>
      <c r="L226" s="1331"/>
      <c r="M226" s="1331"/>
      <c r="N226" s="1331"/>
      <c r="O226" s="1331"/>
      <c r="P226" s="1331"/>
      <c r="Q226" s="1331"/>
      <c r="R226" s="1331"/>
      <c r="S226" s="1331"/>
      <c r="T226" s="1331"/>
      <c r="U226" s="1331"/>
      <c r="V226" s="1331"/>
      <c r="W226" s="1331"/>
      <c r="X226" s="143"/>
    </row>
    <row r="227" spans="3:24" s="469" customFormat="1" ht="27.75" customHeight="1">
      <c r="C227" s="1456"/>
      <c r="D227" s="1443"/>
      <c r="E227" s="1331"/>
      <c r="F227" s="1331"/>
      <c r="G227" s="1331"/>
      <c r="H227" s="1331"/>
      <c r="I227" s="1331"/>
      <c r="J227" s="1331"/>
      <c r="K227" s="1331"/>
      <c r="L227" s="1331"/>
      <c r="M227" s="1331"/>
      <c r="N227" s="1331"/>
      <c r="O227" s="1331"/>
      <c r="P227" s="1331"/>
      <c r="Q227" s="1331"/>
      <c r="R227" s="1331"/>
      <c r="S227" s="1331"/>
      <c r="T227" s="1331"/>
      <c r="U227" s="1331"/>
      <c r="V227" s="1331"/>
      <c r="W227" s="1331"/>
      <c r="X227" s="466"/>
    </row>
    <row r="228" spans="1:23" s="143" customFormat="1" ht="21" customHeight="1" thickBot="1">
      <c r="A228" s="278"/>
      <c r="B228" s="278"/>
      <c r="C228" s="278"/>
      <c r="D228" s="289" t="s">
        <v>193</v>
      </c>
      <c r="E228" s="260">
        <v>111901292</v>
      </c>
      <c r="F228" s="260">
        <v>111656292</v>
      </c>
      <c r="G228" s="260">
        <v>14500218</v>
      </c>
      <c r="H228" s="260">
        <v>887829</v>
      </c>
      <c r="I228" s="260">
        <v>3712100</v>
      </c>
      <c r="J228" s="260">
        <v>460000</v>
      </c>
      <c r="K228" s="260"/>
      <c r="L228" s="260"/>
      <c r="M228" s="260">
        <v>245000</v>
      </c>
      <c r="N228" s="260">
        <f>N230+N235</f>
        <v>1215171</v>
      </c>
      <c r="O228" s="260">
        <f t="shared" si="12"/>
        <v>113116463</v>
      </c>
      <c r="P228" s="260">
        <f>F228+N260+N250+N251+N252+N253+N234+N243+N244+N245+N246+N239+N261+N254</f>
        <v>112771463</v>
      </c>
      <c r="Q228" s="260">
        <f>G228+N250+N251+N252+N253</f>
        <v>15348218</v>
      </c>
      <c r="R228" s="260">
        <f>H228</f>
        <v>887829</v>
      </c>
      <c r="S228" s="260">
        <f>I228</f>
        <v>3712100</v>
      </c>
      <c r="T228" s="260">
        <f>J228</f>
        <v>460000</v>
      </c>
      <c r="U228" s="260"/>
      <c r="V228" s="260"/>
      <c r="W228" s="260">
        <f>M228+N256</f>
        <v>345000</v>
      </c>
    </row>
    <row r="229" spans="1:23" s="143" customFormat="1" ht="15" customHeight="1" thickTop="1">
      <c r="A229" s="278"/>
      <c r="B229" s="278"/>
      <c r="C229" s="278"/>
      <c r="D229" s="731" t="s">
        <v>182</v>
      </c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</row>
    <row r="230" spans="1:23" s="143" customFormat="1" ht="21" customHeight="1" thickBot="1">
      <c r="A230" s="278"/>
      <c r="B230" s="278"/>
      <c r="C230" s="278"/>
      <c r="D230" s="288" t="s">
        <v>614</v>
      </c>
      <c r="E230" s="259">
        <v>87743885</v>
      </c>
      <c r="F230" s="259">
        <v>87743885</v>
      </c>
      <c r="G230" s="259">
        <v>2647319</v>
      </c>
      <c r="H230" s="259">
        <v>481394</v>
      </c>
      <c r="I230" s="259">
        <v>1223000</v>
      </c>
      <c r="J230" s="259"/>
      <c r="K230" s="259"/>
      <c r="L230" s="259"/>
      <c r="M230" s="259"/>
      <c r="N230" s="259">
        <f>N231</f>
        <v>23600</v>
      </c>
      <c r="O230" s="259">
        <f aca="true" t="shared" si="15" ref="O230:O239">E230+N230</f>
        <v>87767485</v>
      </c>
      <c r="P230" s="259">
        <f>F230+N234</f>
        <v>87767485</v>
      </c>
      <c r="Q230" s="259">
        <f aca="true" t="shared" si="16" ref="Q230:S231">G230</f>
        <v>2647319</v>
      </c>
      <c r="R230" s="259">
        <f t="shared" si="16"/>
        <v>481394</v>
      </c>
      <c r="S230" s="259">
        <f t="shared" si="16"/>
        <v>1223000</v>
      </c>
      <c r="T230" s="259"/>
      <c r="U230" s="259"/>
      <c r="V230" s="259"/>
      <c r="W230" s="259"/>
    </row>
    <row r="231" spans="1:23" s="143" customFormat="1" ht="19.5" customHeight="1" thickBot="1" thickTop="1">
      <c r="A231" s="29">
        <v>852</v>
      </c>
      <c r="B231" s="29"/>
      <c r="C231" s="29"/>
      <c r="D231" s="28" t="s">
        <v>324</v>
      </c>
      <c r="E231" s="30">
        <v>86034552</v>
      </c>
      <c r="F231" s="30">
        <v>86034552</v>
      </c>
      <c r="G231" s="30">
        <v>1317653</v>
      </c>
      <c r="H231" s="30">
        <v>263923</v>
      </c>
      <c r="I231" s="30">
        <v>1189000</v>
      </c>
      <c r="J231" s="30"/>
      <c r="K231" s="30"/>
      <c r="L231" s="30"/>
      <c r="M231" s="30"/>
      <c r="N231" s="30">
        <f>N232</f>
        <v>23600</v>
      </c>
      <c r="O231" s="30">
        <f t="shared" si="15"/>
        <v>86058152</v>
      </c>
      <c r="P231" s="946">
        <f>F231+N234</f>
        <v>86058152</v>
      </c>
      <c r="Q231" s="946">
        <f t="shared" si="16"/>
        <v>1317653</v>
      </c>
      <c r="R231" s="946">
        <f t="shared" si="16"/>
        <v>263923</v>
      </c>
      <c r="S231" s="946">
        <f t="shared" si="16"/>
        <v>1189000</v>
      </c>
      <c r="T231" s="946"/>
      <c r="U231" s="30"/>
      <c r="V231" s="30"/>
      <c r="W231" s="30"/>
    </row>
    <row r="232" spans="1:23" s="143" customFormat="1" ht="18.75" customHeight="1">
      <c r="A232" s="278"/>
      <c r="B232" s="637">
        <v>85278</v>
      </c>
      <c r="C232" s="847"/>
      <c r="D232" s="1301" t="s">
        <v>157</v>
      </c>
      <c r="E232" s="910">
        <v>37552</v>
      </c>
      <c r="F232" s="910">
        <v>37552</v>
      </c>
      <c r="G232" s="910"/>
      <c r="H232" s="910"/>
      <c r="I232" s="910"/>
      <c r="J232" s="910"/>
      <c r="K232" s="910"/>
      <c r="L232" s="910"/>
      <c r="M232" s="910"/>
      <c r="N232" s="947">
        <f>N233</f>
        <v>23600</v>
      </c>
      <c r="O232" s="947">
        <f t="shared" si="15"/>
        <v>61152</v>
      </c>
      <c r="P232" s="947">
        <f>F232+N234</f>
        <v>61152</v>
      </c>
      <c r="Q232" s="947"/>
      <c r="R232" s="947"/>
      <c r="S232" s="947"/>
      <c r="T232" s="947"/>
      <c r="U232" s="947"/>
      <c r="V232" s="947"/>
      <c r="W232" s="947"/>
    </row>
    <row r="233" spans="1:29" s="945" customFormat="1" ht="25.5" customHeight="1">
      <c r="A233" s="278"/>
      <c r="B233" s="278"/>
      <c r="C233" s="786"/>
      <c r="D233" s="1110" t="s">
        <v>544</v>
      </c>
      <c r="E233" s="944">
        <v>37552</v>
      </c>
      <c r="F233" s="944">
        <v>37552</v>
      </c>
      <c r="G233" s="944"/>
      <c r="H233" s="944"/>
      <c r="I233" s="944"/>
      <c r="J233" s="944"/>
      <c r="K233" s="944"/>
      <c r="L233" s="944"/>
      <c r="M233" s="944"/>
      <c r="N233" s="562">
        <f>N234</f>
        <v>23600</v>
      </c>
      <c r="O233" s="562">
        <f t="shared" si="15"/>
        <v>61152</v>
      </c>
      <c r="P233" s="562">
        <f>F233+N234</f>
        <v>61152</v>
      </c>
      <c r="Q233" s="562"/>
      <c r="R233" s="562"/>
      <c r="S233" s="562"/>
      <c r="T233" s="562"/>
      <c r="U233" s="562"/>
      <c r="V233" s="562"/>
      <c r="W233" s="562"/>
      <c r="X233" s="143"/>
      <c r="Y233" s="143"/>
      <c r="Z233" s="143"/>
      <c r="AA233" s="143"/>
      <c r="AB233" s="143"/>
      <c r="AC233" s="143"/>
    </row>
    <row r="234" spans="1:29" s="285" customFormat="1" ht="18" customHeight="1">
      <c r="A234" s="282"/>
      <c r="B234" s="282"/>
      <c r="C234" s="787">
        <v>3110</v>
      </c>
      <c r="D234" s="1127" t="s">
        <v>725</v>
      </c>
      <c r="E234" s="788">
        <v>37552</v>
      </c>
      <c r="F234" s="788">
        <v>37552</v>
      </c>
      <c r="G234" s="788"/>
      <c r="H234" s="788"/>
      <c r="I234" s="788"/>
      <c r="J234" s="788"/>
      <c r="K234" s="788"/>
      <c r="L234" s="788"/>
      <c r="M234" s="788"/>
      <c r="N234" s="283">
        <v>23600</v>
      </c>
      <c r="O234" s="283">
        <f t="shared" si="15"/>
        <v>61152</v>
      </c>
      <c r="P234" s="283">
        <f>F234+N234</f>
        <v>61152</v>
      </c>
      <c r="Q234" s="283"/>
      <c r="R234" s="283"/>
      <c r="S234" s="283"/>
      <c r="T234" s="283"/>
      <c r="U234" s="283"/>
      <c r="V234" s="283"/>
      <c r="W234" s="283"/>
      <c r="X234" s="143"/>
      <c r="Y234" s="284"/>
      <c r="Z234" s="284"/>
      <c r="AA234" s="284"/>
      <c r="AB234" s="284"/>
      <c r="AC234" s="284"/>
    </row>
    <row r="235" spans="1:23" s="143" customFormat="1" ht="26.25" thickBot="1">
      <c r="A235" s="1427"/>
      <c r="B235" s="1427"/>
      <c r="C235" s="278"/>
      <c r="D235" s="288" t="s">
        <v>308</v>
      </c>
      <c r="E235" s="259">
        <v>24157407</v>
      </c>
      <c r="F235" s="259">
        <v>23912407</v>
      </c>
      <c r="G235" s="259">
        <v>11852899</v>
      </c>
      <c r="H235" s="259">
        <v>406435</v>
      </c>
      <c r="I235" s="259">
        <v>2489100</v>
      </c>
      <c r="J235" s="259">
        <v>460000</v>
      </c>
      <c r="K235" s="259"/>
      <c r="L235" s="259"/>
      <c r="M235" s="259">
        <v>245000</v>
      </c>
      <c r="N235" s="259">
        <f>N257+N247+N240+N236</f>
        <v>1191571</v>
      </c>
      <c r="O235" s="259">
        <f t="shared" si="15"/>
        <v>25348978</v>
      </c>
      <c r="P235" s="259">
        <f>F235+N260+N250+N251+N252+N253+N243+N244+N245+N246+N239+N261+N254</f>
        <v>25003978</v>
      </c>
      <c r="Q235" s="259">
        <f>G235+N250+N251+N252+N253</f>
        <v>12700899</v>
      </c>
      <c r="R235" s="259">
        <f>H235</f>
        <v>406435</v>
      </c>
      <c r="S235" s="259">
        <f>I235</f>
        <v>2489100</v>
      </c>
      <c r="T235" s="259">
        <f>J235</f>
        <v>460000</v>
      </c>
      <c r="U235" s="259"/>
      <c r="V235" s="259"/>
      <c r="W235" s="259">
        <f>M235+N256</f>
        <v>345000</v>
      </c>
    </row>
    <row r="236" spans="1:23" s="143" customFormat="1" ht="19.5" customHeight="1" thickBot="1" thickTop="1">
      <c r="A236" s="29">
        <v>700</v>
      </c>
      <c r="B236" s="29"/>
      <c r="C236" s="29"/>
      <c r="D236" s="28" t="s">
        <v>621</v>
      </c>
      <c r="E236" s="30">
        <v>827500</v>
      </c>
      <c r="F236" s="30">
        <v>827500</v>
      </c>
      <c r="G236" s="30"/>
      <c r="H236" s="30"/>
      <c r="I236" s="30"/>
      <c r="J236" s="30">
        <v>300000</v>
      </c>
      <c r="K236" s="30"/>
      <c r="L236" s="30"/>
      <c r="M236" s="30"/>
      <c r="N236" s="30">
        <f>N237</f>
        <v>173650</v>
      </c>
      <c r="O236" s="30">
        <f t="shared" si="15"/>
        <v>1001150</v>
      </c>
      <c r="P236" s="946">
        <f>F236+N239</f>
        <v>1001150</v>
      </c>
      <c r="Q236" s="946"/>
      <c r="R236" s="946"/>
      <c r="S236" s="946"/>
      <c r="T236" s="946">
        <f>J236</f>
        <v>300000</v>
      </c>
      <c r="U236" s="30"/>
      <c r="V236" s="30"/>
      <c r="W236" s="30"/>
    </row>
    <row r="237" spans="1:23" s="143" customFormat="1" ht="19.5" customHeight="1">
      <c r="A237" s="278"/>
      <c r="B237" s="637">
        <v>70005</v>
      </c>
      <c r="C237" s="847"/>
      <c r="D237" s="1304" t="s">
        <v>622</v>
      </c>
      <c r="E237" s="910">
        <v>827500</v>
      </c>
      <c r="F237" s="910">
        <v>827500</v>
      </c>
      <c r="G237" s="910"/>
      <c r="H237" s="910"/>
      <c r="I237" s="910"/>
      <c r="J237" s="910">
        <v>300000</v>
      </c>
      <c r="K237" s="910"/>
      <c r="L237" s="910"/>
      <c r="M237" s="910"/>
      <c r="N237" s="947">
        <f>N238</f>
        <v>173650</v>
      </c>
      <c r="O237" s="947">
        <f t="shared" si="15"/>
        <v>1001150</v>
      </c>
      <c r="P237" s="947">
        <f>F237+N239</f>
        <v>1001150</v>
      </c>
      <c r="Q237" s="947"/>
      <c r="R237" s="947"/>
      <c r="S237" s="947"/>
      <c r="T237" s="947">
        <f>J237</f>
        <v>300000</v>
      </c>
      <c r="U237" s="947"/>
      <c r="V237" s="947"/>
      <c r="W237" s="947"/>
    </row>
    <row r="238" spans="1:29" s="945" customFormat="1" ht="18" customHeight="1">
      <c r="A238" s="278"/>
      <c r="B238" s="278"/>
      <c r="C238" s="786"/>
      <c r="D238" s="1416" t="s">
        <v>369</v>
      </c>
      <c r="E238" s="944">
        <v>827500</v>
      </c>
      <c r="F238" s="944">
        <v>827500</v>
      </c>
      <c r="G238" s="944"/>
      <c r="H238" s="944"/>
      <c r="I238" s="944"/>
      <c r="J238" s="944">
        <v>300000</v>
      </c>
      <c r="K238" s="944"/>
      <c r="L238" s="944"/>
      <c r="M238" s="944"/>
      <c r="N238" s="562">
        <f>SUM(N239)</f>
        <v>173650</v>
      </c>
      <c r="O238" s="562">
        <f t="shared" si="15"/>
        <v>1001150</v>
      </c>
      <c r="P238" s="562">
        <f>F238+N239</f>
        <v>1001150</v>
      </c>
      <c r="Q238" s="562"/>
      <c r="R238" s="562"/>
      <c r="S238" s="562"/>
      <c r="T238" s="562">
        <f>J238</f>
        <v>300000</v>
      </c>
      <c r="U238" s="562"/>
      <c r="V238" s="562"/>
      <c r="W238" s="562"/>
      <c r="X238" s="143"/>
      <c r="Y238" s="143"/>
      <c r="Z238" s="143"/>
      <c r="AA238" s="143"/>
      <c r="AB238" s="143"/>
      <c r="AC238" s="143"/>
    </row>
    <row r="239" spans="1:29" s="285" customFormat="1" ht="25.5">
      <c r="A239" s="281"/>
      <c r="B239" s="281"/>
      <c r="C239" s="38">
        <v>4590</v>
      </c>
      <c r="D239" s="411" t="s">
        <v>64</v>
      </c>
      <c r="E239" s="342">
        <v>277500</v>
      </c>
      <c r="F239" s="342">
        <v>277500</v>
      </c>
      <c r="G239" s="342"/>
      <c r="H239" s="342"/>
      <c r="I239" s="342"/>
      <c r="J239" s="342"/>
      <c r="K239" s="342"/>
      <c r="L239" s="342"/>
      <c r="M239" s="342"/>
      <c r="N239" s="528">
        <v>173650</v>
      </c>
      <c r="O239" s="528">
        <f t="shared" si="15"/>
        <v>451150</v>
      </c>
      <c r="P239" s="528">
        <f>F239+N239</f>
        <v>451150</v>
      </c>
      <c r="Q239" s="528"/>
      <c r="R239" s="528"/>
      <c r="S239" s="528"/>
      <c r="T239" s="528"/>
      <c r="U239" s="528"/>
      <c r="V239" s="528"/>
      <c r="W239" s="528"/>
      <c r="X239" s="143"/>
      <c r="Y239" s="284"/>
      <c r="Z239" s="284"/>
      <c r="AA239" s="284"/>
      <c r="AB239" s="284"/>
      <c r="AC239" s="284"/>
    </row>
    <row r="240" spans="1:23" s="143" customFormat="1" ht="19.5" customHeight="1" thickBot="1">
      <c r="A240" s="29">
        <v>750</v>
      </c>
      <c r="B240" s="29"/>
      <c r="C240" s="29"/>
      <c r="D240" s="28" t="s">
        <v>319</v>
      </c>
      <c r="E240" s="30">
        <v>924596</v>
      </c>
      <c r="F240" s="30">
        <v>924596</v>
      </c>
      <c r="G240" s="30">
        <v>725690</v>
      </c>
      <c r="H240" s="30">
        <v>133435</v>
      </c>
      <c r="I240" s="30"/>
      <c r="J240" s="30"/>
      <c r="K240" s="30"/>
      <c r="L240" s="30"/>
      <c r="M240" s="30"/>
      <c r="N240" s="30">
        <f>N241</f>
        <v>0</v>
      </c>
      <c r="O240" s="30">
        <f aca="true" t="shared" si="17" ref="O240:O246">E240+N240</f>
        <v>924596</v>
      </c>
      <c r="P240" s="30">
        <f>F240+N243+N244+N245+N246</f>
        <v>924596</v>
      </c>
      <c r="Q240" s="30">
        <f aca="true" t="shared" si="18" ref="Q240:R242">G240</f>
        <v>725690</v>
      </c>
      <c r="R240" s="30">
        <f t="shared" si="18"/>
        <v>133435</v>
      </c>
      <c r="S240" s="30"/>
      <c r="T240" s="30"/>
      <c r="U240" s="30"/>
      <c r="V240" s="30"/>
      <c r="W240" s="30"/>
    </row>
    <row r="241" spans="1:23" s="143" customFormat="1" ht="19.5" customHeight="1">
      <c r="A241" s="278"/>
      <c r="B241" s="637">
        <v>75045</v>
      </c>
      <c r="C241" s="847"/>
      <c r="D241" s="909" t="s">
        <v>722</v>
      </c>
      <c r="E241" s="910">
        <v>95000</v>
      </c>
      <c r="F241" s="910">
        <v>95000</v>
      </c>
      <c r="G241" s="910">
        <v>61690</v>
      </c>
      <c r="H241" s="910">
        <v>4851</v>
      </c>
      <c r="I241" s="910"/>
      <c r="J241" s="910"/>
      <c r="K241" s="910"/>
      <c r="L241" s="910"/>
      <c r="M241" s="910"/>
      <c r="N241" s="947">
        <f>N242</f>
        <v>0</v>
      </c>
      <c r="O241" s="947">
        <f t="shared" si="17"/>
        <v>95000</v>
      </c>
      <c r="P241" s="947">
        <f>F241+N243+N244+N245+N246</f>
        <v>95000</v>
      </c>
      <c r="Q241" s="947">
        <f t="shared" si="18"/>
        <v>61690</v>
      </c>
      <c r="R241" s="947">
        <f t="shared" si="18"/>
        <v>4851</v>
      </c>
      <c r="S241" s="947"/>
      <c r="T241" s="947"/>
      <c r="U241" s="947"/>
      <c r="V241" s="947"/>
      <c r="W241" s="947"/>
    </row>
    <row r="242" spans="1:29" s="945" customFormat="1" ht="18" customHeight="1">
      <c r="A242" s="278"/>
      <c r="B242" s="278"/>
      <c r="C242" s="786"/>
      <c r="D242" s="834" t="s">
        <v>534</v>
      </c>
      <c r="E242" s="944">
        <v>95000</v>
      </c>
      <c r="F242" s="944">
        <v>95000</v>
      </c>
      <c r="G242" s="944">
        <v>61690</v>
      </c>
      <c r="H242" s="944">
        <v>4851</v>
      </c>
      <c r="I242" s="944"/>
      <c r="J242" s="944"/>
      <c r="K242" s="944"/>
      <c r="L242" s="944"/>
      <c r="M242" s="944"/>
      <c r="N242" s="562">
        <f>SUM(N243:N246)</f>
        <v>0</v>
      </c>
      <c r="O242" s="562">
        <f t="shared" si="17"/>
        <v>95000</v>
      </c>
      <c r="P242" s="562">
        <f>F242+N243+N244+N245+N246</f>
        <v>95000</v>
      </c>
      <c r="Q242" s="562">
        <f t="shared" si="18"/>
        <v>61690</v>
      </c>
      <c r="R242" s="562">
        <f t="shared" si="18"/>
        <v>4851</v>
      </c>
      <c r="S242" s="562"/>
      <c r="T242" s="562"/>
      <c r="U242" s="562"/>
      <c r="V242" s="562"/>
      <c r="W242" s="562"/>
      <c r="X242" s="143"/>
      <c r="Y242" s="143"/>
      <c r="Z242" s="143"/>
      <c r="AA242" s="143"/>
      <c r="AB242" s="143"/>
      <c r="AC242" s="143"/>
    </row>
    <row r="243" spans="1:29" s="285" customFormat="1" ht="18" customHeight="1">
      <c r="A243" s="281"/>
      <c r="B243" s="281"/>
      <c r="C243" s="250">
        <v>4210</v>
      </c>
      <c r="D243" s="368" t="s">
        <v>321</v>
      </c>
      <c r="E243" s="342">
        <v>6000</v>
      </c>
      <c r="F243" s="342">
        <v>6000</v>
      </c>
      <c r="G243" s="342"/>
      <c r="H243" s="342"/>
      <c r="I243" s="342"/>
      <c r="J243" s="342"/>
      <c r="K243" s="342"/>
      <c r="L243" s="342"/>
      <c r="M243" s="342"/>
      <c r="N243" s="528">
        <v>22</v>
      </c>
      <c r="O243" s="528">
        <f t="shared" si="17"/>
        <v>6022</v>
      </c>
      <c r="P243" s="528">
        <f>F243+N243</f>
        <v>6022</v>
      </c>
      <c r="Q243" s="528"/>
      <c r="R243" s="528"/>
      <c r="S243" s="528"/>
      <c r="T243" s="528"/>
      <c r="U243" s="528"/>
      <c r="V243" s="528"/>
      <c r="W243" s="528"/>
      <c r="X243" s="143"/>
      <c r="Y243" s="284"/>
      <c r="Z243" s="284"/>
      <c r="AA243" s="284"/>
      <c r="AB243" s="284"/>
      <c r="AC243" s="284"/>
    </row>
    <row r="244" spans="1:29" s="285" customFormat="1" ht="18" customHeight="1">
      <c r="A244" s="281"/>
      <c r="B244" s="281"/>
      <c r="C244" s="940">
        <v>4260</v>
      </c>
      <c r="D244" s="941" t="s">
        <v>605</v>
      </c>
      <c r="E244" s="943">
        <v>4000</v>
      </c>
      <c r="F244" s="943">
        <v>4000</v>
      </c>
      <c r="G244" s="943"/>
      <c r="H244" s="943"/>
      <c r="I244" s="943"/>
      <c r="J244" s="943"/>
      <c r="K244" s="943"/>
      <c r="L244" s="943"/>
      <c r="M244" s="943"/>
      <c r="N244" s="262">
        <v>-835</v>
      </c>
      <c r="O244" s="262">
        <f t="shared" si="17"/>
        <v>3165</v>
      </c>
      <c r="P244" s="262">
        <f>F244+N244</f>
        <v>3165</v>
      </c>
      <c r="Q244" s="262"/>
      <c r="R244" s="262"/>
      <c r="S244" s="262"/>
      <c r="T244" s="262"/>
      <c r="U244" s="262"/>
      <c r="V244" s="262"/>
      <c r="W244" s="262"/>
      <c r="X244" s="143"/>
      <c r="Y244" s="284"/>
      <c r="Z244" s="284"/>
      <c r="AA244" s="284"/>
      <c r="AB244" s="284"/>
      <c r="AC244" s="284"/>
    </row>
    <row r="245" spans="1:29" s="285" customFormat="1" ht="18" customHeight="1">
      <c r="A245" s="281"/>
      <c r="B245" s="281"/>
      <c r="C245" s="940">
        <v>4300</v>
      </c>
      <c r="D245" s="941" t="s">
        <v>322</v>
      </c>
      <c r="E245" s="943">
        <v>18250</v>
      </c>
      <c r="F245" s="943">
        <v>18250</v>
      </c>
      <c r="G245" s="943"/>
      <c r="H245" s="943"/>
      <c r="I245" s="943"/>
      <c r="J245" s="943"/>
      <c r="K245" s="943"/>
      <c r="L245" s="943"/>
      <c r="M245" s="943"/>
      <c r="N245" s="262">
        <v>-133</v>
      </c>
      <c r="O245" s="262">
        <f t="shared" si="17"/>
        <v>18117</v>
      </c>
      <c r="P245" s="262">
        <f>F245+N245</f>
        <v>18117</v>
      </c>
      <c r="Q245" s="262"/>
      <c r="R245" s="262"/>
      <c r="S245" s="262"/>
      <c r="T245" s="262"/>
      <c r="U245" s="262"/>
      <c r="V245" s="262"/>
      <c r="W245" s="262"/>
      <c r="X245" s="143"/>
      <c r="Y245" s="284"/>
      <c r="Z245" s="284"/>
      <c r="AA245" s="284"/>
      <c r="AB245" s="284"/>
      <c r="AC245" s="284"/>
    </row>
    <row r="246" spans="1:29" s="285" customFormat="1" ht="25.5">
      <c r="A246" s="281"/>
      <c r="B246" s="281"/>
      <c r="C246" s="250">
        <v>4370</v>
      </c>
      <c r="D246" s="368" t="s">
        <v>400</v>
      </c>
      <c r="E246" s="342"/>
      <c r="F246" s="342"/>
      <c r="G246" s="342"/>
      <c r="H246" s="342"/>
      <c r="I246" s="342"/>
      <c r="J246" s="342"/>
      <c r="K246" s="342"/>
      <c r="L246" s="342"/>
      <c r="M246" s="342"/>
      <c r="N246" s="528">
        <v>946</v>
      </c>
      <c r="O246" s="528">
        <f t="shared" si="17"/>
        <v>946</v>
      </c>
      <c r="P246" s="528">
        <f>F246+N246</f>
        <v>946</v>
      </c>
      <c r="Q246" s="528"/>
      <c r="R246" s="528"/>
      <c r="S246" s="528"/>
      <c r="T246" s="528"/>
      <c r="U246" s="528"/>
      <c r="V246" s="528"/>
      <c r="W246" s="528"/>
      <c r="X246" s="143"/>
      <c r="Y246" s="284"/>
      <c r="Z246" s="284"/>
      <c r="AA246" s="284"/>
      <c r="AB246" s="284"/>
      <c r="AC246" s="284"/>
    </row>
    <row r="247" spans="1:23" s="143" customFormat="1" ht="26.25" thickBot="1">
      <c r="A247" s="29">
        <v>754</v>
      </c>
      <c r="B247" s="29"/>
      <c r="C247" s="29"/>
      <c r="D247" s="28" t="s">
        <v>309</v>
      </c>
      <c r="E247" s="30">
        <v>13091000</v>
      </c>
      <c r="F247" s="30">
        <v>12941000</v>
      </c>
      <c r="G247" s="30">
        <v>9875300</v>
      </c>
      <c r="H247" s="30">
        <v>38200</v>
      </c>
      <c r="I247" s="30"/>
      <c r="J247" s="30">
        <v>160000</v>
      </c>
      <c r="K247" s="30"/>
      <c r="L247" s="30"/>
      <c r="M247" s="30">
        <v>150000</v>
      </c>
      <c r="N247" s="30">
        <f>N248</f>
        <v>1010100</v>
      </c>
      <c r="O247" s="30">
        <f aca="true" t="shared" si="19" ref="O247:O261">E247+N247</f>
        <v>14101100</v>
      </c>
      <c r="P247" s="30">
        <f>F247+N250+N251+N252+N253+N254</f>
        <v>13851100</v>
      </c>
      <c r="Q247" s="30">
        <f>G247+N250+N251+N252+N253</f>
        <v>10723300</v>
      </c>
      <c r="R247" s="30">
        <f aca="true" t="shared" si="20" ref="R247:T248">H247</f>
        <v>38200</v>
      </c>
      <c r="S247" s="30"/>
      <c r="T247" s="30">
        <f t="shared" si="20"/>
        <v>160000</v>
      </c>
      <c r="U247" s="30"/>
      <c r="V247" s="30"/>
      <c r="W247" s="30">
        <f>M247+N256</f>
        <v>250000</v>
      </c>
    </row>
    <row r="248" spans="1:23" s="143" customFormat="1" ht="18.75" customHeight="1">
      <c r="A248" s="278"/>
      <c r="B248" s="291">
        <v>75411</v>
      </c>
      <c r="C248" s="291"/>
      <c r="D248" s="545" t="s">
        <v>360</v>
      </c>
      <c r="E248" s="257">
        <v>13091000</v>
      </c>
      <c r="F248" s="257">
        <v>12941000</v>
      </c>
      <c r="G248" s="257">
        <v>9875300</v>
      </c>
      <c r="H248" s="257">
        <v>38200</v>
      </c>
      <c r="I248" s="257"/>
      <c r="J248" s="257">
        <v>160000</v>
      </c>
      <c r="K248" s="257"/>
      <c r="L248" s="257"/>
      <c r="M248" s="257">
        <v>150000</v>
      </c>
      <c r="N248" s="257">
        <f>N249</f>
        <v>1010100</v>
      </c>
      <c r="O248" s="257">
        <f t="shared" si="19"/>
        <v>14101100</v>
      </c>
      <c r="P248" s="257">
        <f>F248+N250+N251+N252+N253+N254</f>
        <v>13851100</v>
      </c>
      <c r="Q248" s="257">
        <f>G248+N250+N251+N252+N253</f>
        <v>10723300</v>
      </c>
      <c r="R248" s="257">
        <f t="shared" si="20"/>
        <v>38200</v>
      </c>
      <c r="S248" s="257"/>
      <c r="T248" s="257">
        <f t="shared" si="20"/>
        <v>160000</v>
      </c>
      <c r="U248" s="257"/>
      <c r="V248" s="257"/>
      <c r="W248" s="257">
        <f>M248+N256</f>
        <v>250000</v>
      </c>
    </row>
    <row r="249" spans="1:23" s="143" customFormat="1" ht="25.5">
      <c r="A249" s="278"/>
      <c r="B249" s="278"/>
      <c r="C249" s="278"/>
      <c r="D249" s="145" t="s">
        <v>713</v>
      </c>
      <c r="E249" s="562">
        <v>13091000</v>
      </c>
      <c r="F249" s="562">
        <v>12941000</v>
      </c>
      <c r="G249" s="562">
        <v>9875300</v>
      </c>
      <c r="H249" s="562">
        <v>38200</v>
      </c>
      <c r="I249" s="562"/>
      <c r="J249" s="562">
        <v>160000</v>
      </c>
      <c r="K249" s="562"/>
      <c r="L249" s="562"/>
      <c r="M249" s="562">
        <v>150000</v>
      </c>
      <c r="N249" s="562">
        <f>N256+N250+N251+N252+N253+N254</f>
        <v>1010100</v>
      </c>
      <c r="O249" s="562">
        <f t="shared" si="19"/>
        <v>14101100</v>
      </c>
      <c r="P249" s="562">
        <f>F249+N250+N251+N252+N253+N254</f>
        <v>13851100</v>
      </c>
      <c r="Q249" s="562">
        <f>G249+N250+N251+N252+N253</f>
        <v>10723300</v>
      </c>
      <c r="R249" s="562"/>
      <c r="S249" s="562"/>
      <c r="T249" s="562"/>
      <c r="U249" s="562"/>
      <c r="V249" s="562"/>
      <c r="W249" s="562">
        <f>M249+N256</f>
        <v>250000</v>
      </c>
    </row>
    <row r="250" spans="1:48" s="563" customFormat="1" ht="25.5">
      <c r="A250" s="281"/>
      <c r="B250" s="281"/>
      <c r="C250" s="281">
        <v>4050</v>
      </c>
      <c r="D250" s="127" t="s">
        <v>8</v>
      </c>
      <c r="E250" s="528">
        <v>8499000</v>
      </c>
      <c r="F250" s="528">
        <v>8499000</v>
      </c>
      <c r="G250" s="528">
        <v>8499000</v>
      </c>
      <c r="H250" s="528"/>
      <c r="I250" s="528"/>
      <c r="J250" s="528"/>
      <c r="K250" s="528"/>
      <c r="L250" s="528"/>
      <c r="M250" s="528"/>
      <c r="N250" s="528">
        <v>701000</v>
      </c>
      <c r="O250" s="528">
        <f t="shared" si="19"/>
        <v>9200000</v>
      </c>
      <c r="P250" s="528">
        <f>F250+N250</f>
        <v>9200000</v>
      </c>
      <c r="Q250" s="528">
        <f>G250+N250</f>
        <v>9200000</v>
      </c>
      <c r="R250" s="528"/>
      <c r="S250" s="528"/>
      <c r="T250" s="528"/>
      <c r="U250" s="528"/>
      <c r="V250" s="528"/>
      <c r="W250" s="528"/>
      <c r="X250" s="143"/>
      <c r="Y250" s="469"/>
      <c r="Z250" s="469"/>
      <c r="AA250" s="469"/>
      <c r="AB250" s="469"/>
      <c r="AC250" s="469"/>
      <c r="AD250" s="469"/>
      <c r="AE250" s="469"/>
      <c r="AF250" s="469"/>
      <c r="AG250" s="469"/>
      <c r="AH250" s="469"/>
      <c r="AI250" s="469"/>
      <c r="AJ250" s="469"/>
      <c r="AK250" s="469"/>
      <c r="AL250" s="469"/>
      <c r="AM250" s="469"/>
      <c r="AN250" s="469"/>
      <c r="AO250" s="469"/>
      <c r="AP250" s="469"/>
      <c r="AQ250" s="469"/>
      <c r="AR250" s="469"/>
      <c r="AS250" s="469"/>
      <c r="AT250" s="469"/>
      <c r="AU250" s="469"/>
      <c r="AV250" s="469"/>
    </row>
    <row r="251" spans="1:24" s="469" customFormat="1" ht="25.5">
      <c r="A251" s="281"/>
      <c r="B251" s="281"/>
      <c r="C251" s="290">
        <v>4060</v>
      </c>
      <c r="D251" s="127" t="s">
        <v>9</v>
      </c>
      <c r="E251" s="262">
        <v>400000</v>
      </c>
      <c r="F251" s="262">
        <v>400000</v>
      </c>
      <c r="G251" s="262">
        <v>400000</v>
      </c>
      <c r="H251" s="262"/>
      <c r="I251" s="262"/>
      <c r="J251" s="262"/>
      <c r="K251" s="262"/>
      <c r="L251" s="262"/>
      <c r="M251" s="262"/>
      <c r="N251" s="262">
        <v>77000</v>
      </c>
      <c r="O251" s="262">
        <f t="shared" si="19"/>
        <v>477000</v>
      </c>
      <c r="P251" s="262">
        <f>F251+N251</f>
        <v>477000</v>
      </c>
      <c r="Q251" s="262">
        <f>G251+N251</f>
        <v>477000</v>
      </c>
      <c r="R251" s="262"/>
      <c r="S251" s="262"/>
      <c r="T251" s="262"/>
      <c r="U251" s="262"/>
      <c r="V251" s="262"/>
      <c r="W251" s="262"/>
      <c r="X251" s="143"/>
    </row>
    <row r="252" spans="1:24" s="469" customFormat="1" ht="38.25">
      <c r="A252" s="281"/>
      <c r="B252" s="281"/>
      <c r="C252" s="290">
        <v>4070</v>
      </c>
      <c r="D252" s="387" t="s">
        <v>10</v>
      </c>
      <c r="E252" s="262">
        <v>798000</v>
      </c>
      <c r="F252" s="262">
        <v>798000</v>
      </c>
      <c r="G252" s="262">
        <v>798000</v>
      </c>
      <c r="H252" s="262"/>
      <c r="I252" s="262"/>
      <c r="J252" s="262"/>
      <c r="K252" s="262"/>
      <c r="L252" s="262"/>
      <c r="M252" s="262"/>
      <c r="N252" s="262">
        <v>53000</v>
      </c>
      <c r="O252" s="262">
        <f t="shared" si="19"/>
        <v>851000</v>
      </c>
      <c r="P252" s="262">
        <f>F252+N252</f>
        <v>851000</v>
      </c>
      <c r="Q252" s="262">
        <f>G252+N252</f>
        <v>851000</v>
      </c>
      <c r="R252" s="262"/>
      <c r="S252" s="262"/>
      <c r="T252" s="262"/>
      <c r="U252" s="262"/>
      <c r="V252" s="262"/>
      <c r="W252" s="262"/>
      <c r="X252" s="143"/>
    </row>
    <row r="253" spans="1:24" s="469" customFormat="1" ht="38.25">
      <c r="A253" s="281"/>
      <c r="B253" s="281"/>
      <c r="C253" s="290">
        <v>4080</v>
      </c>
      <c r="D253" s="387" t="s">
        <v>11</v>
      </c>
      <c r="E253" s="262">
        <v>31000</v>
      </c>
      <c r="F253" s="262">
        <v>31000</v>
      </c>
      <c r="G253" s="262">
        <v>31000</v>
      </c>
      <c r="H253" s="262"/>
      <c r="I253" s="262"/>
      <c r="J253" s="262"/>
      <c r="K253" s="262"/>
      <c r="L253" s="262"/>
      <c r="M253" s="262"/>
      <c r="N253" s="262">
        <v>17000</v>
      </c>
      <c r="O253" s="262">
        <f t="shared" si="19"/>
        <v>48000</v>
      </c>
      <c r="P253" s="262">
        <f>F253+N253</f>
        <v>48000</v>
      </c>
      <c r="Q253" s="262">
        <f>G253+N253</f>
        <v>48000</v>
      </c>
      <c r="R253" s="262"/>
      <c r="S253" s="262"/>
      <c r="T253" s="262"/>
      <c r="U253" s="262"/>
      <c r="V253" s="262"/>
      <c r="W253" s="262"/>
      <c r="X253" s="143"/>
    </row>
    <row r="254" spans="1:24" s="469" customFormat="1" ht="18.75" customHeight="1">
      <c r="A254" s="281"/>
      <c r="B254" s="281"/>
      <c r="C254" s="290">
        <v>4210</v>
      </c>
      <c r="D254" s="387" t="s">
        <v>321</v>
      </c>
      <c r="E254" s="1076">
        <v>306300</v>
      </c>
      <c r="F254" s="1076">
        <v>306300</v>
      </c>
      <c r="G254" s="1076"/>
      <c r="H254" s="1076"/>
      <c r="I254" s="1076"/>
      <c r="J254" s="1076"/>
      <c r="K254" s="1076"/>
      <c r="L254" s="1076"/>
      <c r="M254" s="262"/>
      <c r="N254" s="262">
        <v>62100</v>
      </c>
      <c r="O254" s="262">
        <f t="shared" si="19"/>
        <v>368400</v>
      </c>
      <c r="P254" s="262">
        <f>F254+N254</f>
        <v>368400</v>
      </c>
      <c r="Q254" s="262"/>
      <c r="R254" s="262"/>
      <c r="S254" s="262"/>
      <c r="T254" s="262"/>
      <c r="U254" s="262"/>
      <c r="V254" s="262"/>
      <c r="W254" s="262"/>
      <c r="X254" s="143"/>
    </row>
    <row r="255" spans="1:29" s="285" customFormat="1" ht="18" customHeight="1">
      <c r="A255" s="281"/>
      <c r="B255" s="281"/>
      <c r="C255" s="250"/>
      <c r="D255" s="368" t="s">
        <v>714</v>
      </c>
      <c r="E255" s="1239">
        <v>150000</v>
      </c>
      <c r="F255" s="1239"/>
      <c r="G255" s="1239"/>
      <c r="H255" s="1239"/>
      <c r="I255" s="1239"/>
      <c r="J255" s="1239"/>
      <c r="K255" s="1239"/>
      <c r="L255" s="1239"/>
      <c r="M255" s="342">
        <v>150000</v>
      </c>
      <c r="N255" s="528">
        <v>100000</v>
      </c>
      <c r="O255" s="528">
        <f t="shared" si="19"/>
        <v>250000</v>
      </c>
      <c r="P255" s="528"/>
      <c r="Q255" s="528"/>
      <c r="R255" s="528"/>
      <c r="S255" s="528"/>
      <c r="T255" s="528"/>
      <c r="U255" s="528"/>
      <c r="V255" s="528"/>
      <c r="W255" s="528">
        <f>M255+N255</f>
        <v>250000</v>
      </c>
      <c r="X255" s="143"/>
      <c r="Y255" s="284"/>
      <c r="Z255" s="284"/>
      <c r="AA255" s="284"/>
      <c r="AB255" s="284"/>
      <c r="AC255" s="284"/>
    </row>
    <row r="256" spans="1:29" s="285" customFormat="1" ht="18" customHeight="1">
      <c r="A256" s="282"/>
      <c r="B256" s="282"/>
      <c r="C256" s="370">
        <v>6050</v>
      </c>
      <c r="D256" s="344" t="s">
        <v>723</v>
      </c>
      <c r="E256" s="789">
        <v>150000</v>
      </c>
      <c r="F256" s="789"/>
      <c r="G256" s="789"/>
      <c r="H256" s="789"/>
      <c r="I256" s="789"/>
      <c r="J256" s="789"/>
      <c r="K256" s="789"/>
      <c r="L256" s="789"/>
      <c r="M256" s="790">
        <v>150000</v>
      </c>
      <c r="N256" s="530">
        <f>N255</f>
        <v>100000</v>
      </c>
      <c r="O256" s="530">
        <f t="shared" si="19"/>
        <v>250000</v>
      </c>
      <c r="P256" s="530"/>
      <c r="Q256" s="530"/>
      <c r="R256" s="530"/>
      <c r="S256" s="530"/>
      <c r="T256" s="530"/>
      <c r="U256" s="530"/>
      <c r="V256" s="530"/>
      <c r="W256" s="530">
        <f>M256+N256</f>
        <v>250000</v>
      </c>
      <c r="X256" s="143"/>
      <c r="Y256" s="284"/>
      <c r="Z256" s="284"/>
      <c r="AA256" s="284"/>
      <c r="AB256" s="284"/>
      <c r="AC256" s="284"/>
    </row>
    <row r="257" spans="1:23" s="143" customFormat="1" ht="19.5" customHeight="1" thickBot="1">
      <c r="A257" s="29">
        <v>853</v>
      </c>
      <c r="B257" s="29"/>
      <c r="C257" s="29"/>
      <c r="D257" s="28" t="s">
        <v>389</v>
      </c>
      <c r="E257" s="30">
        <v>552850</v>
      </c>
      <c r="F257" s="30">
        <v>552850</v>
      </c>
      <c r="G257" s="30">
        <v>374759</v>
      </c>
      <c r="H257" s="30">
        <v>64300</v>
      </c>
      <c r="I257" s="30"/>
      <c r="J257" s="30"/>
      <c r="K257" s="30"/>
      <c r="L257" s="30"/>
      <c r="M257" s="30"/>
      <c r="N257" s="30">
        <f>N258</f>
        <v>7821</v>
      </c>
      <c r="O257" s="30">
        <f t="shared" si="19"/>
        <v>560671</v>
      </c>
      <c r="P257" s="30">
        <f>F257+N260+N261</f>
        <v>560671</v>
      </c>
      <c r="Q257" s="30">
        <f>G257</f>
        <v>374759</v>
      </c>
      <c r="R257" s="30">
        <f>H257</f>
        <v>64300</v>
      </c>
      <c r="S257" s="30"/>
      <c r="T257" s="30"/>
      <c r="U257" s="30"/>
      <c r="V257" s="30"/>
      <c r="W257" s="30"/>
    </row>
    <row r="258" spans="1:23" s="143" customFormat="1" ht="19.5" customHeight="1">
      <c r="A258" s="278"/>
      <c r="B258" s="291">
        <v>85334</v>
      </c>
      <c r="C258" s="291"/>
      <c r="D258" s="280" t="s">
        <v>623</v>
      </c>
      <c r="E258" s="257">
        <v>24850</v>
      </c>
      <c r="F258" s="257">
        <v>24850</v>
      </c>
      <c r="G258" s="257"/>
      <c r="H258" s="257"/>
      <c r="I258" s="257"/>
      <c r="J258" s="257"/>
      <c r="K258" s="257"/>
      <c r="L258" s="257"/>
      <c r="M258" s="257"/>
      <c r="N258" s="257">
        <f>N259</f>
        <v>7821</v>
      </c>
      <c r="O258" s="257">
        <f t="shared" si="19"/>
        <v>32671</v>
      </c>
      <c r="P258" s="257">
        <f>F258+N260+N261</f>
        <v>32671</v>
      </c>
      <c r="Q258" s="257"/>
      <c r="R258" s="257"/>
      <c r="S258" s="257"/>
      <c r="T258" s="257"/>
      <c r="U258" s="257"/>
      <c r="V258" s="257"/>
      <c r="W258" s="257"/>
    </row>
    <row r="259" spans="1:23" s="143" customFormat="1" ht="18" customHeight="1">
      <c r="A259" s="278"/>
      <c r="B259" s="278"/>
      <c r="C259" s="278"/>
      <c r="D259" s="547" t="s">
        <v>160</v>
      </c>
      <c r="E259" s="562">
        <v>24850</v>
      </c>
      <c r="F259" s="562">
        <v>24850</v>
      </c>
      <c r="G259" s="562"/>
      <c r="H259" s="562"/>
      <c r="I259" s="562"/>
      <c r="J259" s="562"/>
      <c r="K259" s="562"/>
      <c r="L259" s="562"/>
      <c r="M259" s="562"/>
      <c r="N259" s="562">
        <f>SUM(N260:N261)</f>
        <v>7821</v>
      </c>
      <c r="O259" s="562">
        <f t="shared" si="19"/>
        <v>32671</v>
      </c>
      <c r="P259" s="562">
        <f>F259+N260+N261</f>
        <v>32671</v>
      </c>
      <c r="Q259" s="562"/>
      <c r="R259" s="562"/>
      <c r="S259" s="562"/>
      <c r="T259" s="562"/>
      <c r="U259" s="562"/>
      <c r="V259" s="562"/>
      <c r="W259" s="562"/>
    </row>
    <row r="260" spans="1:48" s="563" customFormat="1" ht="18" customHeight="1">
      <c r="A260" s="281"/>
      <c r="B260" s="281"/>
      <c r="C260" s="282">
        <v>3030</v>
      </c>
      <c r="D260" s="1127" t="s">
        <v>42</v>
      </c>
      <c r="E260" s="258"/>
      <c r="F260" s="258"/>
      <c r="G260" s="258"/>
      <c r="H260" s="258"/>
      <c r="I260" s="258"/>
      <c r="J260" s="258"/>
      <c r="K260" s="258"/>
      <c r="L260" s="258"/>
      <c r="M260" s="258"/>
      <c r="N260" s="258">
        <v>2321</v>
      </c>
      <c r="O260" s="258">
        <f t="shared" si="19"/>
        <v>2321</v>
      </c>
      <c r="P260" s="258">
        <f>F260+N260</f>
        <v>2321</v>
      </c>
      <c r="Q260" s="258"/>
      <c r="R260" s="258"/>
      <c r="S260" s="258"/>
      <c r="T260" s="258"/>
      <c r="U260" s="258"/>
      <c r="V260" s="258"/>
      <c r="W260" s="258"/>
      <c r="X260" s="143"/>
      <c r="Y260" s="469"/>
      <c r="Z260" s="469"/>
      <c r="AA260" s="469"/>
      <c r="AB260" s="469"/>
      <c r="AC260" s="469"/>
      <c r="AD260" s="469"/>
      <c r="AE260" s="469"/>
      <c r="AF260" s="469"/>
      <c r="AG260" s="469"/>
      <c r="AH260" s="469"/>
      <c r="AI260" s="469"/>
      <c r="AJ260" s="469"/>
      <c r="AK260" s="469"/>
      <c r="AL260" s="469"/>
      <c r="AM260" s="469"/>
      <c r="AN260" s="469"/>
      <c r="AO260" s="469"/>
      <c r="AP260" s="469"/>
      <c r="AQ260" s="469"/>
      <c r="AR260" s="469"/>
      <c r="AS260" s="469"/>
      <c r="AT260" s="469"/>
      <c r="AU260" s="469"/>
      <c r="AV260" s="469"/>
    </row>
    <row r="261" spans="1:24" s="469" customFormat="1" ht="18" customHeight="1">
      <c r="A261" s="282"/>
      <c r="B261" s="282"/>
      <c r="C261" s="290">
        <v>4300</v>
      </c>
      <c r="D261" s="376" t="s">
        <v>322</v>
      </c>
      <c r="E261" s="262">
        <v>19000</v>
      </c>
      <c r="F261" s="262">
        <v>19000</v>
      </c>
      <c r="G261" s="262"/>
      <c r="H261" s="262"/>
      <c r="I261" s="262"/>
      <c r="J261" s="262"/>
      <c r="K261" s="262"/>
      <c r="L261" s="262"/>
      <c r="M261" s="262"/>
      <c r="N261" s="262">
        <v>5500</v>
      </c>
      <c r="O261" s="258">
        <f t="shared" si="19"/>
        <v>24500</v>
      </c>
      <c r="P261" s="258">
        <f>F261+N261</f>
        <v>24500</v>
      </c>
      <c r="Q261" s="262"/>
      <c r="R261" s="262"/>
      <c r="S261" s="262"/>
      <c r="T261" s="262"/>
      <c r="U261" s="262"/>
      <c r="V261" s="262"/>
      <c r="W261" s="262"/>
      <c r="X261" s="143"/>
    </row>
    <row r="262" spans="1:29" s="519" customFormat="1" ht="29.25" customHeight="1">
      <c r="A262" s="1335"/>
      <c r="B262" s="1335"/>
      <c r="C262" s="520"/>
      <c r="D262" s="521"/>
      <c r="E262" s="520"/>
      <c r="F262" s="520"/>
      <c r="G262" s="520"/>
      <c r="H262" s="520"/>
      <c r="I262" s="520"/>
      <c r="J262" s="520"/>
      <c r="K262" s="520"/>
      <c r="L262" s="520"/>
      <c r="M262" s="520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1:29" s="519" customFormat="1" ht="19.5" customHeight="1">
      <c r="A263" s="1335"/>
      <c r="B263" s="1335"/>
      <c r="C263" s="1588" t="s">
        <v>17</v>
      </c>
      <c r="D263" s="521"/>
      <c r="E263" s="520"/>
      <c r="F263" s="520"/>
      <c r="G263" s="520"/>
      <c r="H263" s="520"/>
      <c r="I263" s="520"/>
      <c r="J263" s="520"/>
      <c r="K263" s="520"/>
      <c r="L263" s="520"/>
      <c r="M263" s="520"/>
      <c r="N263" s="143"/>
      <c r="O263" s="143"/>
      <c r="P263" s="143"/>
      <c r="Q263" s="143"/>
      <c r="R263" s="143"/>
      <c r="S263" s="143"/>
      <c r="T263" s="1586" t="s">
        <v>20</v>
      </c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1:29" s="519" customFormat="1" ht="19.5" customHeight="1">
      <c r="A264" s="1335"/>
      <c r="B264" s="1335"/>
      <c r="C264" s="1589" t="s">
        <v>19</v>
      </c>
      <c r="D264" s="521"/>
      <c r="E264" s="520"/>
      <c r="F264" s="520"/>
      <c r="G264" s="520"/>
      <c r="H264" s="520"/>
      <c r="I264" s="520"/>
      <c r="J264" s="520"/>
      <c r="K264" s="520"/>
      <c r="L264" s="520"/>
      <c r="M264" s="520"/>
      <c r="N264" s="143"/>
      <c r="O264" s="143"/>
      <c r="P264" s="143"/>
      <c r="Q264" s="143"/>
      <c r="R264" s="143"/>
      <c r="S264" s="143"/>
      <c r="T264" s="1587" t="s">
        <v>18</v>
      </c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1:29" s="519" customFormat="1" ht="19.5" customHeight="1">
      <c r="A265" s="1335"/>
      <c r="B265" s="1335"/>
      <c r="C265" s="520"/>
      <c r="D265" s="521"/>
      <c r="E265" s="520"/>
      <c r="F265" s="520"/>
      <c r="G265" s="520"/>
      <c r="H265" s="520"/>
      <c r="I265" s="520"/>
      <c r="J265" s="520"/>
      <c r="K265" s="520"/>
      <c r="L265" s="520"/>
      <c r="M265" s="520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1:29" s="519" customFormat="1" ht="19.5" customHeight="1">
      <c r="A266" s="1335"/>
      <c r="B266" s="1335"/>
      <c r="C266" s="520"/>
      <c r="D266" s="521"/>
      <c r="E266" s="520"/>
      <c r="F266" s="520"/>
      <c r="G266" s="520"/>
      <c r="H266" s="520"/>
      <c r="I266" s="520"/>
      <c r="J266" s="520"/>
      <c r="K266" s="520"/>
      <c r="L266" s="520"/>
      <c r="M266" s="520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1:29" s="519" customFormat="1" ht="19.5" customHeight="1">
      <c r="A267" s="1335"/>
      <c r="B267" s="1335"/>
      <c r="C267" s="520"/>
      <c r="D267" s="521"/>
      <c r="E267" s="520"/>
      <c r="F267" s="520"/>
      <c r="G267" s="520"/>
      <c r="H267" s="520"/>
      <c r="I267" s="520"/>
      <c r="J267" s="520"/>
      <c r="K267" s="520"/>
      <c r="L267" s="520"/>
      <c r="M267" s="520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</row>
    <row r="268" spans="1:29" s="519" customFormat="1" ht="19.5" customHeight="1">
      <c r="A268" s="1335"/>
      <c r="B268" s="1335"/>
      <c r="C268" s="520"/>
      <c r="D268" s="521"/>
      <c r="E268" s="520"/>
      <c r="F268" s="520"/>
      <c r="G268" s="520"/>
      <c r="H268" s="520"/>
      <c r="I268" s="520"/>
      <c r="J268" s="520"/>
      <c r="K268" s="520"/>
      <c r="L268" s="520"/>
      <c r="M268" s="520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</row>
    <row r="269" spans="1:29" s="519" customFormat="1" ht="19.5" customHeight="1">
      <c r="A269" s="1335"/>
      <c r="B269" s="1335"/>
      <c r="C269" s="520"/>
      <c r="D269" s="521"/>
      <c r="E269" s="520"/>
      <c r="F269" s="520"/>
      <c r="G269" s="520"/>
      <c r="H269" s="520"/>
      <c r="I269" s="520"/>
      <c r="J269" s="520"/>
      <c r="K269" s="520"/>
      <c r="L269" s="520"/>
      <c r="M269" s="520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</row>
    <row r="270" spans="1:29" s="519" customFormat="1" ht="19.5" customHeight="1">
      <c r="A270" s="1335"/>
      <c r="B270" s="1335"/>
      <c r="C270" s="520"/>
      <c r="D270" s="521"/>
      <c r="E270" s="520"/>
      <c r="F270" s="520"/>
      <c r="G270" s="520"/>
      <c r="H270" s="520"/>
      <c r="I270" s="520"/>
      <c r="J270" s="520"/>
      <c r="K270" s="520"/>
      <c r="L270" s="520"/>
      <c r="M270" s="520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</row>
    <row r="271" spans="1:29" s="519" customFormat="1" ht="19.5" customHeight="1">
      <c r="A271" s="1335"/>
      <c r="B271" s="1335"/>
      <c r="C271" s="520"/>
      <c r="D271" s="521"/>
      <c r="E271" s="520"/>
      <c r="F271" s="520"/>
      <c r="G271" s="520"/>
      <c r="H271" s="520"/>
      <c r="I271" s="520"/>
      <c r="J271" s="520"/>
      <c r="K271" s="520"/>
      <c r="L271" s="520"/>
      <c r="M271" s="520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</row>
    <row r="272" spans="1:29" s="519" customFormat="1" ht="19.5" customHeight="1">
      <c r="A272" s="1335"/>
      <c r="B272" s="1335"/>
      <c r="C272" s="520"/>
      <c r="D272" s="521"/>
      <c r="E272" s="520"/>
      <c r="F272" s="520"/>
      <c r="G272" s="520"/>
      <c r="H272" s="520"/>
      <c r="I272" s="520"/>
      <c r="J272" s="520"/>
      <c r="K272" s="520"/>
      <c r="L272" s="520"/>
      <c r="M272" s="520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</row>
    <row r="273" spans="1:29" s="519" customFormat="1" ht="19.5" customHeight="1">
      <c r="A273" s="1335"/>
      <c r="B273" s="1335"/>
      <c r="C273" s="520"/>
      <c r="D273" s="521"/>
      <c r="E273" s="520"/>
      <c r="F273" s="520"/>
      <c r="G273" s="520"/>
      <c r="H273" s="520"/>
      <c r="I273" s="520"/>
      <c r="J273" s="520"/>
      <c r="K273" s="520"/>
      <c r="L273" s="520"/>
      <c r="M273" s="520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</row>
    <row r="274" spans="1:29" s="519" customFormat="1" ht="19.5" customHeight="1">
      <c r="A274" s="1335"/>
      <c r="B274" s="1335"/>
      <c r="C274" s="520"/>
      <c r="D274" s="521"/>
      <c r="E274" s="520"/>
      <c r="F274" s="520"/>
      <c r="G274" s="520"/>
      <c r="H274" s="520"/>
      <c r="I274" s="520"/>
      <c r="J274" s="520"/>
      <c r="K274" s="520"/>
      <c r="L274" s="520"/>
      <c r="M274" s="520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</row>
    <row r="275" spans="1:29" s="519" customFormat="1" ht="19.5" customHeight="1">
      <c r="A275" s="1335"/>
      <c r="B275" s="1335"/>
      <c r="C275" s="520"/>
      <c r="D275" s="521"/>
      <c r="E275" s="520"/>
      <c r="F275" s="520"/>
      <c r="G275" s="520"/>
      <c r="H275" s="520"/>
      <c r="I275" s="520"/>
      <c r="J275" s="520"/>
      <c r="K275" s="520"/>
      <c r="L275" s="520"/>
      <c r="M275" s="520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</row>
    <row r="276" spans="1:29" s="519" customFormat="1" ht="19.5" customHeight="1">
      <c r="A276" s="1335"/>
      <c r="B276" s="1335"/>
      <c r="C276" s="520"/>
      <c r="D276" s="521"/>
      <c r="E276" s="520"/>
      <c r="F276" s="520"/>
      <c r="G276" s="520"/>
      <c r="H276" s="520"/>
      <c r="I276" s="520"/>
      <c r="J276" s="520"/>
      <c r="K276" s="520"/>
      <c r="L276" s="520"/>
      <c r="M276" s="520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</row>
    <row r="277" spans="1:29" s="519" customFormat="1" ht="19.5" customHeight="1">
      <c r="A277" s="1335"/>
      <c r="B277" s="1335"/>
      <c r="C277" s="520"/>
      <c r="D277" s="521"/>
      <c r="E277" s="520"/>
      <c r="F277" s="520"/>
      <c r="G277" s="520"/>
      <c r="H277" s="520"/>
      <c r="I277" s="520"/>
      <c r="J277" s="520"/>
      <c r="K277" s="520"/>
      <c r="L277" s="520"/>
      <c r="M277" s="520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</row>
    <row r="278" spans="1:29" s="519" customFormat="1" ht="19.5" customHeight="1">
      <c r="A278" s="1335"/>
      <c r="B278" s="1335"/>
      <c r="C278" s="520"/>
      <c r="D278" s="521"/>
      <c r="E278" s="520"/>
      <c r="F278" s="520"/>
      <c r="G278" s="520"/>
      <c r="H278" s="520"/>
      <c r="I278" s="520"/>
      <c r="J278" s="520"/>
      <c r="K278" s="520"/>
      <c r="L278" s="520"/>
      <c r="M278" s="520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</row>
    <row r="279" spans="1:29" s="519" customFormat="1" ht="19.5" customHeight="1">
      <c r="A279" s="1335"/>
      <c r="B279" s="1335"/>
      <c r="C279" s="520"/>
      <c r="D279" s="521"/>
      <c r="E279" s="520"/>
      <c r="F279" s="520"/>
      <c r="G279" s="520"/>
      <c r="H279" s="520"/>
      <c r="I279" s="520"/>
      <c r="J279" s="520"/>
      <c r="K279" s="520"/>
      <c r="L279" s="520"/>
      <c r="M279" s="520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</row>
    <row r="280" spans="1:29" s="519" customFormat="1" ht="19.5" customHeight="1">
      <c r="A280" s="1335"/>
      <c r="B280" s="1335"/>
      <c r="C280" s="520"/>
      <c r="D280" s="521"/>
      <c r="E280" s="520"/>
      <c r="F280" s="520"/>
      <c r="G280" s="520"/>
      <c r="H280" s="520"/>
      <c r="I280" s="520"/>
      <c r="J280" s="520"/>
      <c r="K280" s="520"/>
      <c r="L280" s="520"/>
      <c r="M280" s="520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</row>
    <row r="281" spans="1:29" s="519" customFormat="1" ht="19.5" customHeight="1">
      <c r="A281" s="1335"/>
      <c r="B281" s="1335"/>
      <c r="C281" s="520"/>
      <c r="D281" s="521"/>
      <c r="E281" s="520"/>
      <c r="F281" s="520"/>
      <c r="G281" s="520"/>
      <c r="H281" s="520"/>
      <c r="I281" s="520"/>
      <c r="J281" s="520"/>
      <c r="K281" s="520"/>
      <c r="L281" s="520"/>
      <c r="M281" s="520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</row>
    <row r="282" spans="1:29" s="519" customFormat="1" ht="19.5" customHeight="1">
      <c r="A282" s="1335"/>
      <c r="B282" s="1335"/>
      <c r="C282" s="520"/>
      <c r="D282" s="521"/>
      <c r="E282" s="520"/>
      <c r="F282" s="520"/>
      <c r="G282" s="520"/>
      <c r="H282" s="520"/>
      <c r="I282" s="520"/>
      <c r="J282" s="520"/>
      <c r="K282" s="520"/>
      <c r="L282" s="520"/>
      <c r="M282" s="520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</row>
    <row r="283" spans="1:29" s="519" customFormat="1" ht="19.5" customHeight="1">
      <c r="A283" s="1335"/>
      <c r="B283" s="1335"/>
      <c r="C283" s="520"/>
      <c r="D283" s="521"/>
      <c r="E283" s="520"/>
      <c r="F283" s="520"/>
      <c r="G283" s="520"/>
      <c r="H283" s="520"/>
      <c r="I283" s="520"/>
      <c r="J283" s="520"/>
      <c r="K283" s="520"/>
      <c r="L283" s="520"/>
      <c r="M283" s="520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</row>
    <row r="284" spans="1:29" s="519" customFormat="1" ht="19.5" customHeight="1">
      <c r="A284" s="1335"/>
      <c r="B284" s="1335"/>
      <c r="C284" s="520"/>
      <c r="D284" s="521"/>
      <c r="E284" s="520"/>
      <c r="F284" s="520"/>
      <c r="G284" s="520"/>
      <c r="H284" s="520"/>
      <c r="I284" s="520"/>
      <c r="J284" s="520"/>
      <c r="K284" s="520"/>
      <c r="L284" s="520"/>
      <c r="M284" s="520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</row>
    <row r="285" spans="1:29" s="519" customFormat="1" ht="19.5" customHeight="1">
      <c r="A285" s="1335"/>
      <c r="B285" s="1335"/>
      <c r="C285" s="520"/>
      <c r="D285" s="521"/>
      <c r="E285" s="520"/>
      <c r="F285" s="520"/>
      <c r="G285" s="520"/>
      <c r="H285" s="520"/>
      <c r="I285" s="520"/>
      <c r="J285" s="520"/>
      <c r="K285" s="520"/>
      <c r="L285" s="520"/>
      <c r="M285" s="520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</row>
    <row r="286" spans="1:29" s="519" customFormat="1" ht="19.5" customHeight="1">
      <c r="A286" s="1335"/>
      <c r="B286" s="1335"/>
      <c r="C286" s="520"/>
      <c r="D286" s="521"/>
      <c r="E286" s="520"/>
      <c r="F286" s="520"/>
      <c r="G286" s="520"/>
      <c r="H286" s="520"/>
      <c r="I286" s="520"/>
      <c r="J286" s="520"/>
      <c r="K286" s="520"/>
      <c r="L286" s="520"/>
      <c r="M286" s="520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</row>
    <row r="287" spans="1:29" s="519" customFormat="1" ht="19.5" customHeight="1">
      <c r="A287" s="1335"/>
      <c r="B287" s="1335"/>
      <c r="C287" s="520"/>
      <c r="D287" s="521"/>
      <c r="E287" s="520"/>
      <c r="F287" s="520"/>
      <c r="G287" s="520"/>
      <c r="H287" s="520"/>
      <c r="I287" s="520"/>
      <c r="J287" s="520"/>
      <c r="K287" s="520"/>
      <c r="L287" s="520"/>
      <c r="M287" s="520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</row>
    <row r="288" spans="1:29" s="519" customFormat="1" ht="19.5" customHeight="1">
      <c r="A288" s="1335"/>
      <c r="B288" s="1335"/>
      <c r="C288" s="520"/>
      <c r="D288" s="521"/>
      <c r="E288" s="520"/>
      <c r="F288" s="520"/>
      <c r="G288" s="520"/>
      <c r="H288" s="520"/>
      <c r="I288" s="520"/>
      <c r="J288" s="520"/>
      <c r="K288" s="520"/>
      <c r="L288" s="520"/>
      <c r="M288" s="520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</row>
    <row r="289" spans="1:29" s="519" customFormat="1" ht="19.5" customHeight="1">
      <c r="A289" s="1335"/>
      <c r="B289" s="1335"/>
      <c r="C289" s="520"/>
      <c r="D289" s="521"/>
      <c r="E289" s="520"/>
      <c r="F289" s="520"/>
      <c r="G289" s="520"/>
      <c r="H289" s="520"/>
      <c r="I289" s="520"/>
      <c r="J289" s="520"/>
      <c r="K289" s="520"/>
      <c r="L289" s="520"/>
      <c r="M289" s="520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</row>
    <row r="290" spans="1:29" s="519" customFormat="1" ht="19.5" customHeight="1">
      <c r="A290" s="1335"/>
      <c r="B290" s="1335"/>
      <c r="C290" s="520"/>
      <c r="D290" s="521"/>
      <c r="E290" s="520"/>
      <c r="F290" s="520"/>
      <c r="G290" s="520"/>
      <c r="H290" s="520"/>
      <c r="I290" s="520"/>
      <c r="J290" s="520"/>
      <c r="K290" s="520"/>
      <c r="L290" s="520"/>
      <c r="M290" s="520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</row>
    <row r="291" spans="1:29" s="519" customFormat="1" ht="19.5" customHeight="1">
      <c r="A291" s="1335"/>
      <c r="B291" s="1335"/>
      <c r="C291" s="520"/>
      <c r="D291" s="521"/>
      <c r="E291" s="520"/>
      <c r="F291" s="520"/>
      <c r="G291" s="520"/>
      <c r="H291" s="520"/>
      <c r="I291" s="520"/>
      <c r="J291" s="520"/>
      <c r="K291" s="520"/>
      <c r="L291" s="520"/>
      <c r="M291" s="520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</row>
    <row r="292" spans="1:29" s="519" customFormat="1" ht="19.5" customHeight="1">
      <c r="A292" s="1335"/>
      <c r="B292" s="1335"/>
      <c r="C292" s="520"/>
      <c r="D292" s="521"/>
      <c r="E292" s="520"/>
      <c r="F292" s="520"/>
      <c r="G292" s="520"/>
      <c r="H292" s="520"/>
      <c r="I292" s="520"/>
      <c r="J292" s="520"/>
      <c r="K292" s="520"/>
      <c r="L292" s="520"/>
      <c r="M292" s="520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</row>
    <row r="293" spans="1:29" s="519" customFormat="1" ht="19.5" customHeight="1">
      <c r="A293" s="1335"/>
      <c r="B293" s="1335"/>
      <c r="C293" s="520"/>
      <c r="D293" s="521"/>
      <c r="E293" s="520"/>
      <c r="F293" s="520"/>
      <c r="G293" s="520"/>
      <c r="H293" s="520"/>
      <c r="I293" s="520"/>
      <c r="J293" s="520"/>
      <c r="K293" s="520"/>
      <c r="L293" s="520"/>
      <c r="M293" s="520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</row>
    <row r="294" spans="1:29" s="519" customFormat="1" ht="19.5" customHeight="1">
      <c r="A294" s="1335"/>
      <c r="B294" s="1335"/>
      <c r="C294" s="520"/>
      <c r="D294" s="521"/>
      <c r="E294" s="520"/>
      <c r="F294" s="520"/>
      <c r="G294" s="520"/>
      <c r="H294" s="520"/>
      <c r="I294" s="520"/>
      <c r="J294" s="520"/>
      <c r="K294" s="520"/>
      <c r="L294" s="520"/>
      <c r="M294" s="520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</row>
    <row r="295" spans="1:29" s="519" customFormat="1" ht="19.5" customHeight="1">
      <c r="A295" s="1335"/>
      <c r="B295" s="1335"/>
      <c r="C295" s="520"/>
      <c r="D295" s="521"/>
      <c r="E295" s="520"/>
      <c r="F295" s="520"/>
      <c r="G295" s="520"/>
      <c r="H295" s="520"/>
      <c r="I295" s="520"/>
      <c r="J295" s="520"/>
      <c r="K295" s="520"/>
      <c r="L295" s="520"/>
      <c r="M295" s="520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</row>
    <row r="296" spans="1:29" s="519" customFormat="1" ht="19.5" customHeight="1">
      <c r="A296" s="1335"/>
      <c r="B296" s="1335"/>
      <c r="C296" s="520"/>
      <c r="D296" s="521"/>
      <c r="E296" s="520"/>
      <c r="F296" s="520"/>
      <c r="G296" s="520"/>
      <c r="H296" s="520"/>
      <c r="I296" s="520"/>
      <c r="J296" s="520"/>
      <c r="K296" s="520"/>
      <c r="L296" s="520"/>
      <c r="M296" s="520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</row>
    <row r="297" spans="1:29" s="519" customFormat="1" ht="30" customHeight="1">
      <c r="A297" s="1335"/>
      <c r="B297" s="1335"/>
      <c r="C297" s="520"/>
      <c r="D297" s="521"/>
      <c r="E297" s="520"/>
      <c r="F297" s="520"/>
      <c r="G297" s="520"/>
      <c r="H297" s="520"/>
      <c r="I297" s="520"/>
      <c r="J297" s="520"/>
      <c r="K297" s="520"/>
      <c r="L297" s="520"/>
      <c r="M297" s="520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</row>
    <row r="298" spans="1:29" s="519" customFormat="1" ht="30" customHeight="1">
      <c r="A298" s="1335"/>
      <c r="B298" s="1335"/>
      <c r="C298" s="520"/>
      <c r="D298" s="521"/>
      <c r="E298" s="520"/>
      <c r="F298" s="520"/>
      <c r="G298" s="520"/>
      <c r="H298" s="520"/>
      <c r="I298" s="520"/>
      <c r="J298" s="520"/>
      <c r="K298" s="520"/>
      <c r="L298" s="520"/>
      <c r="M298" s="520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</row>
    <row r="299" spans="1:29" s="519" customFormat="1" ht="30" customHeight="1">
      <c r="A299" s="1335"/>
      <c r="B299" s="1335"/>
      <c r="C299" s="520"/>
      <c r="D299" s="521"/>
      <c r="E299" s="520"/>
      <c r="F299" s="520"/>
      <c r="G299" s="520"/>
      <c r="H299" s="520"/>
      <c r="I299" s="520"/>
      <c r="J299" s="520"/>
      <c r="K299" s="520"/>
      <c r="L299" s="520"/>
      <c r="M299" s="520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</row>
    <row r="300" spans="1:29" s="519" customFormat="1" ht="30" customHeight="1">
      <c r="A300" s="1335"/>
      <c r="B300" s="1335"/>
      <c r="C300" s="520"/>
      <c r="D300" s="521"/>
      <c r="E300" s="520"/>
      <c r="F300" s="520"/>
      <c r="G300" s="520"/>
      <c r="H300" s="520"/>
      <c r="I300" s="520"/>
      <c r="J300" s="520"/>
      <c r="K300" s="520"/>
      <c r="L300" s="520"/>
      <c r="M300" s="520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</row>
    <row r="301" spans="1:29" s="519" customFormat="1" ht="30" customHeight="1">
      <c r="A301" s="1335"/>
      <c r="B301" s="1335"/>
      <c r="C301" s="520"/>
      <c r="D301" s="521"/>
      <c r="E301" s="520"/>
      <c r="F301" s="520"/>
      <c r="G301" s="520"/>
      <c r="H301" s="520"/>
      <c r="I301" s="520"/>
      <c r="J301" s="520"/>
      <c r="K301" s="520"/>
      <c r="L301" s="520"/>
      <c r="M301" s="520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</row>
    <row r="302" spans="1:29" s="519" customFormat="1" ht="30" customHeight="1">
      <c r="A302" s="1335"/>
      <c r="B302" s="1335"/>
      <c r="C302" s="520"/>
      <c r="D302" s="521"/>
      <c r="E302" s="520"/>
      <c r="F302" s="520"/>
      <c r="G302" s="520"/>
      <c r="H302" s="520"/>
      <c r="I302" s="520"/>
      <c r="J302" s="520"/>
      <c r="K302" s="520"/>
      <c r="L302" s="520"/>
      <c r="M302" s="520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</row>
    <row r="303" spans="1:29" s="519" customFormat="1" ht="30" customHeight="1">
      <c r="A303" s="1335"/>
      <c r="B303" s="1335"/>
      <c r="C303" s="520"/>
      <c r="D303" s="521"/>
      <c r="E303" s="520"/>
      <c r="F303" s="520"/>
      <c r="G303" s="520"/>
      <c r="H303" s="520"/>
      <c r="I303" s="520"/>
      <c r="J303" s="520"/>
      <c r="K303" s="520"/>
      <c r="L303" s="520"/>
      <c r="M303" s="520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</row>
    <row r="304" spans="1:29" s="519" customFormat="1" ht="30" customHeight="1">
      <c r="A304" s="1335"/>
      <c r="B304" s="1335"/>
      <c r="C304" s="520"/>
      <c r="D304" s="521"/>
      <c r="E304" s="520"/>
      <c r="F304" s="520"/>
      <c r="G304" s="520"/>
      <c r="H304" s="520"/>
      <c r="I304" s="520"/>
      <c r="J304" s="520"/>
      <c r="K304" s="520"/>
      <c r="L304" s="520"/>
      <c r="M304" s="520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</row>
    <row r="305" spans="1:29" s="519" customFormat="1" ht="30" customHeight="1">
      <c r="A305" s="1335"/>
      <c r="B305" s="1335"/>
      <c r="C305" s="520"/>
      <c r="D305" s="521"/>
      <c r="E305" s="520"/>
      <c r="F305" s="520"/>
      <c r="G305" s="520"/>
      <c r="H305" s="520"/>
      <c r="I305" s="520"/>
      <c r="J305" s="520"/>
      <c r="K305" s="520"/>
      <c r="L305" s="520"/>
      <c r="M305" s="520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</row>
    <row r="306" spans="1:29" s="519" customFormat="1" ht="30" customHeight="1">
      <c r="A306" s="1335"/>
      <c r="B306" s="1335"/>
      <c r="C306" s="520"/>
      <c r="D306" s="521"/>
      <c r="E306" s="520"/>
      <c r="F306" s="520"/>
      <c r="G306" s="520"/>
      <c r="H306" s="520"/>
      <c r="I306" s="520"/>
      <c r="J306" s="520"/>
      <c r="K306" s="520"/>
      <c r="L306" s="520"/>
      <c r="M306" s="520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</row>
    <row r="307" spans="1:29" s="519" customFormat="1" ht="30" customHeight="1">
      <c r="A307" s="1335"/>
      <c r="B307" s="1335"/>
      <c r="C307" s="520"/>
      <c r="D307" s="521"/>
      <c r="E307" s="520"/>
      <c r="F307" s="520"/>
      <c r="G307" s="520"/>
      <c r="H307" s="520"/>
      <c r="I307" s="520"/>
      <c r="J307" s="520"/>
      <c r="K307" s="520"/>
      <c r="L307" s="520"/>
      <c r="M307" s="520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</row>
    <row r="308" spans="1:29" s="519" customFormat="1" ht="30" customHeight="1">
      <c r="A308" s="1335"/>
      <c r="B308" s="1335"/>
      <c r="C308" s="520"/>
      <c r="D308" s="521"/>
      <c r="E308" s="520"/>
      <c r="F308" s="520"/>
      <c r="G308" s="520"/>
      <c r="H308" s="520"/>
      <c r="I308" s="520"/>
      <c r="J308" s="520"/>
      <c r="K308" s="520"/>
      <c r="L308" s="520"/>
      <c r="M308" s="520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</row>
    <row r="309" spans="1:29" s="519" customFormat="1" ht="33" customHeight="1">
      <c r="A309" s="1335"/>
      <c r="B309" s="1335"/>
      <c r="C309" s="520"/>
      <c r="D309" s="521"/>
      <c r="E309" s="520"/>
      <c r="F309" s="520"/>
      <c r="G309" s="520"/>
      <c r="H309" s="520"/>
      <c r="I309" s="520"/>
      <c r="J309" s="520"/>
      <c r="K309" s="520"/>
      <c r="L309" s="520"/>
      <c r="M309" s="520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</row>
    <row r="310" spans="1:29" s="519" customFormat="1" ht="29.25" customHeight="1">
      <c r="A310" s="1335"/>
      <c r="B310" s="1335"/>
      <c r="C310" s="520"/>
      <c r="D310" s="521"/>
      <c r="E310" s="520"/>
      <c r="F310" s="520"/>
      <c r="G310" s="520"/>
      <c r="H310" s="520"/>
      <c r="I310" s="520"/>
      <c r="J310" s="520"/>
      <c r="K310" s="520"/>
      <c r="L310" s="520"/>
      <c r="M310" s="520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</row>
    <row r="311" spans="1:29" s="519" customFormat="1" ht="23.25" customHeight="1">
      <c r="A311" s="1335"/>
      <c r="B311" s="1335"/>
      <c r="C311" s="520"/>
      <c r="D311" s="521"/>
      <c r="E311" s="520"/>
      <c r="F311" s="520"/>
      <c r="G311" s="520"/>
      <c r="H311" s="520"/>
      <c r="I311" s="520"/>
      <c r="J311" s="520"/>
      <c r="K311" s="520"/>
      <c r="L311" s="520"/>
      <c r="M311" s="520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</row>
    <row r="312" spans="1:29" s="519" customFormat="1" ht="33.75" customHeight="1">
      <c r="A312" s="1335"/>
      <c r="B312" s="1335"/>
      <c r="C312" s="520"/>
      <c r="D312" s="521"/>
      <c r="E312" s="520"/>
      <c r="F312" s="520"/>
      <c r="G312" s="520"/>
      <c r="H312" s="520"/>
      <c r="I312" s="520"/>
      <c r="J312" s="520"/>
      <c r="K312" s="520"/>
      <c r="L312" s="520"/>
      <c r="M312" s="520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</row>
    <row r="313" spans="1:29" s="519" customFormat="1" ht="33" customHeight="1">
      <c r="A313" s="1335"/>
      <c r="B313" s="1335"/>
      <c r="C313" s="520"/>
      <c r="D313" s="521"/>
      <c r="E313" s="520"/>
      <c r="F313" s="520"/>
      <c r="G313" s="520"/>
      <c r="H313" s="520"/>
      <c r="I313" s="520"/>
      <c r="J313" s="520"/>
      <c r="K313" s="520"/>
      <c r="L313" s="520"/>
      <c r="M313" s="520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</row>
    <row r="314" spans="1:29" s="519" customFormat="1" ht="30" customHeight="1">
      <c r="A314" s="1335"/>
      <c r="B314" s="1335"/>
      <c r="C314" s="520"/>
      <c r="D314" s="521"/>
      <c r="E314" s="520"/>
      <c r="F314" s="520"/>
      <c r="G314" s="520"/>
      <c r="H314" s="520"/>
      <c r="I314" s="520"/>
      <c r="J314" s="520"/>
      <c r="K314" s="520"/>
      <c r="L314" s="520"/>
      <c r="M314" s="520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</row>
    <row r="315" spans="1:29" s="519" customFormat="1" ht="30" customHeight="1">
      <c r="A315" s="1335"/>
      <c r="B315" s="1335"/>
      <c r="C315" s="520"/>
      <c r="D315" s="521"/>
      <c r="E315" s="520"/>
      <c r="F315" s="520"/>
      <c r="G315" s="520"/>
      <c r="H315" s="520"/>
      <c r="I315" s="520"/>
      <c r="J315" s="520"/>
      <c r="K315" s="520"/>
      <c r="L315" s="520"/>
      <c r="M315" s="520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</row>
    <row r="316" spans="1:29" s="519" customFormat="1" ht="31.5" customHeight="1">
      <c r="A316" s="1335"/>
      <c r="B316" s="1335"/>
      <c r="C316" s="520"/>
      <c r="D316" s="521"/>
      <c r="E316" s="520"/>
      <c r="F316" s="520"/>
      <c r="G316" s="520"/>
      <c r="H316" s="520"/>
      <c r="I316" s="520"/>
      <c r="J316" s="520"/>
      <c r="K316" s="520"/>
      <c r="L316" s="520"/>
      <c r="M316" s="520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</row>
    <row r="317" spans="1:29" s="519" customFormat="1" ht="33.75" customHeight="1">
      <c r="A317" s="1335"/>
      <c r="B317" s="1335"/>
      <c r="C317" s="520"/>
      <c r="D317" s="521"/>
      <c r="E317" s="520"/>
      <c r="F317" s="520"/>
      <c r="G317" s="520"/>
      <c r="H317" s="520"/>
      <c r="I317" s="520"/>
      <c r="J317" s="520"/>
      <c r="K317" s="520"/>
      <c r="L317" s="520"/>
      <c r="M317" s="520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</row>
    <row r="318" spans="1:29" s="519" customFormat="1" ht="30" customHeight="1">
      <c r="A318" s="1335"/>
      <c r="B318" s="1335"/>
      <c r="C318" s="520"/>
      <c r="D318" s="521"/>
      <c r="E318" s="520"/>
      <c r="F318" s="520"/>
      <c r="G318" s="520"/>
      <c r="H318" s="520"/>
      <c r="I318" s="520"/>
      <c r="J318" s="520"/>
      <c r="K318" s="520"/>
      <c r="L318" s="520"/>
      <c r="M318" s="520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</row>
    <row r="319" spans="1:29" s="519" customFormat="1" ht="30" customHeight="1">
      <c r="A319" s="1335"/>
      <c r="B319" s="1335"/>
      <c r="C319" s="520"/>
      <c r="D319" s="521"/>
      <c r="E319" s="520"/>
      <c r="F319" s="520"/>
      <c r="G319" s="520"/>
      <c r="H319" s="520"/>
      <c r="I319" s="520"/>
      <c r="J319" s="520"/>
      <c r="K319" s="520"/>
      <c r="L319" s="520"/>
      <c r="M319" s="520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</row>
    <row r="320" spans="1:13" ht="33.75" customHeight="1">
      <c r="A320" s="1335"/>
      <c r="B320" s="1335"/>
      <c r="C320" s="520"/>
      <c r="D320" s="521"/>
      <c r="E320" s="522"/>
      <c r="F320" s="522"/>
      <c r="G320" s="522"/>
      <c r="H320" s="522"/>
      <c r="I320" s="522"/>
      <c r="J320" s="522"/>
      <c r="K320" s="522"/>
      <c r="L320" s="522"/>
      <c r="M320" s="522"/>
    </row>
    <row r="321" spans="1:13" ht="30" customHeight="1">
      <c r="A321" s="1335"/>
      <c r="B321" s="1335"/>
      <c r="C321" s="520"/>
      <c r="D321" s="521"/>
      <c r="E321" s="522"/>
      <c r="F321" s="522"/>
      <c r="G321" s="522"/>
      <c r="H321" s="522"/>
      <c r="I321" s="522"/>
      <c r="J321" s="522"/>
      <c r="K321" s="522"/>
      <c r="L321" s="522"/>
      <c r="M321" s="522"/>
    </row>
    <row r="322" ht="39.75" customHeight="1"/>
    <row r="323" ht="47.25" customHeight="1"/>
    <row r="324" ht="35.25" customHeight="1"/>
    <row r="325" ht="35.25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48.75" customHeight="1"/>
    <row r="343" ht="48.75" customHeight="1"/>
    <row r="344" ht="48.75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106.5" customHeight="1"/>
    <row r="362" ht="77.25" customHeight="1"/>
    <row r="363" ht="30" customHeight="1"/>
    <row r="364" ht="28.5" customHeight="1"/>
    <row r="365" ht="30" customHeight="1"/>
    <row r="366" ht="21.75" customHeight="1"/>
    <row r="367" ht="30" customHeight="1"/>
    <row r="368" ht="30" customHeight="1"/>
    <row r="369" ht="27.75" customHeight="1"/>
    <row r="370" ht="33" customHeight="1"/>
    <row r="371" ht="32.25" customHeight="1"/>
    <row r="372" ht="21" customHeight="1"/>
    <row r="373" ht="30" customHeight="1"/>
    <row r="374" ht="24" customHeight="1"/>
    <row r="375" ht="24.75" customHeight="1"/>
    <row r="376" ht="24.75" customHeight="1"/>
    <row r="377" ht="26.25" customHeight="1"/>
    <row r="378" ht="24" customHeight="1"/>
    <row r="379" ht="24" customHeight="1"/>
    <row r="380" ht="24.75" customHeight="1"/>
    <row r="381" ht="33.75" customHeight="1"/>
    <row r="382" ht="33.75" customHeight="1"/>
    <row r="383" ht="39.75" customHeight="1"/>
    <row r="384" spans="1:29" s="523" customFormat="1" ht="21.75" customHeight="1">
      <c r="A384" s="251"/>
      <c r="B384" s="251"/>
      <c r="C384" s="514"/>
      <c r="D384" s="515"/>
      <c r="E384" s="516"/>
      <c r="F384" s="516"/>
      <c r="G384" s="516"/>
      <c r="H384" s="516"/>
      <c r="I384" s="516"/>
      <c r="J384" s="516"/>
      <c r="K384" s="516"/>
      <c r="L384" s="516"/>
      <c r="M384" s="516"/>
      <c r="N384" s="1505"/>
      <c r="O384" s="1505"/>
      <c r="P384" s="1505"/>
      <c r="Q384" s="1505"/>
      <c r="R384" s="1505"/>
      <c r="S384" s="1505"/>
      <c r="T384" s="1505"/>
      <c r="U384" s="1505"/>
      <c r="V384" s="1505"/>
      <c r="W384" s="1505"/>
      <c r="X384" s="1505"/>
      <c r="Y384" s="1505"/>
      <c r="Z384" s="1505"/>
      <c r="AA384" s="1505"/>
      <c r="AB384" s="1505"/>
      <c r="AC384" s="1505"/>
    </row>
    <row r="385" ht="24.75" customHeight="1"/>
    <row r="386" ht="49.5" customHeight="1"/>
    <row r="387" ht="30.75" customHeight="1"/>
    <row r="388" ht="27.75" customHeight="1"/>
  </sheetData>
  <mergeCells count="11">
    <mergeCell ref="P8:P9"/>
    <mergeCell ref="W8:W9"/>
    <mergeCell ref="N7:N9"/>
    <mergeCell ref="O7:O9"/>
    <mergeCell ref="F8:F9"/>
    <mergeCell ref="M8:M9"/>
    <mergeCell ref="A7:A9"/>
    <mergeCell ref="B7:B9"/>
    <mergeCell ref="D7:D9"/>
    <mergeCell ref="E7:E9"/>
    <mergeCell ref="C7:C9"/>
  </mergeCells>
  <printOptions/>
  <pageMargins left="0.2755905511811024" right="0.1968503937007874" top="0.5905511811023623" bottom="0.5905511811023623" header="0.5118110236220472" footer="0.5118110236220472"/>
  <pageSetup firstPageNumber="18" useFirstPageNumber="1" horizontalDpi="600" verticalDpi="600" orientation="landscape" paperSize="9" scale="4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Q412"/>
  <sheetViews>
    <sheetView workbookViewId="0" topLeftCell="B7">
      <pane ySplit="1980" topLeftCell="BM391" activePane="bottomLeft" state="split"/>
      <selection pane="topLeft" activeCell="D58" sqref="D58"/>
      <selection pane="bottomLeft" activeCell="J403" sqref="J403"/>
    </sheetView>
  </sheetViews>
  <sheetFormatPr defaultColWidth="9.00390625" defaultRowHeight="12.75"/>
  <cols>
    <col min="1" max="1" width="5.125" style="532" customWidth="1"/>
    <col min="2" max="3" width="6.625" style="532" customWidth="1"/>
    <col min="4" max="4" width="66.625" style="532" customWidth="1"/>
    <col min="5" max="8" width="14.875" style="532" customWidth="1"/>
    <col min="9" max="10" width="9.75390625" style="532" bestFit="1" customWidth="1"/>
    <col min="11" max="16384" width="9.125" style="532" customWidth="1"/>
  </cols>
  <sheetData>
    <row r="1" s="42" customFormat="1" ht="12.75">
      <c r="G1" s="42" t="s">
        <v>569</v>
      </c>
    </row>
    <row r="2" spans="1:7" s="57" customFormat="1" ht="12.75">
      <c r="A2" s="52" t="s">
        <v>273</v>
      </c>
      <c r="G2" s="57" t="s">
        <v>163</v>
      </c>
    </row>
    <row r="3" spans="1:7" s="57" customFormat="1" ht="12.75">
      <c r="A3" s="52" t="s">
        <v>274</v>
      </c>
      <c r="G3" s="57" t="s">
        <v>272</v>
      </c>
    </row>
    <row r="4" spans="1:7" s="57" customFormat="1" ht="12.75">
      <c r="A4" s="57" t="s">
        <v>608</v>
      </c>
      <c r="G4" s="57" t="s">
        <v>355</v>
      </c>
    </row>
    <row r="5" s="57" customFormat="1" ht="14.25" customHeight="1"/>
    <row r="6" s="57" customFormat="1" ht="15.75" customHeight="1" thickBot="1">
      <c r="H6" s="50" t="s">
        <v>184</v>
      </c>
    </row>
    <row r="7" spans="1:8" s="57" customFormat="1" ht="18" customHeight="1" thickBot="1" thickTop="1">
      <c r="A7" s="1572" t="s">
        <v>275</v>
      </c>
      <c r="B7" s="1572" t="s">
        <v>186</v>
      </c>
      <c r="C7" s="1572" t="s">
        <v>276</v>
      </c>
      <c r="D7" s="1572" t="s">
        <v>277</v>
      </c>
      <c r="E7" s="1574" t="s">
        <v>176</v>
      </c>
      <c r="F7" s="1574"/>
      <c r="G7" s="1574" t="s">
        <v>278</v>
      </c>
      <c r="H7" s="1574"/>
    </row>
    <row r="8" spans="1:8" s="57" customFormat="1" ht="20.25" customHeight="1" thickBot="1" thickTop="1">
      <c r="A8" s="1573"/>
      <c r="B8" s="1573"/>
      <c r="C8" s="1573"/>
      <c r="D8" s="1573"/>
      <c r="E8" s="58" t="s">
        <v>175</v>
      </c>
      <c r="F8" s="58" t="s">
        <v>174</v>
      </c>
      <c r="G8" s="58" t="s">
        <v>175</v>
      </c>
      <c r="H8" s="58" t="s">
        <v>174</v>
      </c>
    </row>
    <row r="9" spans="1:8" s="534" customFormat="1" ht="14.25" thickBot="1" thickTop="1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</row>
    <row r="10" spans="1:10" s="61" customFormat="1" ht="19.5" customHeight="1" thickTop="1">
      <c r="A10" s="535"/>
      <c r="B10" s="535"/>
      <c r="C10" s="535"/>
      <c r="D10" s="59" t="s">
        <v>279</v>
      </c>
      <c r="E10" s="60"/>
      <c r="F10" s="60">
        <f>F12+F70+F83+F97+F133+F197+F308+F324+F337+F399</f>
        <v>1236426</v>
      </c>
      <c r="G10" s="60">
        <f>G11+G337+G399+G330+G387</f>
        <v>3832261</v>
      </c>
      <c r="H10" s="60">
        <f>H11+H337+H399+H330+H387</f>
        <v>5068687</v>
      </c>
      <c r="I10" s="76"/>
      <c r="J10" s="76"/>
    </row>
    <row r="11" spans="1:11" s="61" customFormat="1" ht="14.25" customHeight="1">
      <c r="A11" s="62"/>
      <c r="B11" s="62"/>
      <c r="C11" s="62"/>
      <c r="D11" s="63" t="s">
        <v>280</v>
      </c>
      <c r="E11" s="64"/>
      <c r="F11" s="64">
        <f>F12+F70+F83+F97+F133+F197+F308+F324</f>
        <v>1236426</v>
      </c>
      <c r="G11" s="64">
        <f>G12+G70+G83+G97+G133+G197+G308+G324+G187</f>
        <v>3562857</v>
      </c>
      <c r="H11" s="64">
        <f>H12+H70+H83+H97+H133+H197+H308+H324+H187</f>
        <v>3089179</v>
      </c>
      <c r="I11" s="76"/>
      <c r="J11" s="76"/>
      <c r="K11" s="76"/>
    </row>
    <row r="12" spans="1:9" s="61" customFormat="1" ht="21" customHeight="1">
      <c r="A12" s="65"/>
      <c r="B12" s="65"/>
      <c r="C12" s="65"/>
      <c r="D12" s="63" t="s">
        <v>636</v>
      </c>
      <c r="E12" s="64"/>
      <c r="F12" s="64">
        <f>F13+F24</f>
        <v>1236426</v>
      </c>
      <c r="G12" s="64">
        <f>G46</f>
        <v>178570</v>
      </c>
      <c r="H12" s="64">
        <f>H46</f>
        <v>27920</v>
      </c>
      <c r="I12" s="76"/>
    </row>
    <row r="13" spans="1:8" s="57" customFormat="1" ht="21" customHeight="1">
      <c r="A13" s="51"/>
      <c r="B13" s="51"/>
      <c r="C13" s="51"/>
      <c r="D13" s="1256" t="s">
        <v>281</v>
      </c>
      <c r="E13" s="1257"/>
      <c r="F13" s="1257">
        <f>F19+F14</f>
        <v>33297</v>
      </c>
      <c r="G13" s="1257"/>
      <c r="H13" s="1257"/>
    </row>
    <row r="14" spans="1:8" s="50" customFormat="1" ht="21" customHeight="1" thickBot="1">
      <c r="A14" s="1308"/>
      <c r="B14" s="1308"/>
      <c r="C14" s="1308"/>
      <c r="D14" s="292" t="s">
        <v>190</v>
      </c>
      <c r="E14" s="1259"/>
      <c r="F14" s="1260">
        <f>F15</f>
        <v>9697</v>
      </c>
      <c r="G14" s="1259"/>
      <c r="H14" s="1259"/>
    </row>
    <row r="15" spans="1:8" s="42" customFormat="1" ht="18" customHeight="1" thickBot="1" thickTop="1">
      <c r="A15" s="1243">
        <v>801</v>
      </c>
      <c r="B15" s="1243"/>
      <c r="C15" s="1243"/>
      <c r="D15" s="1244" t="s">
        <v>395</v>
      </c>
      <c r="E15" s="1244"/>
      <c r="F15" s="1245">
        <f>F16</f>
        <v>9697</v>
      </c>
      <c r="G15" s="1244"/>
      <c r="H15" s="1244"/>
    </row>
    <row r="16" spans="1:8" s="42" customFormat="1" ht="18" customHeight="1">
      <c r="A16" s="1246"/>
      <c r="B16" s="1247">
        <v>80195</v>
      </c>
      <c r="C16" s="1247"/>
      <c r="D16" s="1248" t="s">
        <v>401</v>
      </c>
      <c r="E16" s="1248"/>
      <c r="F16" s="1249">
        <f>F17</f>
        <v>9697</v>
      </c>
      <c r="G16" s="1248"/>
      <c r="H16" s="1248"/>
    </row>
    <row r="17" spans="1:8" s="42" customFormat="1" ht="25.5" customHeight="1">
      <c r="A17" s="1250"/>
      <c r="B17" s="1250"/>
      <c r="C17" s="1251"/>
      <c r="D17" s="1272" t="s">
        <v>371</v>
      </c>
      <c r="E17" s="172"/>
      <c r="F17" s="1261">
        <f>F18</f>
        <v>9697</v>
      </c>
      <c r="G17" s="172"/>
      <c r="H17" s="172"/>
    </row>
    <row r="18" spans="1:8" s="42" customFormat="1" ht="25.5" customHeight="1">
      <c r="A18" s="740"/>
      <c r="B18" s="740"/>
      <c r="C18" s="1262">
        <v>2030</v>
      </c>
      <c r="D18" s="747" t="s">
        <v>370</v>
      </c>
      <c r="E18" s="1030"/>
      <c r="F18" s="406">
        <v>9697</v>
      </c>
      <c r="G18" s="1030"/>
      <c r="H18" s="1030"/>
    </row>
    <row r="19" spans="1:8" s="50" customFormat="1" ht="26.25" thickBot="1">
      <c r="A19" s="1258"/>
      <c r="B19" s="1258"/>
      <c r="C19" s="1258"/>
      <c r="D19" s="1259" t="s">
        <v>158</v>
      </c>
      <c r="E19" s="1259"/>
      <c r="F19" s="1260">
        <f>F20</f>
        <v>23600</v>
      </c>
      <c r="G19" s="1259"/>
      <c r="H19" s="1259"/>
    </row>
    <row r="20" spans="1:8" s="42" customFormat="1" ht="18" customHeight="1" thickBot="1" thickTop="1">
      <c r="A20" s="1243">
        <v>852</v>
      </c>
      <c r="B20" s="1243"/>
      <c r="C20" s="1243"/>
      <c r="D20" s="1244" t="s">
        <v>324</v>
      </c>
      <c r="E20" s="1244"/>
      <c r="F20" s="1245">
        <f>F21</f>
        <v>23600</v>
      </c>
      <c r="G20" s="1244"/>
      <c r="H20" s="1244"/>
    </row>
    <row r="21" spans="1:8" s="42" customFormat="1" ht="18" customHeight="1">
      <c r="A21" s="1246"/>
      <c r="B21" s="1247">
        <v>85278</v>
      </c>
      <c r="C21" s="1247"/>
      <c r="D21" s="1248" t="s">
        <v>157</v>
      </c>
      <c r="E21" s="1248"/>
      <c r="F21" s="1249">
        <f>F22</f>
        <v>23600</v>
      </c>
      <c r="G21" s="1248"/>
      <c r="H21" s="1248"/>
    </row>
    <row r="22" spans="1:8" s="42" customFormat="1" ht="25.5" customHeight="1">
      <c r="A22" s="1250"/>
      <c r="B22" s="1250"/>
      <c r="C22" s="1251"/>
      <c r="D22" s="172" t="s">
        <v>545</v>
      </c>
      <c r="E22" s="172"/>
      <c r="F22" s="1261">
        <f>F23</f>
        <v>23600</v>
      </c>
      <c r="G22" s="172"/>
      <c r="H22" s="172"/>
    </row>
    <row r="23" spans="1:8" s="42" customFormat="1" ht="25.5" customHeight="1">
      <c r="A23" s="740"/>
      <c r="B23" s="740"/>
      <c r="C23" s="1262">
        <v>2010</v>
      </c>
      <c r="D23" s="1030" t="s">
        <v>367</v>
      </c>
      <c r="E23" s="1030"/>
      <c r="F23" s="406">
        <v>23600</v>
      </c>
      <c r="G23" s="1030"/>
      <c r="H23" s="1030"/>
    </row>
    <row r="24" spans="1:8" s="50" customFormat="1" ht="18" customHeight="1">
      <c r="A24" s="54"/>
      <c r="B24" s="54"/>
      <c r="C24" s="54"/>
      <c r="D24" s="1138" t="s">
        <v>282</v>
      </c>
      <c r="E24" s="1138"/>
      <c r="F24" s="1139">
        <f>F31+F25</f>
        <v>1203129</v>
      </c>
      <c r="G24" s="1138"/>
      <c r="H24" s="1140"/>
    </row>
    <row r="25" spans="1:8" s="50" customFormat="1" ht="26.25" thickBot="1">
      <c r="A25" s="414"/>
      <c r="B25" s="414"/>
      <c r="C25" s="414"/>
      <c r="D25" s="292" t="s">
        <v>202</v>
      </c>
      <c r="E25" s="292"/>
      <c r="F25" s="408">
        <f>F26</f>
        <v>11558</v>
      </c>
      <c r="G25" s="292"/>
      <c r="H25" s="292"/>
    </row>
    <row r="26" spans="1:8" s="57" customFormat="1" ht="18" customHeight="1" thickBot="1" thickTop="1">
      <c r="A26" s="736">
        <v>853</v>
      </c>
      <c r="B26" s="736"/>
      <c r="C26" s="736"/>
      <c r="D26" s="565" t="s">
        <v>389</v>
      </c>
      <c r="E26" s="748"/>
      <c r="F26" s="749">
        <f>F27</f>
        <v>11558</v>
      </c>
      <c r="G26" s="748"/>
      <c r="H26" s="748"/>
    </row>
    <row r="27" spans="1:8" s="57" customFormat="1" ht="18" customHeight="1">
      <c r="A27" s="567"/>
      <c r="B27" s="568">
        <v>85311</v>
      </c>
      <c r="C27" s="568"/>
      <c r="D27" s="537" t="s">
        <v>216</v>
      </c>
      <c r="E27" s="569"/>
      <c r="F27" s="570">
        <f>F28</f>
        <v>11558</v>
      </c>
      <c r="G27" s="569"/>
      <c r="H27" s="569"/>
    </row>
    <row r="28" spans="1:8" s="57" customFormat="1" ht="25.5">
      <c r="A28" s="609"/>
      <c r="B28" s="609"/>
      <c r="C28" s="609"/>
      <c r="D28" s="750" t="s">
        <v>217</v>
      </c>
      <c r="E28" s="750"/>
      <c r="F28" s="746">
        <f>F29</f>
        <v>11558</v>
      </c>
      <c r="G28" s="750"/>
      <c r="H28" s="750"/>
    </row>
    <row r="29" spans="1:8" s="57" customFormat="1" ht="25.5">
      <c r="A29" s="751"/>
      <c r="B29" s="751"/>
      <c r="C29" s="751">
        <v>2320</v>
      </c>
      <c r="D29" s="987" t="s">
        <v>215</v>
      </c>
      <c r="E29" s="747"/>
      <c r="F29" s="752">
        <v>11558</v>
      </c>
      <c r="G29" s="747"/>
      <c r="H29" s="411"/>
    </row>
    <row r="30" spans="1:8" s="409" customFormat="1" ht="12.75">
      <c r="A30" s="1437"/>
      <c r="B30" s="1437"/>
      <c r="C30" s="1437"/>
      <c r="D30" s="1438"/>
      <c r="E30" s="1439"/>
      <c r="F30" s="1440"/>
      <c r="G30" s="1439"/>
      <c r="H30" s="1439"/>
    </row>
    <row r="31" spans="1:8" s="1441" customFormat="1" ht="26.25" thickBot="1">
      <c r="A31" s="414"/>
      <c r="B31" s="414"/>
      <c r="C31" s="414"/>
      <c r="D31" s="292" t="s">
        <v>394</v>
      </c>
      <c r="E31" s="292"/>
      <c r="F31" s="408">
        <f>F42+F36+F32</f>
        <v>1191571</v>
      </c>
      <c r="G31" s="292"/>
      <c r="H31" s="292"/>
    </row>
    <row r="32" spans="1:8" s="57" customFormat="1" ht="18" customHeight="1" thickBot="1" thickTop="1">
      <c r="A32" s="1275">
        <v>700</v>
      </c>
      <c r="B32" s="1276"/>
      <c r="C32" s="1277"/>
      <c r="D32" s="1278" t="s">
        <v>621</v>
      </c>
      <c r="E32" s="748"/>
      <c r="F32" s="749">
        <f>F33</f>
        <v>173650</v>
      </c>
      <c r="G32" s="748"/>
      <c r="H32" s="748"/>
    </row>
    <row r="33" spans="1:8" s="57" customFormat="1" ht="18" customHeight="1">
      <c r="A33" s="139"/>
      <c r="B33" s="1279">
        <v>70005</v>
      </c>
      <c r="C33" s="1280"/>
      <c r="D33" s="1281" t="s">
        <v>622</v>
      </c>
      <c r="E33" s="569"/>
      <c r="F33" s="570">
        <f>F34</f>
        <v>173650</v>
      </c>
      <c r="G33" s="569"/>
      <c r="H33" s="569"/>
    </row>
    <row r="34" spans="1:8" s="57" customFormat="1" ht="25.5">
      <c r="A34" s="863"/>
      <c r="B34" s="863"/>
      <c r="C34" s="862"/>
      <c r="D34" s="1282" t="s">
        <v>368</v>
      </c>
      <c r="E34" s="750"/>
      <c r="F34" s="746">
        <f>F35</f>
        <v>173650</v>
      </c>
      <c r="G34" s="750"/>
      <c r="H34" s="750"/>
    </row>
    <row r="35" spans="1:8" s="57" customFormat="1" ht="38.25">
      <c r="A35" s="33"/>
      <c r="B35" s="33"/>
      <c r="C35" s="1283">
        <v>2110</v>
      </c>
      <c r="D35" s="402" t="s">
        <v>329</v>
      </c>
      <c r="E35" s="747"/>
      <c r="F35" s="752">
        <v>173650</v>
      </c>
      <c r="G35" s="747"/>
      <c r="H35" s="411"/>
    </row>
    <row r="36" spans="1:8" s="57" customFormat="1" ht="18" customHeight="1" thickBot="1">
      <c r="A36" s="736">
        <v>754</v>
      </c>
      <c r="B36" s="736"/>
      <c r="C36" s="736"/>
      <c r="D36" s="565" t="s">
        <v>701</v>
      </c>
      <c r="E36" s="748"/>
      <c r="F36" s="749">
        <f>F37</f>
        <v>1010100</v>
      </c>
      <c r="G36" s="748"/>
      <c r="H36" s="748"/>
    </row>
    <row r="37" spans="1:8" s="57" customFormat="1" ht="18" customHeight="1">
      <c r="A37" s="567"/>
      <c r="B37" s="568">
        <v>75411</v>
      </c>
      <c r="C37" s="568"/>
      <c r="D37" s="569" t="s">
        <v>702</v>
      </c>
      <c r="E37" s="569"/>
      <c r="F37" s="570">
        <f>F38+F40</f>
        <v>1010100</v>
      </c>
      <c r="G37" s="569"/>
      <c r="H37" s="569"/>
    </row>
    <row r="38" spans="1:8" s="57" customFormat="1" ht="25.5">
      <c r="A38" s="609"/>
      <c r="B38" s="609"/>
      <c r="C38" s="609"/>
      <c r="D38" s="737" t="s">
        <v>703</v>
      </c>
      <c r="E38" s="750"/>
      <c r="F38" s="746">
        <f>F39</f>
        <v>910100</v>
      </c>
      <c r="G38" s="750"/>
      <c r="H38" s="750"/>
    </row>
    <row r="39" spans="1:8" s="57" customFormat="1" ht="38.25">
      <c r="A39" s="740"/>
      <c r="B39" s="740"/>
      <c r="C39" s="751">
        <v>2110</v>
      </c>
      <c r="D39" s="742" t="s">
        <v>329</v>
      </c>
      <c r="E39" s="747"/>
      <c r="F39" s="752">
        <f>848000+62100</f>
        <v>910100</v>
      </c>
      <c r="G39" s="747"/>
      <c r="H39" s="411"/>
    </row>
    <row r="40" spans="1:8" s="57" customFormat="1" ht="25.5">
      <c r="A40" s="609"/>
      <c r="B40" s="609"/>
      <c r="C40" s="609"/>
      <c r="D40" s="745" t="s">
        <v>704</v>
      </c>
      <c r="E40" s="750"/>
      <c r="F40" s="746">
        <f>F41</f>
        <v>100000</v>
      </c>
      <c r="G40" s="750"/>
      <c r="H40" s="750"/>
    </row>
    <row r="41" spans="1:8" s="57" customFormat="1" ht="38.25">
      <c r="A41" s="740"/>
      <c r="B41" s="740"/>
      <c r="C41" s="741">
        <v>6410</v>
      </c>
      <c r="D41" s="747" t="s">
        <v>712</v>
      </c>
      <c r="E41" s="747"/>
      <c r="F41" s="752">
        <v>100000</v>
      </c>
      <c r="G41" s="747"/>
      <c r="H41" s="411"/>
    </row>
    <row r="42" spans="1:8" s="57" customFormat="1" ht="18" customHeight="1" thickBot="1">
      <c r="A42" s="736">
        <v>853</v>
      </c>
      <c r="B42" s="736"/>
      <c r="C42" s="564"/>
      <c r="D42" s="565" t="s">
        <v>389</v>
      </c>
      <c r="E42" s="565"/>
      <c r="F42" s="566">
        <f>F43</f>
        <v>7821</v>
      </c>
      <c r="G42" s="565"/>
      <c r="H42" s="565"/>
    </row>
    <row r="43" spans="1:8" s="57" customFormat="1" ht="18" customHeight="1">
      <c r="A43" s="567"/>
      <c r="B43" s="568">
        <v>85334</v>
      </c>
      <c r="C43" s="568"/>
      <c r="D43" s="569" t="s">
        <v>623</v>
      </c>
      <c r="E43" s="569"/>
      <c r="F43" s="570">
        <f>F44</f>
        <v>7821</v>
      </c>
      <c r="G43" s="569"/>
      <c r="H43" s="569"/>
    </row>
    <row r="44" spans="1:8" s="57" customFormat="1" ht="18" customHeight="1">
      <c r="A44" s="571"/>
      <c r="B44" s="572"/>
      <c r="C44" s="573"/>
      <c r="D44" s="574" t="s">
        <v>159</v>
      </c>
      <c r="E44" s="574"/>
      <c r="F44" s="575">
        <f>F45</f>
        <v>7821</v>
      </c>
      <c r="G44" s="574"/>
      <c r="H44" s="574"/>
    </row>
    <row r="45" spans="1:8" s="57" customFormat="1" ht="38.25">
      <c r="A45" s="576"/>
      <c r="B45" s="577"/>
      <c r="C45" s="390">
        <v>2110</v>
      </c>
      <c r="D45" s="412" t="s">
        <v>329</v>
      </c>
      <c r="E45" s="412"/>
      <c r="F45" s="463">
        <f>2321+5500</f>
        <v>7821</v>
      </c>
      <c r="G45" s="412"/>
      <c r="H45" s="412"/>
    </row>
    <row r="46" spans="1:9" s="57" customFormat="1" ht="18" customHeight="1" thickBot="1">
      <c r="A46" s="66"/>
      <c r="B46" s="66"/>
      <c r="C46" s="66"/>
      <c r="D46" s="55" t="s">
        <v>192</v>
      </c>
      <c r="E46" s="71"/>
      <c r="F46" s="67"/>
      <c r="G46" s="67">
        <f>G58+G47+G66+G62+G53</f>
        <v>178570</v>
      </c>
      <c r="H46" s="67">
        <f>H58+H47+H66+H62+H53</f>
        <v>27920</v>
      </c>
      <c r="I46" s="383"/>
    </row>
    <row r="47" spans="1:8" s="57" customFormat="1" ht="39.75" thickBot="1" thickTop="1">
      <c r="A47" s="325">
        <v>756</v>
      </c>
      <c r="B47" s="325"/>
      <c r="C47" s="325"/>
      <c r="D47" s="585" t="s">
        <v>361</v>
      </c>
      <c r="E47" s="578"/>
      <c r="F47" s="578"/>
      <c r="G47" s="539">
        <f>G48</f>
        <v>2500</v>
      </c>
      <c r="H47" s="539">
        <f>H48</f>
        <v>2500</v>
      </c>
    </row>
    <row r="48" spans="1:8" s="57" customFormat="1" ht="18" customHeight="1">
      <c r="A48" s="40"/>
      <c r="B48" s="536">
        <v>75647</v>
      </c>
      <c r="C48" s="536"/>
      <c r="D48" s="545" t="s">
        <v>373</v>
      </c>
      <c r="E48" s="579"/>
      <c r="F48" s="579"/>
      <c r="G48" s="580">
        <f>G49</f>
        <v>2500</v>
      </c>
      <c r="H48" s="580">
        <f>H49</f>
        <v>2500</v>
      </c>
    </row>
    <row r="49" spans="1:8" s="57" customFormat="1" ht="18" customHeight="1">
      <c r="A49" s="40"/>
      <c r="B49" s="40"/>
      <c r="C49" s="40"/>
      <c r="D49" s="586" t="s">
        <v>374</v>
      </c>
      <c r="E49" s="581"/>
      <c r="F49" s="581"/>
      <c r="G49" s="215">
        <f>SUM(G50:G52)</f>
        <v>2500</v>
      </c>
      <c r="H49" s="215">
        <f>SUM(H50:H52)</f>
        <v>2500</v>
      </c>
    </row>
    <row r="50" spans="1:8" s="57" customFormat="1" ht="18" customHeight="1">
      <c r="A50" s="65"/>
      <c r="B50" s="65"/>
      <c r="C50" s="38">
        <v>4110</v>
      </c>
      <c r="D50" s="38" t="s">
        <v>696</v>
      </c>
      <c r="E50" s="582"/>
      <c r="F50" s="53"/>
      <c r="G50" s="53"/>
      <c r="H50" s="53">
        <v>2000</v>
      </c>
    </row>
    <row r="51" spans="1:8" s="57" customFormat="1" ht="18" customHeight="1">
      <c r="A51" s="65"/>
      <c r="B51" s="65"/>
      <c r="C51" s="544">
        <v>4120</v>
      </c>
      <c r="D51" s="544" t="s">
        <v>694</v>
      </c>
      <c r="E51" s="583"/>
      <c r="F51" s="584"/>
      <c r="G51" s="584"/>
      <c r="H51" s="584">
        <v>500</v>
      </c>
    </row>
    <row r="52" spans="1:8" s="57" customFormat="1" ht="18" customHeight="1">
      <c r="A52" s="66"/>
      <c r="B52" s="66"/>
      <c r="C52" s="544">
        <v>4170</v>
      </c>
      <c r="D52" s="544" t="s">
        <v>320</v>
      </c>
      <c r="E52" s="583"/>
      <c r="F52" s="584"/>
      <c r="G52" s="584">
        <v>2500</v>
      </c>
      <c r="H52" s="584"/>
    </row>
    <row r="53" spans="1:8" s="57" customFormat="1" ht="18" customHeight="1" thickBot="1">
      <c r="A53" s="325">
        <v>757</v>
      </c>
      <c r="B53" s="325"/>
      <c r="C53" s="325"/>
      <c r="D53" s="28" t="s">
        <v>362</v>
      </c>
      <c r="E53" s="578"/>
      <c r="F53" s="578"/>
      <c r="G53" s="539">
        <f>G54</f>
        <v>25000</v>
      </c>
      <c r="H53" s="539">
        <f>H54</f>
        <v>25000</v>
      </c>
    </row>
    <row r="54" spans="1:8" s="57" customFormat="1" ht="25.5">
      <c r="A54" s="40"/>
      <c r="B54" s="536">
        <v>75702</v>
      </c>
      <c r="C54" s="536"/>
      <c r="D54" s="792" t="s">
        <v>363</v>
      </c>
      <c r="E54" s="579"/>
      <c r="F54" s="579"/>
      <c r="G54" s="580">
        <f>G55</f>
        <v>25000</v>
      </c>
      <c r="H54" s="580">
        <f>H55</f>
        <v>25000</v>
      </c>
    </row>
    <row r="55" spans="1:8" s="57" customFormat="1" ht="18" customHeight="1">
      <c r="A55" s="40"/>
      <c r="B55" s="40"/>
      <c r="C55" s="40"/>
      <c r="D55" s="1134" t="s">
        <v>364</v>
      </c>
      <c r="E55" s="640"/>
      <c r="F55" s="640"/>
      <c r="G55" s="641">
        <f>SUM(G56:G57)</f>
        <v>25000</v>
      </c>
      <c r="H55" s="641">
        <f>SUM(H56:H57)</f>
        <v>25000</v>
      </c>
    </row>
    <row r="56" spans="1:8" s="57" customFormat="1" ht="18" customHeight="1">
      <c r="A56" s="35"/>
      <c r="B56" s="49"/>
      <c r="C56" s="38">
        <v>4300</v>
      </c>
      <c r="D56" s="411" t="s">
        <v>322</v>
      </c>
      <c r="E56" s="642"/>
      <c r="F56" s="642"/>
      <c r="G56" s="643"/>
      <c r="H56" s="643">
        <v>25000</v>
      </c>
    </row>
    <row r="57" spans="1:8" s="57" customFormat="1" ht="25.5">
      <c r="A57" s="65"/>
      <c r="B57" s="65"/>
      <c r="C57" s="985">
        <v>8070</v>
      </c>
      <c r="D57" s="177" t="s">
        <v>365</v>
      </c>
      <c r="E57" s="1241"/>
      <c r="F57" s="1242"/>
      <c r="G57" s="1242">
        <v>25000</v>
      </c>
      <c r="H57" s="1242"/>
    </row>
    <row r="58" spans="1:8" s="57" customFormat="1" ht="18" customHeight="1" thickBot="1">
      <c r="A58" s="325">
        <v>758</v>
      </c>
      <c r="B58" s="325"/>
      <c r="C58" s="325"/>
      <c r="D58" s="326" t="s">
        <v>626</v>
      </c>
      <c r="E58" s="578"/>
      <c r="F58" s="578"/>
      <c r="G58" s="539">
        <f>G59</f>
        <v>151070</v>
      </c>
      <c r="H58" s="539"/>
    </row>
    <row r="59" spans="1:8" s="57" customFormat="1" ht="18" customHeight="1">
      <c r="A59" s="40"/>
      <c r="B59" s="536">
        <v>75818</v>
      </c>
      <c r="C59" s="536"/>
      <c r="D59" s="537" t="s">
        <v>392</v>
      </c>
      <c r="E59" s="579"/>
      <c r="F59" s="579"/>
      <c r="G59" s="580">
        <f>G60</f>
        <v>151070</v>
      </c>
      <c r="H59" s="580"/>
    </row>
    <row r="60" spans="1:8" s="57" customFormat="1" ht="18" customHeight="1">
      <c r="A60" s="40"/>
      <c r="B60" s="40"/>
      <c r="C60" s="40"/>
      <c r="D60" s="639" t="s">
        <v>624</v>
      </c>
      <c r="E60" s="640"/>
      <c r="F60" s="640"/>
      <c r="G60" s="641">
        <f>G61</f>
        <v>151070</v>
      </c>
      <c r="H60" s="641"/>
    </row>
    <row r="61" spans="1:8" s="57" customFormat="1" ht="18" customHeight="1">
      <c r="A61" s="35"/>
      <c r="B61" s="49"/>
      <c r="C61" s="38">
        <v>4810</v>
      </c>
      <c r="D61" s="411" t="s">
        <v>625</v>
      </c>
      <c r="E61" s="642"/>
      <c r="F61" s="642"/>
      <c r="G61" s="643">
        <f>147000+70+4000</f>
        <v>151070</v>
      </c>
      <c r="H61" s="643"/>
    </row>
    <row r="62" spans="1:8" s="57" customFormat="1" ht="18" customHeight="1" thickBot="1">
      <c r="A62" s="325">
        <v>801</v>
      </c>
      <c r="B62" s="325"/>
      <c r="C62" s="325"/>
      <c r="D62" s="820" t="s">
        <v>395</v>
      </c>
      <c r="E62" s="578"/>
      <c r="F62" s="578"/>
      <c r="G62" s="539"/>
      <c r="H62" s="539">
        <f>H63</f>
        <v>350</v>
      </c>
    </row>
    <row r="63" spans="1:8" s="57" customFormat="1" ht="18" customHeight="1">
      <c r="A63" s="40"/>
      <c r="B63" s="536">
        <v>80101</v>
      </c>
      <c r="C63" s="536"/>
      <c r="D63" s="887" t="s">
        <v>396</v>
      </c>
      <c r="E63" s="579"/>
      <c r="F63" s="579"/>
      <c r="G63" s="580"/>
      <c r="H63" s="580">
        <f>H64</f>
        <v>350</v>
      </c>
    </row>
    <row r="64" spans="1:8" s="57" customFormat="1" ht="18" customHeight="1">
      <c r="A64" s="40"/>
      <c r="B64" s="40"/>
      <c r="C64" s="40"/>
      <c r="D64" s="72" t="s">
        <v>577</v>
      </c>
      <c r="E64" s="581"/>
      <c r="F64" s="581"/>
      <c r="G64" s="215"/>
      <c r="H64" s="215">
        <f>SUM(H65:H65)</f>
        <v>350</v>
      </c>
    </row>
    <row r="65" spans="1:8" s="57" customFormat="1" ht="25.5">
      <c r="A65" s="65"/>
      <c r="B65" s="65"/>
      <c r="C65" s="38">
        <v>2917</v>
      </c>
      <c r="D65" s="368" t="s">
        <v>634</v>
      </c>
      <c r="E65" s="582"/>
      <c r="F65" s="53"/>
      <c r="G65" s="53"/>
      <c r="H65" s="53">
        <v>350</v>
      </c>
    </row>
    <row r="66" spans="1:8" s="57" customFormat="1" ht="18" customHeight="1" thickBot="1">
      <c r="A66" s="325">
        <v>852</v>
      </c>
      <c r="B66" s="325"/>
      <c r="C66" s="325"/>
      <c r="D66" s="326" t="s">
        <v>324</v>
      </c>
      <c r="E66" s="48"/>
      <c r="F66" s="48"/>
      <c r="G66" s="48"/>
      <c r="H66" s="48">
        <f>H67</f>
        <v>70</v>
      </c>
    </row>
    <row r="67" spans="1:8" s="57" customFormat="1" ht="18" customHeight="1">
      <c r="A67" s="40"/>
      <c r="B67" s="536">
        <v>85295</v>
      </c>
      <c r="C67" s="536"/>
      <c r="D67" s="537" t="s">
        <v>401</v>
      </c>
      <c r="E67" s="43"/>
      <c r="F67" s="43"/>
      <c r="G67" s="43"/>
      <c r="H67" s="43">
        <f>H68</f>
        <v>70</v>
      </c>
    </row>
    <row r="68" spans="1:8" s="57" customFormat="1" ht="18" customHeight="1">
      <c r="A68" s="40"/>
      <c r="B68" s="40"/>
      <c r="C68" s="156"/>
      <c r="D68" s="633" t="s">
        <v>40</v>
      </c>
      <c r="E68" s="70"/>
      <c r="F68" s="70"/>
      <c r="G68" s="70"/>
      <c r="H68" s="70">
        <f>H69</f>
        <v>70</v>
      </c>
    </row>
    <row r="69" spans="1:24" s="551" customFormat="1" ht="25.5">
      <c r="A69" s="68"/>
      <c r="B69" s="68"/>
      <c r="C69" s="985">
        <v>4560</v>
      </c>
      <c r="D69" s="974" t="s">
        <v>48</v>
      </c>
      <c r="E69" s="632"/>
      <c r="F69" s="632"/>
      <c r="G69" s="53"/>
      <c r="H69" s="53">
        <v>70</v>
      </c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</row>
    <row r="70" spans="1:9" s="61" customFormat="1" ht="21" customHeight="1">
      <c r="A70" s="209"/>
      <c r="B70" s="209"/>
      <c r="C70" s="413"/>
      <c r="D70" s="1116" t="s">
        <v>637</v>
      </c>
      <c r="E70" s="1117"/>
      <c r="F70" s="1117"/>
      <c r="G70" s="1117">
        <f>G71+G78</f>
        <v>121</v>
      </c>
      <c r="H70" s="1117">
        <f>H71+H78</f>
        <v>173771</v>
      </c>
      <c r="I70" s="76"/>
    </row>
    <row r="71" spans="1:8" s="57" customFormat="1" ht="18" customHeight="1" thickBot="1">
      <c r="A71" s="73"/>
      <c r="B71" s="73"/>
      <c r="C71" s="73"/>
      <c r="D71" s="55" t="s">
        <v>192</v>
      </c>
      <c r="E71" s="56"/>
      <c r="F71" s="56"/>
      <c r="G71" s="56">
        <f aca="true" t="shared" si="0" ref="G71:H73">G72</f>
        <v>121</v>
      </c>
      <c r="H71" s="56">
        <f t="shared" si="0"/>
        <v>121</v>
      </c>
    </row>
    <row r="72" spans="1:8" s="57" customFormat="1" ht="18" customHeight="1" thickBot="1" thickTop="1">
      <c r="A72" s="325">
        <v>700</v>
      </c>
      <c r="B72" s="325"/>
      <c r="C72" s="325"/>
      <c r="D72" s="326" t="s">
        <v>621</v>
      </c>
      <c r="E72" s="48"/>
      <c r="F72" s="48"/>
      <c r="G72" s="48">
        <f t="shared" si="0"/>
        <v>121</v>
      </c>
      <c r="H72" s="48">
        <f t="shared" si="0"/>
        <v>121</v>
      </c>
    </row>
    <row r="73" spans="1:24" s="57" customFormat="1" ht="18" customHeight="1">
      <c r="A73" s="161"/>
      <c r="B73" s="833">
        <v>70005</v>
      </c>
      <c r="C73" s="536"/>
      <c r="D73" s="537" t="s">
        <v>622</v>
      </c>
      <c r="E73" s="43"/>
      <c r="F73" s="43"/>
      <c r="G73" s="43">
        <f t="shared" si="0"/>
        <v>121</v>
      </c>
      <c r="H73" s="43">
        <f t="shared" si="0"/>
        <v>121</v>
      </c>
      <c r="I73" s="415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</row>
    <row r="74" spans="1:24" s="57" customFormat="1" ht="25.5">
      <c r="A74" s="40"/>
      <c r="B74" s="40"/>
      <c r="C74" s="40"/>
      <c r="D74" s="552" t="s">
        <v>699</v>
      </c>
      <c r="E74" s="70"/>
      <c r="F74" s="70"/>
      <c r="G74" s="70">
        <f>G75</f>
        <v>121</v>
      </c>
      <c r="H74" s="70">
        <f>H76</f>
        <v>121</v>
      </c>
      <c r="I74" s="415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</row>
    <row r="75" spans="1:24" s="551" customFormat="1" ht="18" customHeight="1">
      <c r="A75" s="68"/>
      <c r="B75" s="68"/>
      <c r="C75" s="38">
        <v>4300</v>
      </c>
      <c r="D75" s="1114" t="s">
        <v>322</v>
      </c>
      <c r="E75" s="632"/>
      <c r="F75" s="632"/>
      <c r="G75" s="53">
        <v>121</v>
      </c>
      <c r="H75" s="53"/>
      <c r="I75" s="415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</row>
    <row r="76" spans="1:9" s="409" customFormat="1" ht="18" customHeight="1">
      <c r="A76" s="74"/>
      <c r="B76" s="74"/>
      <c r="C76" s="544">
        <v>4520</v>
      </c>
      <c r="D76" s="387" t="s">
        <v>115</v>
      </c>
      <c r="E76" s="1141"/>
      <c r="F76" s="1141"/>
      <c r="G76" s="1141"/>
      <c r="H76" s="584">
        <v>121</v>
      </c>
      <c r="I76" s="415"/>
    </row>
    <row r="77" spans="3:8" s="409" customFormat="1" ht="44.25" customHeight="1">
      <c r="C77" s="1441"/>
      <c r="D77" s="1443"/>
      <c r="E77" s="1444"/>
      <c r="F77" s="1444"/>
      <c r="G77" s="1444"/>
      <c r="H77" s="1442"/>
    </row>
    <row r="78" spans="1:8" s="57" customFormat="1" ht="26.25" thickBot="1">
      <c r="A78" s="73"/>
      <c r="B78" s="73"/>
      <c r="C78" s="73"/>
      <c r="D78" s="129" t="s">
        <v>308</v>
      </c>
      <c r="E78" s="56"/>
      <c r="F78" s="56"/>
      <c r="G78" s="56"/>
      <c r="H78" s="56">
        <f>H79</f>
        <v>173650</v>
      </c>
    </row>
    <row r="79" spans="1:8" s="57" customFormat="1" ht="18" customHeight="1" thickBot="1" thickTop="1">
      <c r="A79" s="325">
        <v>700</v>
      </c>
      <c r="B79" s="325"/>
      <c r="C79" s="325"/>
      <c r="D79" s="326" t="s">
        <v>621</v>
      </c>
      <c r="E79" s="48"/>
      <c r="F79" s="48"/>
      <c r="G79" s="48"/>
      <c r="H79" s="48">
        <f>H80</f>
        <v>173650</v>
      </c>
    </row>
    <row r="80" spans="1:24" s="57" customFormat="1" ht="18" customHeight="1">
      <c r="A80" s="161"/>
      <c r="B80" s="833">
        <v>70005</v>
      </c>
      <c r="C80" s="536"/>
      <c r="D80" s="537" t="s">
        <v>622</v>
      </c>
      <c r="E80" s="43"/>
      <c r="F80" s="43"/>
      <c r="G80" s="43"/>
      <c r="H80" s="43">
        <f>H81</f>
        <v>173650</v>
      </c>
      <c r="I80" s="415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</row>
    <row r="81" spans="1:24" s="57" customFormat="1" ht="18" customHeight="1">
      <c r="A81" s="40"/>
      <c r="B81" s="40"/>
      <c r="C81" s="40"/>
      <c r="D81" s="862" t="s">
        <v>369</v>
      </c>
      <c r="E81" s="70"/>
      <c r="F81" s="70"/>
      <c r="G81" s="70"/>
      <c r="H81" s="70">
        <f>H82</f>
        <v>173650</v>
      </c>
      <c r="I81" s="415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</row>
    <row r="82" spans="1:24" s="551" customFormat="1" ht="18" customHeight="1">
      <c r="A82" s="68"/>
      <c r="B82" s="68"/>
      <c r="C82" s="33">
        <v>4590</v>
      </c>
      <c r="D82" s="1417" t="s">
        <v>64</v>
      </c>
      <c r="E82" s="632"/>
      <c r="F82" s="632"/>
      <c r="G82" s="53"/>
      <c r="H82" s="53">
        <v>173650</v>
      </c>
      <c r="I82" s="415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</row>
    <row r="83" spans="1:8" s="61" customFormat="1" ht="21" customHeight="1">
      <c r="A83" s="209"/>
      <c r="B83" s="209"/>
      <c r="C83" s="49"/>
      <c r="D83" s="63" t="s">
        <v>638</v>
      </c>
      <c r="E83" s="64"/>
      <c r="F83" s="64"/>
      <c r="G83" s="64">
        <f aca="true" t="shared" si="1" ref="G83:H86">G84</f>
        <v>35000</v>
      </c>
      <c r="H83" s="64">
        <f t="shared" si="1"/>
        <v>35000</v>
      </c>
    </row>
    <row r="84" spans="1:8" s="57" customFormat="1" ht="18" customHeight="1" thickBot="1">
      <c r="A84" s="210"/>
      <c r="B84" s="210"/>
      <c r="C84" s="38"/>
      <c r="D84" s="55" t="s">
        <v>192</v>
      </c>
      <c r="E84" s="56"/>
      <c r="F84" s="56"/>
      <c r="G84" s="56">
        <f>G85+G92</f>
        <v>35000</v>
      </c>
      <c r="H84" s="56">
        <f>H85+H92</f>
        <v>35000</v>
      </c>
    </row>
    <row r="85" spans="1:8" s="57" customFormat="1" ht="18" customHeight="1" thickBot="1" thickTop="1">
      <c r="A85" s="325">
        <v>600</v>
      </c>
      <c r="B85" s="325"/>
      <c r="C85" s="325"/>
      <c r="D85" s="326" t="s">
        <v>162</v>
      </c>
      <c r="E85" s="48"/>
      <c r="F85" s="48"/>
      <c r="G85" s="48">
        <f t="shared" si="1"/>
        <v>34000</v>
      </c>
      <c r="H85" s="48">
        <f t="shared" si="1"/>
        <v>34000</v>
      </c>
    </row>
    <row r="86" spans="1:8" s="57" customFormat="1" ht="18" customHeight="1">
      <c r="A86" s="40"/>
      <c r="B86" s="536">
        <v>60015</v>
      </c>
      <c r="C86" s="536"/>
      <c r="D86" s="537" t="s">
        <v>169</v>
      </c>
      <c r="E86" s="43"/>
      <c r="F86" s="43"/>
      <c r="G86" s="43">
        <f t="shared" si="1"/>
        <v>34000</v>
      </c>
      <c r="H86" s="43">
        <f t="shared" si="1"/>
        <v>34000</v>
      </c>
    </row>
    <row r="87" spans="1:8" s="57" customFormat="1" ht="18" customHeight="1">
      <c r="A87" s="40"/>
      <c r="B87" s="40"/>
      <c r="C87" s="40"/>
      <c r="D87" s="538" t="s">
        <v>745</v>
      </c>
      <c r="E87" s="70"/>
      <c r="F87" s="70"/>
      <c r="G87" s="70">
        <f>G89</f>
        <v>34000</v>
      </c>
      <c r="H87" s="70">
        <f>H89+H91</f>
        <v>34000</v>
      </c>
    </row>
    <row r="88" spans="1:8" s="57" customFormat="1" ht="18" customHeight="1">
      <c r="A88" s="35"/>
      <c r="B88" s="49"/>
      <c r="C88" s="49"/>
      <c r="D88" s="1142" t="s">
        <v>746</v>
      </c>
      <c r="E88" s="811"/>
      <c r="F88" s="811"/>
      <c r="G88" s="1143">
        <v>34000</v>
      </c>
      <c r="H88" s="811"/>
    </row>
    <row r="89" spans="1:8" s="57" customFormat="1" ht="18" customHeight="1">
      <c r="A89" s="35"/>
      <c r="B89" s="49"/>
      <c r="C89" s="38">
        <v>6050</v>
      </c>
      <c r="D89" s="800" t="s">
        <v>723</v>
      </c>
      <c r="E89" s="815"/>
      <c r="F89" s="815"/>
      <c r="G89" s="815">
        <f>G88</f>
        <v>34000</v>
      </c>
      <c r="H89" s="815"/>
    </row>
    <row r="90" spans="1:8" s="57" customFormat="1" ht="18" customHeight="1">
      <c r="A90" s="35"/>
      <c r="B90" s="49"/>
      <c r="C90" s="413"/>
      <c r="D90" s="913" t="s">
        <v>747</v>
      </c>
      <c r="E90" s="914"/>
      <c r="F90" s="914"/>
      <c r="G90" s="914"/>
      <c r="H90" s="914">
        <v>34000</v>
      </c>
    </row>
    <row r="91" spans="1:8" s="57" customFormat="1" ht="18" customHeight="1">
      <c r="A91" s="35"/>
      <c r="B91" s="49"/>
      <c r="C91" s="38">
        <v>6054</v>
      </c>
      <c r="D91" s="39" t="s">
        <v>723</v>
      </c>
      <c r="E91" s="815"/>
      <c r="F91" s="815"/>
      <c r="G91" s="815"/>
      <c r="H91" s="815">
        <f>H90</f>
        <v>34000</v>
      </c>
    </row>
    <row r="92" spans="1:8" s="57" customFormat="1" ht="18" customHeight="1" thickBot="1">
      <c r="A92" s="325">
        <v>900</v>
      </c>
      <c r="B92" s="325"/>
      <c r="C92" s="325"/>
      <c r="D92" s="326" t="s">
        <v>633</v>
      </c>
      <c r="E92" s="48"/>
      <c r="F92" s="48"/>
      <c r="G92" s="48">
        <f>G93</f>
        <v>1000</v>
      </c>
      <c r="H92" s="48">
        <f>H93</f>
        <v>1000</v>
      </c>
    </row>
    <row r="93" spans="1:8" s="57" customFormat="1" ht="18" customHeight="1">
      <c r="A93" s="40"/>
      <c r="B93" s="536">
        <v>90003</v>
      </c>
      <c r="C93" s="536"/>
      <c r="D93" s="537" t="s">
        <v>50</v>
      </c>
      <c r="E93" s="43"/>
      <c r="F93" s="43"/>
      <c r="G93" s="43">
        <f>G94</f>
        <v>1000</v>
      </c>
      <c r="H93" s="43">
        <f>H94</f>
        <v>1000</v>
      </c>
    </row>
    <row r="94" spans="1:8" s="57" customFormat="1" ht="18" customHeight="1">
      <c r="A94" s="40"/>
      <c r="B94" s="40"/>
      <c r="C94" s="40"/>
      <c r="D94" s="538" t="s">
        <v>62</v>
      </c>
      <c r="E94" s="70"/>
      <c r="F94" s="70"/>
      <c r="G94" s="70">
        <f>G95</f>
        <v>1000</v>
      </c>
      <c r="H94" s="70">
        <f>H96</f>
        <v>1000</v>
      </c>
    </row>
    <row r="95" spans="1:147" s="551" customFormat="1" ht="18" customHeight="1">
      <c r="A95" s="68"/>
      <c r="B95" s="68"/>
      <c r="C95" s="38">
        <v>4300</v>
      </c>
      <c r="D95" s="411" t="s">
        <v>322</v>
      </c>
      <c r="E95" s="375"/>
      <c r="F95" s="375"/>
      <c r="G95" s="53">
        <v>1000</v>
      </c>
      <c r="H95" s="53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09"/>
      <c r="AL95" s="409"/>
      <c r="AM95" s="409"/>
      <c r="AN95" s="409"/>
      <c r="AO95" s="409"/>
      <c r="AP95" s="409"/>
      <c r="AQ95" s="409"/>
      <c r="AR95" s="409"/>
      <c r="AS95" s="409"/>
      <c r="AT95" s="409"/>
      <c r="AU95" s="409"/>
      <c r="AV95" s="409"/>
      <c r="AW95" s="409"/>
      <c r="AX95" s="409"/>
      <c r="AY95" s="409"/>
      <c r="AZ95" s="409"/>
      <c r="BA95" s="409"/>
      <c r="BB95" s="409"/>
      <c r="BC95" s="409"/>
      <c r="BD95" s="409"/>
      <c r="BE95" s="409"/>
      <c r="BF95" s="409"/>
      <c r="BG95" s="409"/>
      <c r="BH95" s="409"/>
      <c r="BI95" s="409"/>
      <c r="BJ95" s="409"/>
      <c r="BK95" s="409"/>
      <c r="BL95" s="409"/>
      <c r="BM95" s="409"/>
      <c r="BN95" s="409"/>
      <c r="BO95" s="409"/>
      <c r="BP95" s="409"/>
      <c r="BQ95" s="409"/>
      <c r="BR95" s="409"/>
      <c r="BS95" s="409"/>
      <c r="BT95" s="409"/>
      <c r="BU95" s="409"/>
      <c r="BV95" s="409"/>
      <c r="BW95" s="409"/>
      <c r="BX95" s="409"/>
      <c r="BY95" s="409"/>
      <c r="BZ95" s="409"/>
      <c r="CA95" s="409"/>
      <c r="CB95" s="409"/>
      <c r="CC95" s="409"/>
      <c r="CD95" s="409"/>
      <c r="CE95" s="409"/>
      <c r="CF95" s="409"/>
      <c r="CG95" s="409"/>
      <c r="CH95" s="409"/>
      <c r="CI95" s="409"/>
      <c r="CJ95" s="409"/>
      <c r="CK95" s="409"/>
      <c r="CL95" s="409"/>
      <c r="CM95" s="409"/>
      <c r="CN95" s="409"/>
      <c r="CO95" s="409"/>
      <c r="CP95" s="409"/>
      <c r="CQ95" s="409"/>
      <c r="CR95" s="409"/>
      <c r="CS95" s="409"/>
      <c r="CT95" s="409"/>
      <c r="CU95" s="409"/>
      <c r="CV95" s="409"/>
      <c r="CW95" s="409"/>
      <c r="CX95" s="409"/>
      <c r="CY95" s="409"/>
      <c r="CZ95" s="409"/>
      <c r="DA95" s="409"/>
      <c r="DB95" s="409"/>
      <c r="DC95" s="409"/>
      <c r="DD95" s="409"/>
      <c r="DE95" s="409"/>
      <c r="DF95" s="409"/>
      <c r="DG95" s="409"/>
      <c r="DH95" s="409"/>
      <c r="DI95" s="409"/>
      <c r="DJ95" s="409"/>
      <c r="DK95" s="409"/>
      <c r="DL95" s="409"/>
      <c r="DM95" s="409"/>
      <c r="DN95" s="409"/>
      <c r="DO95" s="409"/>
      <c r="DP95" s="409"/>
      <c r="DQ95" s="409"/>
      <c r="DR95" s="409"/>
      <c r="DS95" s="409"/>
      <c r="DT95" s="409"/>
      <c r="DU95" s="409"/>
      <c r="DV95" s="409"/>
      <c r="DW95" s="409"/>
      <c r="DX95" s="409"/>
      <c r="DY95" s="409"/>
      <c r="DZ95" s="409"/>
      <c r="EA95" s="409"/>
      <c r="EB95" s="409"/>
      <c r="EC95" s="409"/>
      <c r="ED95" s="409"/>
      <c r="EE95" s="409"/>
      <c r="EF95" s="409"/>
      <c r="EG95" s="409"/>
      <c r="EH95" s="409"/>
      <c r="EI95" s="409"/>
      <c r="EJ95" s="409"/>
      <c r="EK95" s="409"/>
      <c r="EL95" s="409"/>
      <c r="EM95" s="409"/>
      <c r="EN95" s="409"/>
      <c r="EO95" s="409"/>
      <c r="EP95" s="409"/>
      <c r="EQ95" s="409"/>
    </row>
    <row r="96" spans="1:147" s="551" customFormat="1" ht="18" customHeight="1">
      <c r="A96" s="68"/>
      <c r="B96" s="68"/>
      <c r="C96" s="38">
        <v>4590</v>
      </c>
      <c r="D96" s="411" t="s">
        <v>64</v>
      </c>
      <c r="E96" s="375"/>
      <c r="F96" s="375"/>
      <c r="G96" s="375"/>
      <c r="H96" s="53">
        <v>1000</v>
      </c>
      <c r="I96" s="415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409"/>
      <c r="AD96" s="409"/>
      <c r="AE96" s="409"/>
      <c r="AF96" s="409"/>
      <c r="AG96" s="409"/>
      <c r="AH96" s="409"/>
      <c r="AI96" s="409"/>
      <c r="AJ96" s="409"/>
      <c r="AK96" s="409"/>
      <c r="AL96" s="409"/>
      <c r="AM96" s="409"/>
      <c r="AN96" s="409"/>
      <c r="AO96" s="409"/>
      <c r="AP96" s="409"/>
      <c r="AQ96" s="409"/>
      <c r="AR96" s="409"/>
      <c r="AS96" s="409"/>
      <c r="AT96" s="409"/>
      <c r="AU96" s="409"/>
      <c r="AV96" s="409"/>
      <c r="AW96" s="409"/>
      <c r="AX96" s="409"/>
      <c r="AY96" s="409"/>
      <c r="AZ96" s="409"/>
      <c r="BA96" s="409"/>
      <c r="BB96" s="409"/>
      <c r="BC96" s="409"/>
      <c r="BD96" s="409"/>
      <c r="BE96" s="409"/>
      <c r="BF96" s="409"/>
      <c r="BG96" s="409"/>
      <c r="BH96" s="409"/>
      <c r="BI96" s="409"/>
      <c r="BJ96" s="409"/>
      <c r="BK96" s="409"/>
      <c r="BL96" s="409"/>
      <c r="BM96" s="409"/>
      <c r="BN96" s="409"/>
      <c r="BO96" s="409"/>
      <c r="BP96" s="409"/>
      <c r="BQ96" s="409"/>
      <c r="BR96" s="409"/>
      <c r="BS96" s="409"/>
      <c r="BT96" s="409"/>
      <c r="BU96" s="409"/>
      <c r="BV96" s="409"/>
      <c r="BW96" s="409"/>
      <c r="BX96" s="409"/>
      <c r="BY96" s="409"/>
      <c r="BZ96" s="409"/>
      <c r="CA96" s="409"/>
      <c r="CB96" s="409"/>
      <c r="CC96" s="409"/>
      <c r="CD96" s="409"/>
      <c r="CE96" s="409"/>
      <c r="CF96" s="409"/>
      <c r="CG96" s="409"/>
      <c r="CH96" s="409"/>
      <c r="CI96" s="409"/>
      <c r="CJ96" s="409"/>
      <c r="CK96" s="409"/>
      <c r="CL96" s="409"/>
      <c r="CM96" s="409"/>
      <c r="CN96" s="409"/>
      <c r="CO96" s="409"/>
      <c r="CP96" s="409"/>
      <c r="CQ96" s="409"/>
      <c r="CR96" s="409"/>
      <c r="CS96" s="409"/>
      <c r="CT96" s="409"/>
      <c r="CU96" s="409"/>
      <c r="CV96" s="409"/>
      <c r="CW96" s="409"/>
      <c r="CX96" s="409"/>
      <c r="CY96" s="409"/>
      <c r="CZ96" s="409"/>
      <c r="DA96" s="409"/>
      <c r="DB96" s="409"/>
      <c r="DC96" s="409"/>
      <c r="DD96" s="409"/>
      <c r="DE96" s="409"/>
      <c r="DF96" s="409"/>
      <c r="DG96" s="409"/>
      <c r="DH96" s="409"/>
      <c r="DI96" s="409"/>
      <c r="DJ96" s="409"/>
      <c r="DK96" s="409"/>
      <c r="DL96" s="409"/>
      <c r="DM96" s="409"/>
      <c r="DN96" s="409"/>
      <c r="DO96" s="409"/>
      <c r="DP96" s="409"/>
      <c r="DQ96" s="409"/>
      <c r="DR96" s="409"/>
      <c r="DS96" s="409"/>
      <c r="DT96" s="409"/>
      <c r="DU96" s="409"/>
      <c r="DV96" s="409"/>
      <c r="DW96" s="409"/>
      <c r="DX96" s="409"/>
      <c r="DY96" s="409"/>
      <c r="DZ96" s="409"/>
      <c r="EA96" s="409"/>
      <c r="EB96" s="409"/>
      <c r="EC96" s="409"/>
      <c r="ED96" s="409"/>
      <c r="EE96" s="409"/>
      <c r="EF96" s="409"/>
      <c r="EG96" s="409"/>
      <c r="EH96" s="409"/>
      <c r="EI96" s="409"/>
      <c r="EJ96" s="409"/>
      <c r="EK96" s="409"/>
      <c r="EL96" s="409"/>
      <c r="EM96" s="409"/>
      <c r="EN96" s="409"/>
      <c r="EO96" s="409"/>
      <c r="EP96" s="409"/>
      <c r="EQ96" s="409"/>
    </row>
    <row r="97" spans="1:10" s="61" customFormat="1" ht="21" customHeight="1">
      <c r="A97" s="209"/>
      <c r="B97" s="209"/>
      <c r="C97" s="209"/>
      <c r="D97" s="63" t="s">
        <v>639</v>
      </c>
      <c r="E97" s="64"/>
      <c r="F97" s="64"/>
      <c r="G97" s="64">
        <f>G98</f>
        <v>579537</v>
      </c>
      <c r="H97" s="64">
        <f>H98+H127</f>
        <v>360821</v>
      </c>
      <c r="I97" s="76"/>
      <c r="J97" s="76"/>
    </row>
    <row r="98" spans="1:9" s="57" customFormat="1" ht="18" customHeight="1" thickBot="1">
      <c r="A98" s="210"/>
      <c r="B98" s="210"/>
      <c r="C98" s="210"/>
      <c r="D98" s="55" t="s">
        <v>192</v>
      </c>
      <c r="E98" s="56"/>
      <c r="F98" s="56"/>
      <c r="G98" s="56">
        <f>G104+G119+G99</f>
        <v>579537</v>
      </c>
      <c r="H98" s="56">
        <f>H104+H119+H99</f>
        <v>353000</v>
      </c>
      <c r="I98" s="383"/>
    </row>
    <row r="99" spans="1:9" s="57" customFormat="1" ht="18" customHeight="1" thickBot="1" thickTop="1">
      <c r="A99" s="249">
        <v>750</v>
      </c>
      <c r="B99" s="249"/>
      <c r="C99" s="249"/>
      <c r="D99" s="320" t="s">
        <v>319</v>
      </c>
      <c r="E99" s="464"/>
      <c r="F99" s="464"/>
      <c r="G99" s="464">
        <f>G100</f>
        <v>150000</v>
      </c>
      <c r="H99" s="464">
        <f>H100</f>
        <v>150000</v>
      </c>
      <c r="I99" s="383"/>
    </row>
    <row r="100" spans="1:9" s="57" customFormat="1" ht="18" customHeight="1">
      <c r="A100" s="161"/>
      <c r="B100" s="536">
        <v>75023</v>
      </c>
      <c r="C100" s="536"/>
      <c r="D100" s="537" t="s">
        <v>96</v>
      </c>
      <c r="E100" s="43"/>
      <c r="F100" s="43"/>
      <c r="G100" s="43">
        <f>G101</f>
        <v>150000</v>
      </c>
      <c r="H100" s="43">
        <f>H101</f>
        <v>150000</v>
      </c>
      <c r="I100" s="383"/>
    </row>
    <row r="101" spans="1:8" s="57" customFormat="1" ht="18" customHeight="1">
      <c r="A101" s="40"/>
      <c r="B101" s="40"/>
      <c r="C101" s="40"/>
      <c r="D101" s="538" t="s">
        <v>98</v>
      </c>
      <c r="E101" s="70"/>
      <c r="F101" s="70"/>
      <c r="G101" s="70">
        <f>SUM(G102:G103)</f>
        <v>150000</v>
      </c>
      <c r="H101" s="70">
        <f>SUM(H102:H103)</f>
        <v>150000</v>
      </c>
    </row>
    <row r="102" spans="1:8" s="57" customFormat="1" ht="18" customHeight="1">
      <c r="A102" s="68"/>
      <c r="B102" s="68"/>
      <c r="C102" s="38">
        <v>4110</v>
      </c>
      <c r="D102" s="39" t="s">
        <v>696</v>
      </c>
      <c r="E102" s="45"/>
      <c r="F102" s="45"/>
      <c r="G102" s="45">
        <v>150000</v>
      </c>
      <c r="H102" s="45"/>
    </row>
    <row r="103" spans="1:8" s="57" customFormat="1" ht="18" customHeight="1">
      <c r="A103" s="68"/>
      <c r="B103" s="68"/>
      <c r="C103" s="38">
        <v>4140</v>
      </c>
      <c r="D103" s="39" t="s">
        <v>629</v>
      </c>
      <c r="E103" s="45"/>
      <c r="F103" s="45"/>
      <c r="G103" s="45"/>
      <c r="H103" s="45">
        <v>150000</v>
      </c>
    </row>
    <row r="104" spans="1:9" s="57" customFormat="1" ht="18" customHeight="1" thickBot="1">
      <c r="A104" s="325">
        <v>801</v>
      </c>
      <c r="B104" s="325"/>
      <c r="C104" s="249"/>
      <c r="D104" s="320" t="s">
        <v>395</v>
      </c>
      <c r="E104" s="464"/>
      <c r="F104" s="464"/>
      <c r="G104" s="464">
        <f>G105+G113+G109</f>
        <v>329720</v>
      </c>
      <c r="H104" s="464">
        <f>H105+H113</f>
        <v>203000</v>
      </c>
      <c r="I104" s="383"/>
    </row>
    <row r="105" spans="1:9" s="57" customFormat="1" ht="18" customHeight="1">
      <c r="A105" s="161"/>
      <c r="B105" s="536">
        <v>80101</v>
      </c>
      <c r="C105" s="536"/>
      <c r="D105" s="537" t="s">
        <v>396</v>
      </c>
      <c r="E105" s="43"/>
      <c r="F105" s="43"/>
      <c r="G105" s="43">
        <f>G106</f>
        <v>17000</v>
      </c>
      <c r="H105" s="43"/>
      <c r="I105" s="383"/>
    </row>
    <row r="106" spans="1:8" s="57" customFormat="1" ht="18" customHeight="1">
      <c r="A106" s="1518"/>
      <c r="B106" s="1518"/>
      <c r="C106" s="1518"/>
      <c r="D106" s="1519" t="s">
        <v>716</v>
      </c>
      <c r="E106" s="1520"/>
      <c r="F106" s="1520"/>
      <c r="G106" s="1520">
        <f>G108</f>
        <v>17000</v>
      </c>
      <c r="H106" s="1520"/>
    </row>
    <row r="107" spans="1:8" s="57" customFormat="1" ht="16.5" customHeight="1">
      <c r="A107" s="68"/>
      <c r="B107" s="68"/>
      <c r="C107" s="49"/>
      <c r="D107" s="211" t="s">
        <v>717</v>
      </c>
      <c r="E107" s="248"/>
      <c r="F107" s="248"/>
      <c r="G107" s="248">
        <v>17000</v>
      </c>
      <c r="H107" s="248"/>
    </row>
    <row r="108" spans="1:8" s="57" customFormat="1" ht="17.25" customHeight="1">
      <c r="A108" s="68"/>
      <c r="B108" s="68"/>
      <c r="C108" s="38">
        <v>4270</v>
      </c>
      <c r="D108" s="39" t="s">
        <v>720</v>
      </c>
      <c r="E108" s="45"/>
      <c r="F108" s="45"/>
      <c r="G108" s="45">
        <f>G107</f>
        <v>17000</v>
      </c>
      <c r="H108" s="45"/>
    </row>
    <row r="109" spans="1:9" s="57" customFormat="1" ht="17.25" customHeight="1">
      <c r="A109" s="161"/>
      <c r="B109" s="1104">
        <v>80120</v>
      </c>
      <c r="C109" s="861"/>
      <c r="D109" s="861" t="s">
        <v>597</v>
      </c>
      <c r="E109" s="43"/>
      <c r="F109" s="43"/>
      <c r="G109" s="43">
        <f>G110</f>
        <v>108728</v>
      </c>
      <c r="H109" s="43"/>
      <c r="I109" s="383"/>
    </row>
    <row r="110" spans="1:8" s="57" customFormat="1" ht="17.25" customHeight="1">
      <c r="A110" s="40"/>
      <c r="B110" s="862"/>
      <c r="C110" s="863"/>
      <c r="D110" s="1007" t="s">
        <v>137</v>
      </c>
      <c r="E110" s="1029"/>
      <c r="F110" s="1029"/>
      <c r="G110" s="1029">
        <f>G112</f>
        <v>108728</v>
      </c>
      <c r="H110" s="1029"/>
    </row>
    <row r="111" spans="1:8" s="57" customFormat="1" ht="17.25" customHeight="1">
      <c r="A111" s="68"/>
      <c r="B111" s="863"/>
      <c r="C111" s="863"/>
      <c r="D111" s="1513" t="s">
        <v>717</v>
      </c>
      <c r="E111" s="1514"/>
      <c r="F111" s="1514"/>
      <c r="G111" s="1514">
        <v>108728</v>
      </c>
      <c r="H111" s="1514"/>
    </row>
    <row r="112" spans="1:8" s="57" customFormat="1" ht="17.25" customHeight="1">
      <c r="A112" s="68"/>
      <c r="B112" s="863"/>
      <c r="C112" s="33">
        <v>4270</v>
      </c>
      <c r="D112" s="385" t="s">
        <v>718</v>
      </c>
      <c r="E112" s="959"/>
      <c r="F112" s="959"/>
      <c r="G112" s="959">
        <f>G111</f>
        <v>108728</v>
      </c>
      <c r="H112" s="959"/>
    </row>
    <row r="113" spans="1:8" s="57" customFormat="1" ht="17.25" customHeight="1">
      <c r="A113" s="161"/>
      <c r="B113" s="833">
        <v>80130</v>
      </c>
      <c r="C113" s="536"/>
      <c r="D113" s="537" t="s">
        <v>399</v>
      </c>
      <c r="E113" s="43"/>
      <c r="F113" s="43"/>
      <c r="G113" s="43">
        <f>G114</f>
        <v>203992</v>
      </c>
      <c r="H113" s="43">
        <f>H114</f>
        <v>203000</v>
      </c>
    </row>
    <row r="114" spans="1:8" s="57" customFormat="1" ht="17.25" customHeight="1">
      <c r="A114" s="40"/>
      <c r="B114" s="40"/>
      <c r="C114" s="40"/>
      <c r="D114" s="538" t="s">
        <v>724</v>
      </c>
      <c r="E114" s="70"/>
      <c r="F114" s="70"/>
      <c r="G114" s="70">
        <f>G118+G116</f>
        <v>203992</v>
      </c>
      <c r="H114" s="70">
        <f>H118+H116</f>
        <v>203000</v>
      </c>
    </row>
    <row r="115" spans="1:8" s="57" customFormat="1" ht="16.5" customHeight="1">
      <c r="A115" s="68"/>
      <c r="B115" s="68"/>
      <c r="C115" s="49"/>
      <c r="D115" s="211" t="s">
        <v>717</v>
      </c>
      <c r="E115" s="46"/>
      <c r="F115" s="46"/>
      <c r="G115" s="46">
        <f>203000+992</f>
        <v>203992</v>
      </c>
      <c r="H115" s="46"/>
    </row>
    <row r="116" spans="1:8" s="57" customFormat="1" ht="17.25" customHeight="1">
      <c r="A116" s="68"/>
      <c r="B116" s="68"/>
      <c r="C116" s="38">
        <v>4270</v>
      </c>
      <c r="D116" s="39" t="s">
        <v>718</v>
      </c>
      <c r="E116" s="45"/>
      <c r="F116" s="45"/>
      <c r="G116" s="45">
        <f>G115</f>
        <v>203992</v>
      </c>
      <c r="H116" s="45"/>
    </row>
    <row r="117" spans="1:8" s="57" customFormat="1" ht="16.5" customHeight="1">
      <c r="A117" s="68"/>
      <c r="B117" s="68"/>
      <c r="C117" s="49"/>
      <c r="D117" s="211" t="s">
        <v>49</v>
      </c>
      <c r="E117" s="46"/>
      <c r="F117" s="46"/>
      <c r="G117" s="46"/>
      <c r="H117" s="46">
        <v>203000</v>
      </c>
    </row>
    <row r="118" spans="1:8" s="57" customFormat="1" ht="16.5" customHeight="1">
      <c r="A118" s="68"/>
      <c r="B118" s="74"/>
      <c r="C118" s="38">
        <v>6050</v>
      </c>
      <c r="D118" s="39" t="s">
        <v>723</v>
      </c>
      <c r="E118" s="45"/>
      <c r="F118" s="45"/>
      <c r="G118" s="45"/>
      <c r="H118" s="45">
        <f>H117</f>
        <v>203000</v>
      </c>
    </row>
    <row r="119" spans="1:8" s="57" customFormat="1" ht="17.25" customHeight="1" thickBot="1">
      <c r="A119" s="325">
        <v>852</v>
      </c>
      <c r="B119" s="325"/>
      <c r="C119" s="325"/>
      <c r="D119" s="326" t="s">
        <v>324</v>
      </c>
      <c r="E119" s="48"/>
      <c r="F119" s="48"/>
      <c r="G119" s="48">
        <f>G120+G124</f>
        <v>99817</v>
      </c>
      <c r="H119" s="48"/>
    </row>
    <row r="120" spans="1:8" s="57" customFormat="1" ht="17.25" customHeight="1">
      <c r="A120" s="40"/>
      <c r="B120" s="536">
        <v>85202</v>
      </c>
      <c r="C120" s="536"/>
      <c r="D120" s="542" t="s">
        <v>620</v>
      </c>
      <c r="E120" s="43"/>
      <c r="F120" s="43"/>
      <c r="G120" s="43">
        <f>G121</f>
        <v>85000</v>
      </c>
      <c r="H120" s="43"/>
    </row>
    <row r="121" spans="1:8" s="57" customFormat="1" ht="17.25" customHeight="1">
      <c r="A121" s="40"/>
      <c r="B121" s="40"/>
      <c r="C121" s="40"/>
      <c r="D121" s="552" t="s">
        <v>721</v>
      </c>
      <c r="E121" s="70"/>
      <c r="F121" s="70"/>
      <c r="G121" s="70">
        <f>G123</f>
        <v>85000</v>
      </c>
      <c r="H121" s="70"/>
    </row>
    <row r="122" spans="1:8" s="57" customFormat="1" ht="16.5" customHeight="1">
      <c r="A122" s="68"/>
      <c r="B122" s="68"/>
      <c r="C122" s="49"/>
      <c r="D122" s="982" t="s">
        <v>124</v>
      </c>
      <c r="E122" s="46"/>
      <c r="F122" s="46"/>
      <c r="G122" s="46">
        <v>85000</v>
      </c>
      <c r="H122" s="46"/>
    </row>
    <row r="123" spans="1:8" s="57" customFormat="1" ht="17.25" customHeight="1">
      <c r="A123" s="68"/>
      <c r="B123" s="68"/>
      <c r="C123" s="49">
        <v>6050</v>
      </c>
      <c r="D123" s="860" t="s">
        <v>723</v>
      </c>
      <c r="E123" s="373"/>
      <c r="F123" s="373"/>
      <c r="G123" s="373">
        <f>G122</f>
        <v>85000</v>
      </c>
      <c r="H123" s="373"/>
    </row>
    <row r="124" spans="1:8" s="57" customFormat="1" ht="17.25" customHeight="1">
      <c r="A124" s="40"/>
      <c r="B124" s="1104">
        <v>85295</v>
      </c>
      <c r="C124" s="1104"/>
      <c r="D124" s="1104" t="s">
        <v>401</v>
      </c>
      <c r="E124" s="1103"/>
      <c r="F124" s="1103"/>
      <c r="G124" s="1103">
        <f>G125</f>
        <v>14817</v>
      </c>
      <c r="H124" s="1103"/>
    </row>
    <row r="125" spans="1:8" s="57" customFormat="1" ht="17.25" customHeight="1">
      <c r="A125" s="40"/>
      <c r="B125" s="863"/>
      <c r="C125" s="156"/>
      <c r="D125" s="633" t="s">
        <v>267</v>
      </c>
      <c r="E125" s="70"/>
      <c r="F125" s="70"/>
      <c r="G125" s="70">
        <f>G126</f>
        <v>14817</v>
      </c>
      <c r="H125" s="70"/>
    </row>
    <row r="126" spans="1:8" s="57" customFormat="1" ht="16.5" customHeight="1">
      <c r="A126" s="68"/>
      <c r="B126" s="863"/>
      <c r="C126" s="33">
        <v>3110</v>
      </c>
      <c r="D126" s="998" t="s">
        <v>725</v>
      </c>
      <c r="E126" s="373"/>
      <c r="F126" s="373"/>
      <c r="G126" s="373">
        <v>14817</v>
      </c>
      <c r="H126" s="373"/>
    </row>
    <row r="127" spans="1:8" s="57" customFormat="1" ht="25.5" customHeight="1" thickBot="1">
      <c r="A127" s="210"/>
      <c r="B127" s="210"/>
      <c r="C127" s="210"/>
      <c r="D127" s="129" t="s">
        <v>308</v>
      </c>
      <c r="E127" s="1309"/>
      <c r="F127" s="1309"/>
      <c r="G127" s="1309"/>
      <c r="H127" s="1309">
        <f>H128</f>
        <v>7821</v>
      </c>
    </row>
    <row r="128" spans="1:9" s="57" customFormat="1" ht="17.25" customHeight="1" thickBot="1" thickTop="1">
      <c r="A128" s="47">
        <v>853</v>
      </c>
      <c r="B128" s="47"/>
      <c r="C128" s="47"/>
      <c r="D128" s="47" t="s">
        <v>389</v>
      </c>
      <c r="E128" s="48"/>
      <c r="F128" s="48"/>
      <c r="G128" s="48"/>
      <c r="H128" s="48">
        <f>H129</f>
        <v>7821</v>
      </c>
      <c r="I128" s="383"/>
    </row>
    <row r="129" spans="1:9" s="57" customFormat="1" ht="17.25" customHeight="1">
      <c r="A129" s="51"/>
      <c r="B129" s="44">
        <v>85334</v>
      </c>
      <c r="C129" s="44"/>
      <c r="D129" s="44" t="s">
        <v>623</v>
      </c>
      <c r="E129" s="43"/>
      <c r="F129" s="43"/>
      <c r="G129" s="43"/>
      <c r="H129" s="43">
        <f>H130</f>
        <v>7821</v>
      </c>
      <c r="I129" s="383"/>
    </row>
    <row r="130" spans="1:8" s="57" customFormat="1" ht="17.25" customHeight="1">
      <c r="A130" s="68"/>
      <c r="B130" s="69"/>
      <c r="C130" s="68"/>
      <c r="D130" s="72" t="s">
        <v>160</v>
      </c>
      <c r="E130" s="70"/>
      <c r="F130" s="70"/>
      <c r="G130" s="70"/>
      <c r="H130" s="70">
        <f>SUM(H131:H132)</f>
        <v>7821</v>
      </c>
    </row>
    <row r="131" spans="1:8" s="57" customFormat="1" ht="16.5" customHeight="1">
      <c r="A131" s="209"/>
      <c r="B131" s="209"/>
      <c r="C131" s="37">
        <v>3030</v>
      </c>
      <c r="D131" s="1018" t="s">
        <v>42</v>
      </c>
      <c r="E131" s="185"/>
      <c r="F131" s="185"/>
      <c r="G131" s="185"/>
      <c r="H131" s="185">
        <v>2321</v>
      </c>
    </row>
    <row r="132" spans="1:8" s="57" customFormat="1" ht="16.5" customHeight="1">
      <c r="A132" s="209"/>
      <c r="B132" s="209"/>
      <c r="C132" s="41">
        <v>4300</v>
      </c>
      <c r="D132" s="208" t="s">
        <v>322</v>
      </c>
      <c r="E132" s="372"/>
      <c r="F132" s="372"/>
      <c r="G132" s="372"/>
      <c r="H132" s="372">
        <v>5500</v>
      </c>
    </row>
    <row r="133" spans="1:9" s="61" customFormat="1" ht="20.25" customHeight="1">
      <c r="A133" s="209"/>
      <c r="B133" s="209"/>
      <c r="C133" s="209"/>
      <c r="D133" s="63" t="s">
        <v>640</v>
      </c>
      <c r="E133" s="64"/>
      <c r="F133" s="64"/>
      <c r="G133" s="64">
        <f>G134</f>
        <v>299659</v>
      </c>
      <c r="H133" s="64">
        <f>H134</f>
        <v>9697</v>
      </c>
      <c r="I133" s="76"/>
    </row>
    <row r="134" spans="1:8" s="57" customFormat="1" ht="18" customHeight="1" thickBot="1">
      <c r="A134" s="73"/>
      <c r="B134" s="73"/>
      <c r="C134" s="73"/>
      <c r="D134" s="55" t="s">
        <v>192</v>
      </c>
      <c r="E134" s="56"/>
      <c r="F134" s="56"/>
      <c r="G134" s="56">
        <f>G135+G172</f>
        <v>299659</v>
      </c>
      <c r="H134" s="56">
        <f>H135+H172</f>
        <v>9697</v>
      </c>
    </row>
    <row r="135" spans="1:9" s="57" customFormat="1" ht="18" customHeight="1" thickBot="1" thickTop="1">
      <c r="A135" s="47">
        <v>801</v>
      </c>
      <c r="B135" s="47"/>
      <c r="C135" s="47"/>
      <c r="D135" s="47" t="s">
        <v>395</v>
      </c>
      <c r="E135" s="48"/>
      <c r="F135" s="48"/>
      <c r="G135" s="48">
        <f>G144+G136+G147+G154+G161+G166+G141+G151</f>
        <v>238320</v>
      </c>
      <c r="H135" s="48">
        <f>H144+H136+H147+H154+H161+H166+H169</f>
        <v>9697</v>
      </c>
      <c r="I135" s="383"/>
    </row>
    <row r="136" spans="1:9" s="57" customFormat="1" ht="18" customHeight="1">
      <c r="A136" s="1521"/>
      <c r="B136" s="1522">
        <v>80101</v>
      </c>
      <c r="C136" s="1522"/>
      <c r="D136" s="1522" t="s">
        <v>396</v>
      </c>
      <c r="E136" s="894"/>
      <c r="F136" s="894"/>
      <c r="G136" s="894">
        <f>G137</f>
        <v>117981</v>
      </c>
      <c r="H136" s="894"/>
      <c r="I136" s="383"/>
    </row>
    <row r="137" spans="1:8" s="57" customFormat="1" ht="18" customHeight="1">
      <c r="A137" s="74"/>
      <c r="B137" s="1523"/>
      <c r="C137" s="74"/>
      <c r="D137" s="1314" t="s">
        <v>716</v>
      </c>
      <c r="E137" s="1520"/>
      <c r="F137" s="1520"/>
      <c r="G137" s="1520">
        <f>G139+G138+G140</f>
        <v>117981</v>
      </c>
      <c r="H137" s="1520"/>
    </row>
    <row r="138" spans="1:8" s="50" customFormat="1" ht="17.25" customHeight="1">
      <c r="A138" s="49"/>
      <c r="B138" s="49"/>
      <c r="C138" s="49">
        <v>4110</v>
      </c>
      <c r="D138" s="953" t="s">
        <v>696</v>
      </c>
      <c r="E138" s="373"/>
      <c r="F138" s="373"/>
      <c r="G138" s="373">
        <v>40000</v>
      </c>
      <c r="H138" s="373"/>
    </row>
    <row r="139" spans="1:8" s="57" customFormat="1" ht="17.25" customHeight="1">
      <c r="A139" s="68"/>
      <c r="B139" s="68"/>
      <c r="C139" s="41">
        <v>4260</v>
      </c>
      <c r="D139" s="208" t="s">
        <v>605</v>
      </c>
      <c r="E139" s="372"/>
      <c r="F139" s="372"/>
      <c r="G139" s="372">
        <v>43656</v>
      </c>
      <c r="H139" s="372"/>
    </row>
    <row r="140" spans="1:8" s="57" customFormat="1" ht="17.25" customHeight="1">
      <c r="A140" s="68"/>
      <c r="B140" s="74"/>
      <c r="C140" s="37">
        <v>4440</v>
      </c>
      <c r="D140" s="1018" t="s">
        <v>247</v>
      </c>
      <c r="E140" s="45"/>
      <c r="F140" s="45"/>
      <c r="G140" s="45">
        <v>34325</v>
      </c>
      <c r="H140" s="45"/>
    </row>
    <row r="141" spans="1:9" s="57" customFormat="1" ht="17.25" customHeight="1">
      <c r="A141" s="51"/>
      <c r="B141" s="44">
        <v>80102</v>
      </c>
      <c r="C141" s="44"/>
      <c r="D141" s="545" t="s">
        <v>593</v>
      </c>
      <c r="E141" s="43"/>
      <c r="F141" s="43"/>
      <c r="G141" s="43">
        <f>G142</f>
        <v>2652</v>
      </c>
      <c r="H141" s="43"/>
      <c r="I141" s="383"/>
    </row>
    <row r="142" spans="1:8" s="57" customFormat="1" ht="17.25" customHeight="1">
      <c r="A142" s="68"/>
      <c r="B142" s="69"/>
      <c r="C142" s="68"/>
      <c r="D142" s="330" t="s">
        <v>246</v>
      </c>
      <c r="E142" s="70"/>
      <c r="F142" s="70"/>
      <c r="G142" s="70">
        <f>G143</f>
        <v>2652</v>
      </c>
      <c r="H142" s="70"/>
    </row>
    <row r="143" spans="1:8" s="50" customFormat="1" ht="17.25" customHeight="1">
      <c r="A143" s="49"/>
      <c r="B143" s="49"/>
      <c r="C143" s="38">
        <v>4440</v>
      </c>
      <c r="D143" s="39" t="s">
        <v>247</v>
      </c>
      <c r="E143" s="45"/>
      <c r="F143" s="45"/>
      <c r="G143" s="45">
        <v>2652</v>
      </c>
      <c r="H143" s="45"/>
    </row>
    <row r="144" spans="1:9" s="57" customFormat="1" ht="17.25" customHeight="1">
      <c r="A144" s="51"/>
      <c r="B144" s="1023">
        <v>80104</v>
      </c>
      <c r="C144" s="44"/>
      <c r="D144" s="44" t="s">
        <v>595</v>
      </c>
      <c r="E144" s="43"/>
      <c r="F144" s="43"/>
      <c r="G144" s="43">
        <f>G145</f>
        <v>1750</v>
      </c>
      <c r="H144" s="43"/>
      <c r="I144" s="383"/>
    </row>
    <row r="145" spans="1:8" s="57" customFormat="1" ht="17.25" customHeight="1">
      <c r="A145" s="68"/>
      <c r="B145" s="69"/>
      <c r="C145" s="68"/>
      <c r="D145" s="1028" t="s">
        <v>627</v>
      </c>
      <c r="E145" s="1029"/>
      <c r="F145" s="1029"/>
      <c r="G145" s="1029">
        <f>SUM(G146:G146)</f>
        <v>1750</v>
      </c>
      <c r="H145" s="1029"/>
    </row>
    <row r="146" spans="1:8" s="57" customFormat="1" ht="17.25" customHeight="1">
      <c r="A146" s="209"/>
      <c r="B146" s="210"/>
      <c r="C146" s="38">
        <v>4750</v>
      </c>
      <c r="D146" s="1030" t="s">
        <v>131</v>
      </c>
      <c r="E146" s="185"/>
      <c r="F146" s="185"/>
      <c r="G146" s="185">
        <v>1750</v>
      </c>
      <c r="H146" s="185"/>
    </row>
    <row r="147" spans="1:8" s="57" customFormat="1" ht="17.25" customHeight="1">
      <c r="A147" s="51"/>
      <c r="B147" s="1023">
        <v>80110</v>
      </c>
      <c r="C147" s="44"/>
      <c r="D147" s="44" t="s">
        <v>596</v>
      </c>
      <c r="E147" s="43"/>
      <c r="F147" s="43"/>
      <c r="G147" s="43">
        <f>G148</f>
        <v>35064</v>
      </c>
      <c r="H147" s="43"/>
    </row>
    <row r="148" spans="1:8" s="57" customFormat="1" ht="17.25" customHeight="1">
      <c r="A148" s="68"/>
      <c r="B148" s="69"/>
      <c r="C148" s="68"/>
      <c r="D148" s="72" t="s">
        <v>136</v>
      </c>
      <c r="E148" s="70"/>
      <c r="F148" s="70"/>
      <c r="G148" s="70">
        <f>G149+G150</f>
        <v>35064</v>
      </c>
      <c r="H148" s="70"/>
    </row>
    <row r="149" spans="1:8" s="57" customFormat="1" ht="17.25" customHeight="1">
      <c r="A149" s="68"/>
      <c r="B149" s="68"/>
      <c r="C149" s="37">
        <v>4260</v>
      </c>
      <c r="D149" s="1018" t="s">
        <v>605</v>
      </c>
      <c r="E149" s="185"/>
      <c r="F149" s="185"/>
      <c r="G149" s="185">
        <v>21389</v>
      </c>
      <c r="H149" s="185"/>
    </row>
    <row r="150" spans="1:8" s="50" customFormat="1" ht="17.25" customHeight="1">
      <c r="A150" s="49"/>
      <c r="B150" s="49"/>
      <c r="C150" s="38">
        <v>4440</v>
      </c>
      <c r="D150" s="1026" t="s">
        <v>247</v>
      </c>
      <c r="E150" s="959"/>
      <c r="F150" s="959"/>
      <c r="G150" s="959">
        <v>13675</v>
      </c>
      <c r="H150" s="959"/>
    </row>
    <row r="151" spans="1:8" s="57" customFormat="1" ht="17.25" customHeight="1">
      <c r="A151" s="51"/>
      <c r="B151" s="1023">
        <v>80113</v>
      </c>
      <c r="C151" s="44"/>
      <c r="D151" s="44" t="s">
        <v>55</v>
      </c>
      <c r="E151" s="43"/>
      <c r="F151" s="43"/>
      <c r="G151" s="43">
        <f>G152</f>
        <v>19373</v>
      </c>
      <c r="H151" s="43"/>
    </row>
    <row r="152" spans="1:8" s="57" customFormat="1" ht="17.25" customHeight="1">
      <c r="A152" s="68"/>
      <c r="B152" s="69"/>
      <c r="C152" s="68"/>
      <c r="D152" s="1027" t="s">
        <v>252</v>
      </c>
      <c r="E152" s="70"/>
      <c r="F152" s="70"/>
      <c r="G152" s="70">
        <f>G153</f>
        <v>19373</v>
      </c>
      <c r="H152" s="70"/>
    </row>
    <row r="153" spans="1:8" s="57" customFormat="1" ht="17.25" customHeight="1">
      <c r="A153" s="68"/>
      <c r="B153" s="68"/>
      <c r="C153" s="37">
        <v>4300</v>
      </c>
      <c r="D153" s="38" t="s">
        <v>322</v>
      </c>
      <c r="E153" s="185"/>
      <c r="F153" s="185"/>
      <c r="G153" s="185">
        <v>19373</v>
      </c>
      <c r="H153" s="185"/>
    </row>
    <row r="154" spans="1:8" s="57" customFormat="1" ht="17.25" customHeight="1">
      <c r="A154" s="51"/>
      <c r="B154" s="1023">
        <v>80120</v>
      </c>
      <c r="C154" s="44"/>
      <c r="D154" s="44" t="s">
        <v>597</v>
      </c>
      <c r="E154" s="43"/>
      <c r="F154" s="43"/>
      <c r="G154" s="43">
        <f>G155</f>
        <v>27800</v>
      </c>
      <c r="H154" s="43"/>
    </row>
    <row r="155" spans="1:8" s="57" customFormat="1" ht="17.25" customHeight="1">
      <c r="A155" s="68"/>
      <c r="B155" s="69"/>
      <c r="C155" s="68"/>
      <c r="D155" s="1028" t="s">
        <v>137</v>
      </c>
      <c r="E155" s="1029"/>
      <c r="F155" s="1029"/>
      <c r="G155" s="1029">
        <f>SUM(G156:G159)</f>
        <v>27800</v>
      </c>
      <c r="H155" s="1029"/>
    </row>
    <row r="156" spans="1:8" s="57" customFormat="1" ht="17.25" customHeight="1">
      <c r="A156" s="209"/>
      <c r="B156" s="209"/>
      <c r="C156" s="37">
        <v>4110</v>
      </c>
      <c r="D156" s="1030" t="s">
        <v>696</v>
      </c>
      <c r="E156" s="185"/>
      <c r="F156" s="185"/>
      <c r="G156" s="185">
        <v>8851</v>
      </c>
      <c r="H156" s="185"/>
    </row>
    <row r="157" spans="1:8" s="57" customFormat="1" ht="17.25" customHeight="1">
      <c r="A157" s="209"/>
      <c r="B157" s="209"/>
      <c r="C157" s="41">
        <v>4260</v>
      </c>
      <c r="D157" s="208" t="s">
        <v>605</v>
      </c>
      <c r="E157" s="372"/>
      <c r="F157" s="372"/>
      <c r="G157" s="372">
        <v>2000</v>
      </c>
      <c r="H157" s="372"/>
    </row>
    <row r="158" spans="1:8" s="57" customFormat="1" ht="17.25" customHeight="1">
      <c r="A158" s="209"/>
      <c r="B158" s="209"/>
      <c r="C158" s="41">
        <v>4440</v>
      </c>
      <c r="D158" s="208" t="s">
        <v>247</v>
      </c>
      <c r="E158" s="372"/>
      <c r="F158" s="372"/>
      <c r="G158" s="372">
        <v>15149</v>
      </c>
      <c r="H158" s="372"/>
    </row>
    <row r="159" spans="1:8" s="50" customFormat="1" ht="17.25" customHeight="1">
      <c r="A159" s="49"/>
      <c r="B159" s="49"/>
      <c r="C159" s="49"/>
      <c r="D159" s="953" t="s">
        <v>628</v>
      </c>
      <c r="E159" s="373"/>
      <c r="F159" s="373"/>
      <c r="G159" s="373">
        <v>1800</v>
      </c>
      <c r="H159" s="373"/>
    </row>
    <row r="160" spans="1:8" s="50" customFormat="1" ht="17.25" customHeight="1">
      <c r="A160" s="49"/>
      <c r="B160" s="49"/>
      <c r="C160" s="38">
        <v>6060</v>
      </c>
      <c r="D160" s="1026" t="s">
        <v>631</v>
      </c>
      <c r="E160" s="959"/>
      <c r="F160" s="959"/>
      <c r="G160" s="959">
        <f>G159</f>
        <v>1800</v>
      </c>
      <c r="H160" s="959"/>
    </row>
    <row r="161" spans="1:8" s="57" customFormat="1" ht="17.25" customHeight="1">
      <c r="A161" s="51"/>
      <c r="B161" s="1023">
        <v>80130</v>
      </c>
      <c r="C161" s="44"/>
      <c r="D161" s="44" t="s">
        <v>399</v>
      </c>
      <c r="E161" s="43"/>
      <c r="F161" s="43"/>
      <c r="G161" s="43">
        <f>G162</f>
        <v>31000</v>
      </c>
      <c r="H161" s="43"/>
    </row>
    <row r="162" spans="1:8" s="57" customFormat="1" ht="17.25" customHeight="1">
      <c r="A162" s="68"/>
      <c r="B162" s="69"/>
      <c r="C162" s="68"/>
      <c r="D162" s="72" t="s">
        <v>724</v>
      </c>
      <c r="E162" s="70"/>
      <c r="F162" s="70"/>
      <c r="G162" s="70">
        <f>G163+G165</f>
        <v>31000</v>
      </c>
      <c r="H162" s="70"/>
    </row>
    <row r="163" spans="1:8" s="57" customFormat="1" ht="17.25" customHeight="1">
      <c r="A163" s="68"/>
      <c r="B163" s="68"/>
      <c r="C163" s="37">
        <v>4210</v>
      </c>
      <c r="D163" s="1018" t="s">
        <v>321</v>
      </c>
      <c r="E163" s="185"/>
      <c r="F163" s="185"/>
      <c r="G163" s="185">
        <v>23000</v>
      </c>
      <c r="H163" s="185"/>
    </row>
    <row r="164" spans="1:8" s="50" customFormat="1" ht="17.25" customHeight="1">
      <c r="A164" s="49"/>
      <c r="B164" s="49"/>
      <c r="C164" s="49"/>
      <c r="D164" s="953" t="s">
        <v>628</v>
      </c>
      <c r="E164" s="373"/>
      <c r="F164" s="373"/>
      <c r="G164" s="373">
        <v>8000</v>
      </c>
      <c r="H164" s="373"/>
    </row>
    <row r="165" spans="1:8" s="50" customFormat="1" ht="17.25" customHeight="1">
      <c r="A165" s="49"/>
      <c r="B165" s="49"/>
      <c r="C165" s="38">
        <v>6060</v>
      </c>
      <c r="D165" s="1026" t="s">
        <v>631</v>
      </c>
      <c r="E165" s="959"/>
      <c r="F165" s="959"/>
      <c r="G165" s="959">
        <f>G164</f>
        <v>8000</v>
      </c>
      <c r="H165" s="959"/>
    </row>
    <row r="166" spans="1:9" s="57" customFormat="1" ht="17.25" customHeight="1">
      <c r="A166" s="51"/>
      <c r="B166" s="1023">
        <v>80146</v>
      </c>
      <c r="C166" s="44"/>
      <c r="D166" s="44" t="s">
        <v>604</v>
      </c>
      <c r="E166" s="43"/>
      <c r="F166" s="43"/>
      <c r="G166" s="43">
        <f>G167</f>
        <v>2700</v>
      </c>
      <c r="H166" s="43"/>
      <c r="I166" s="383"/>
    </row>
    <row r="167" spans="1:8" s="57" customFormat="1" ht="17.25" customHeight="1">
      <c r="A167" s="68"/>
      <c r="B167" s="69"/>
      <c r="C167" s="68"/>
      <c r="D167" s="72" t="s">
        <v>692</v>
      </c>
      <c r="E167" s="70"/>
      <c r="F167" s="70"/>
      <c r="G167" s="70">
        <f>SUM(G168:G168)</f>
        <v>2700</v>
      </c>
      <c r="H167" s="70"/>
    </row>
    <row r="168" spans="1:8" s="57" customFormat="1" ht="18" customHeight="1">
      <c r="A168" s="210"/>
      <c r="B168" s="210"/>
      <c r="C168" s="37">
        <v>4700</v>
      </c>
      <c r="D168" s="1018" t="s">
        <v>695</v>
      </c>
      <c r="E168" s="185"/>
      <c r="F168" s="185"/>
      <c r="G168" s="185">
        <v>2700</v>
      </c>
      <c r="H168" s="185"/>
    </row>
    <row r="169" spans="1:9" s="57" customFormat="1" ht="18" customHeight="1">
      <c r="A169" s="51"/>
      <c r="B169" s="44">
        <v>80195</v>
      </c>
      <c r="C169" s="44"/>
      <c r="D169" s="44" t="s">
        <v>401</v>
      </c>
      <c r="E169" s="43"/>
      <c r="F169" s="43"/>
      <c r="G169" s="43"/>
      <c r="H169" s="43">
        <f>H170</f>
        <v>9697</v>
      </c>
      <c r="I169" s="383"/>
    </row>
    <row r="170" spans="1:8" s="57" customFormat="1" ht="25.5">
      <c r="A170" s="68"/>
      <c r="B170" s="69"/>
      <c r="C170" s="68"/>
      <c r="D170" s="21" t="s">
        <v>372</v>
      </c>
      <c r="E170" s="70"/>
      <c r="F170" s="70"/>
      <c r="G170" s="70"/>
      <c r="H170" s="70">
        <f>H171</f>
        <v>9697</v>
      </c>
    </row>
    <row r="171" spans="1:8" s="57" customFormat="1" ht="18" customHeight="1">
      <c r="A171" s="209"/>
      <c r="B171" s="209"/>
      <c r="C171" s="37">
        <v>4300</v>
      </c>
      <c r="D171" s="1018" t="s">
        <v>322</v>
      </c>
      <c r="E171" s="185"/>
      <c r="F171" s="185"/>
      <c r="G171" s="185"/>
      <c r="H171" s="185">
        <v>9697</v>
      </c>
    </row>
    <row r="172" spans="1:9" s="57" customFormat="1" ht="18" customHeight="1" thickBot="1">
      <c r="A172" s="47">
        <v>854</v>
      </c>
      <c r="B172" s="47"/>
      <c r="C172" s="47"/>
      <c r="D172" s="47" t="s">
        <v>403</v>
      </c>
      <c r="E172" s="48"/>
      <c r="F172" s="48"/>
      <c r="G172" s="48">
        <f>G179+G184+G173+G176</f>
        <v>61339</v>
      </c>
      <c r="H172" s="48"/>
      <c r="I172" s="383"/>
    </row>
    <row r="173" spans="1:8" s="57" customFormat="1" ht="18" customHeight="1">
      <c r="A173" s="51"/>
      <c r="B173" s="1023">
        <v>85401</v>
      </c>
      <c r="C173" s="44"/>
      <c r="D173" s="545" t="s">
        <v>61</v>
      </c>
      <c r="E173" s="43"/>
      <c r="F173" s="43"/>
      <c r="G173" s="43">
        <f>G174</f>
        <v>4759</v>
      </c>
      <c r="H173" s="43"/>
    </row>
    <row r="174" spans="1:8" s="57" customFormat="1" ht="18" customHeight="1">
      <c r="A174" s="68"/>
      <c r="B174" s="69"/>
      <c r="C174" s="68"/>
      <c r="D174" s="513" t="s">
        <v>260</v>
      </c>
      <c r="E174" s="70"/>
      <c r="F174" s="70"/>
      <c r="G174" s="70">
        <f>G175</f>
        <v>4759</v>
      </c>
      <c r="H174" s="70"/>
    </row>
    <row r="175" spans="1:8" s="57" customFormat="1" ht="18" customHeight="1">
      <c r="A175" s="68"/>
      <c r="B175" s="68"/>
      <c r="C175" s="37">
        <v>4110</v>
      </c>
      <c r="D175" s="1018" t="s">
        <v>696</v>
      </c>
      <c r="E175" s="185"/>
      <c r="F175" s="185"/>
      <c r="G175" s="185">
        <v>4759</v>
      </c>
      <c r="H175" s="185"/>
    </row>
    <row r="176" spans="1:8" s="57" customFormat="1" ht="25.5">
      <c r="A176" s="51"/>
      <c r="B176" s="1023">
        <v>85406</v>
      </c>
      <c r="C176" s="44"/>
      <c r="D176" s="545" t="s">
        <v>556</v>
      </c>
      <c r="E176" s="43"/>
      <c r="F176" s="43"/>
      <c r="G176" s="43">
        <f>G177</f>
        <v>34500</v>
      </c>
      <c r="H176" s="43"/>
    </row>
    <row r="177" spans="1:8" s="57" customFormat="1" ht="18" customHeight="1">
      <c r="A177" s="68"/>
      <c r="B177" s="69"/>
      <c r="C177" s="68"/>
      <c r="D177" s="145" t="s">
        <v>557</v>
      </c>
      <c r="E177" s="70"/>
      <c r="F177" s="70"/>
      <c r="G177" s="70">
        <f>G178</f>
        <v>34500</v>
      </c>
      <c r="H177" s="70"/>
    </row>
    <row r="178" spans="1:8" s="57" customFormat="1" ht="18" customHeight="1">
      <c r="A178" s="68"/>
      <c r="B178" s="68"/>
      <c r="C178" s="37">
        <v>4260</v>
      </c>
      <c r="D178" s="1018" t="s">
        <v>605</v>
      </c>
      <c r="E178" s="185"/>
      <c r="F178" s="185"/>
      <c r="G178" s="185">
        <v>34500</v>
      </c>
      <c r="H178" s="185"/>
    </row>
    <row r="179" spans="1:8" s="57" customFormat="1" ht="18" customHeight="1">
      <c r="A179" s="51"/>
      <c r="B179" s="1023">
        <v>85415</v>
      </c>
      <c r="C179" s="44"/>
      <c r="D179" s="44" t="s">
        <v>600</v>
      </c>
      <c r="E179" s="43"/>
      <c r="F179" s="43"/>
      <c r="G179" s="43">
        <f>G180+G182</f>
        <v>16080</v>
      </c>
      <c r="H179" s="43"/>
    </row>
    <row r="180" spans="1:8" s="42" customFormat="1" ht="18" customHeight="1">
      <c r="A180" s="209"/>
      <c r="B180" s="209"/>
      <c r="C180" s="786"/>
      <c r="D180" s="1055" t="s">
        <v>263</v>
      </c>
      <c r="E180" s="1056"/>
      <c r="F180" s="1056"/>
      <c r="G180" s="1056">
        <f>G181</f>
        <v>13392</v>
      </c>
      <c r="H180" s="1056"/>
    </row>
    <row r="181" spans="1:8" s="57" customFormat="1" ht="18" customHeight="1">
      <c r="A181" s="209"/>
      <c r="B181" s="209"/>
      <c r="C181" s="787">
        <v>3240</v>
      </c>
      <c r="D181" s="368" t="s">
        <v>715</v>
      </c>
      <c r="E181" s="185"/>
      <c r="F181" s="185"/>
      <c r="G181" s="185">
        <v>13392</v>
      </c>
      <c r="H181" s="185"/>
    </row>
    <row r="182" spans="1:8" s="42" customFormat="1" ht="18" customHeight="1">
      <c r="A182" s="209"/>
      <c r="B182" s="209"/>
      <c r="C182" s="209"/>
      <c r="D182" s="1055" t="s">
        <v>76</v>
      </c>
      <c r="E182" s="1056"/>
      <c r="F182" s="1056"/>
      <c r="G182" s="1056">
        <f>SUM(G183:G183)</f>
        <v>2688</v>
      </c>
      <c r="H182" s="1056"/>
    </row>
    <row r="183" spans="1:8" s="57" customFormat="1" ht="18" customHeight="1">
      <c r="A183" s="209"/>
      <c r="B183" s="209"/>
      <c r="C183" s="37">
        <v>3240</v>
      </c>
      <c r="D183" s="1018" t="s">
        <v>715</v>
      </c>
      <c r="E183" s="45"/>
      <c r="F183" s="45"/>
      <c r="G183" s="45">
        <v>2688</v>
      </c>
      <c r="H183" s="45"/>
    </row>
    <row r="184" spans="1:8" s="57" customFormat="1" ht="18" customHeight="1">
      <c r="A184" s="51"/>
      <c r="B184" s="1023">
        <v>85495</v>
      </c>
      <c r="C184" s="44"/>
      <c r="D184" s="44" t="s">
        <v>63</v>
      </c>
      <c r="E184" s="43"/>
      <c r="F184" s="43"/>
      <c r="G184" s="43">
        <f>G185</f>
        <v>6000</v>
      </c>
      <c r="H184" s="43"/>
    </row>
    <row r="185" spans="1:8" s="57" customFormat="1" ht="18" customHeight="1">
      <c r="A185" s="68"/>
      <c r="B185" s="69"/>
      <c r="C185" s="68"/>
      <c r="D185" s="72" t="s">
        <v>139</v>
      </c>
      <c r="E185" s="70"/>
      <c r="F185" s="70"/>
      <c r="G185" s="70">
        <f>G186</f>
        <v>6000</v>
      </c>
      <c r="H185" s="70"/>
    </row>
    <row r="186" spans="1:8" s="50" customFormat="1" ht="18" customHeight="1">
      <c r="A186" s="49"/>
      <c r="B186" s="49"/>
      <c r="C186" s="38">
        <v>4220</v>
      </c>
      <c r="D186" s="1026" t="s">
        <v>119</v>
      </c>
      <c r="E186" s="959"/>
      <c r="F186" s="959"/>
      <c r="G186" s="959">
        <v>6000</v>
      </c>
      <c r="H186" s="959"/>
    </row>
    <row r="187" spans="1:9" s="61" customFormat="1" ht="21" customHeight="1">
      <c r="A187" s="209"/>
      <c r="B187" s="209"/>
      <c r="C187" s="209"/>
      <c r="D187" s="63" t="s">
        <v>641</v>
      </c>
      <c r="E187" s="64"/>
      <c r="F187" s="64"/>
      <c r="G187" s="64">
        <f aca="true" t="shared" si="2" ref="G187:H190">G188</f>
        <v>968</v>
      </c>
      <c r="H187" s="64">
        <f t="shared" si="2"/>
        <v>968</v>
      </c>
      <c r="I187" s="76"/>
    </row>
    <row r="188" spans="1:8" s="57" customFormat="1" ht="30.75" customHeight="1" thickBot="1">
      <c r="A188" s="210"/>
      <c r="B188" s="210"/>
      <c r="C188" s="210"/>
      <c r="D188" s="129" t="s">
        <v>308</v>
      </c>
      <c r="E188" s="56"/>
      <c r="F188" s="56"/>
      <c r="G188" s="56">
        <f t="shared" si="2"/>
        <v>968</v>
      </c>
      <c r="H188" s="56">
        <f t="shared" si="2"/>
        <v>968</v>
      </c>
    </row>
    <row r="189" spans="1:8" s="57" customFormat="1" ht="18" customHeight="1" thickBot="1" thickTop="1">
      <c r="A189" s="325">
        <v>750</v>
      </c>
      <c r="B189" s="325"/>
      <c r="C189" s="325"/>
      <c r="D189" s="655" t="s">
        <v>319</v>
      </c>
      <c r="E189" s="326"/>
      <c r="F189" s="326"/>
      <c r="G189" s="539">
        <f t="shared" si="2"/>
        <v>968</v>
      </c>
      <c r="H189" s="539">
        <f t="shared" si="2"/>
        <v>968</v>
      </c>
    </row>
    <row r="190" spans="1:8" s="57" customFormat="1" ht="18" customHeight="1">
      <c r="A190" s="161"/>
      <c r="B190" s="536">
        <v>75045</v>
      </c>
      <c r="C190" s="536"/>
      <c r="D190" s="44" t="s">
        <v>722</v>
      </c>
      <c r="E190" s="887"/>
      <c r="F190" s="887"/>
      <c r="G190" s="891">
        <f t="shared" si="2"/>
        <v>968</v>
      </c>
      <c r="H190" s="891">
        <f t="shared" si="2"/>
        <v>968</v>
      </c>
    </row>
    <row r="191" spans="1:8" s="57" customFormat="1" ht="18" customHeight="1">
      <c r="A191" s="40"/>
      <c r="B191" s="40"/>
      <c r="C191" s="40"/>
      <c r="D191" s="834" t="s">
        <v>534</v>
      </c>
      <c r="E191" s="837"/>
      <c r="F191" s="837"/>
      <c r="G191" s="838">
        <f>SUM(G192:G195)</f>
        <v>968</v>
      </c>
      <c r="H191" s="838">
        <f>SUM(H192:H195)</f>
        <v>968</v>
      </c>
    </row>
    <row r="192" spans="1:8" s="50" customFormat="1" ht="18" customHeight="1">
      <c r="A192" s="49"/>
      <c r="B192" s="49"/>
      <c r="C192" s="49">
        <v>4210</v>
      </c>
      <c r="D192" s="39" t="s">
        <v>321</v>
      </c>
      <c r="E192" s="373"/>
      <c r="F192" s="373"/>
      <c r="G192" s="373"/>
      <c r="H192" s="373">
        <v>22</v>
      </c>
    </row>
    <row r="193" spans="1:8" s="50" customFormat="1" ht="18" customHeight="1">
      <c r="A193" s="49"/>
      <c r="B193" s="49"/>
      <c r="C193" s="544">
        <v>4260</v>
      </c>
      <c r="D193" s="39" t="s">
        <v>605</v>
      </c>
      <c r="E193" s="372"/>
      <c r="F193" s="372"/>
      <c r="G193" s="372">
        <v>835</v>
      </c>
      <c r="H193" s="372"/>
    </row>
    <row r="194" spans="1:8" s="50" customFormat="1" ht="18" customHeight="1">
      <c r="A194" s="49"/>
      <c r="B194" s="49"/>
      <c r="C194" s="544">
        <v>4300</v>
      </c>
      <c r="D194" s="38" t="s">
        <v>322</v>
      </c>
      <c r="E194" s="372"/>
      <c r="F194" s="372"/>
      <c r="G194" s="372">
        <v>133</v>
      </c>
      <c r="H194" s="372"/>
    </row>
    <row r="195" spans="1:8" s="50" customFormat="1" ht="18" customHeight="1">
      <c r="A195" s="38"/>
      <c r="B195" s="38"/>
      <c r="C195" s="544">
        <v>4370</v>
      </c>
      <c r="D195" s="127" t="s">
        <v>400</v>
      </c>
      <c r="E195" s="372"/>
      <c r="F195" s="372"/>
      <c r="G195" s="372"/>
      <c r="H195" s="372">
        <v>946</v>
      </c>
    </row>
    <row r="196" spans="4:8" s="1441" customFormat="1" ht="18" customHeight="1">
      <c r="D196" s="1443"/>
      <c r="E196" s="1446"/>
      <c r="F196" s="1446"/>
      <c r="G196" s="1446"/>
      <c r="H196" s="1446"/>
    </row>
    <row r="197" spans="1:9" s="61" customFormat="1" ht="21" customHeight="1">
      <c r="A197" s="209"/>
      <c r="B197" s="209"/>
      <c r="C197" s="209"/>
      <c r="D197" s="63" t="s">
        <v>574</v>
      </c>
      <c r="E197" s="64"/>
      <c r="F197" s="64"/>
      <c r="G197" s="64">
        <f>G198</f>
        <v>947002</v>
      </c>
      <c r="H197" s="64">
        <f>H198</f>
        <v>1001002</v>
      </c>
      <c r="I197" s="76"/>
    </row>
    <row r="198" spans="1:8" s="57" customFormat="1" ht="18" customHeight="1" thickBot="1">
      <c r="A198" s="210"/>
      <c r="B198" s="210"/>
      <c r="C198" s="210"/>
      <c r="D198" s="55" t="s">
        <v>192</v>
      </c>
      <c r="E198" s="56"/>
      <c r="F198" s="56"/>
      <c r="G198" s="56">
        <f>G230+G203+G264+G222+G199+G270</f>
        <v>947002</v>
      </c>
      <c r="H198" s="56">
        <f>H230+H203+H264+H222+H199+H270</f>
        <v>1001002</v>
      </c>
    </row>
    <row r="199" spans="1:8" s="57" customFormat="1" ht="18" customHeight="1" thickBot="1" thickTop="1">
      <c r="A199" s="325">
        <v>750</v>
      </c>
      <c r="B199" s="325"/>
      <c r="C199" s="325"/>
      <c r="D199" s="326" t="s">
        <v>319</v>
      </c>
      <c r="E199" s="326"/>
      <c r="F199" s="326"/>
      <c r="G199" s="326"/>
      <c r="H199" s="539">
        <f>H200</f>
        <v>42000</v>
      </c>
    </row>
    <row r="200" spans="1:8" s="57" customFormat="1" ht="18" customHeight="1">
      <c r="A200" s="161"/>
      <c r="B200" s="536">
        <v>75075</v>
      </c>
      <c r="C200" s="536"/>
      <c r="D200" s="887" t="s">
        <v>126</v>
      </c>
      <c r="E200" s="887"/>
      <c r="F200" s="887"/>
      <c r="G200" s="887"/>
      <c r="H200" s="891">
        <f>H201</f>
        <v>42000</v>
      </c>
    </row>
    <row r="201" spans="1:8" s="57" customFormat="1" ht="18" customHeight="1">
      <c r="A201" s="40"/>
      <c r="B201" s="40"/>
      <c r="C201" s="40"/>
      <c r="D201" s="837" t="s">
        <v>127</v>
      </c>
      <c r="E201" s="837"/>
      <c r="F201" s="837"/>
      <c r="G201" s="837"/>
      <c r="H201" s="838">
        <f>H202</f>
        <v>42000</v>
      </c>
    </row>
    <row r="202" spans="1:8" s="57" customFormat="1" ht="18" customHeight="1">
      <c r="A202" s="37"/>
      <c r="B202" s="38"/>
      <c r="C202" s="787">
        <v>4300</v>
      </c>
      <c r="D202" s="889" t="s">
        <v>322</v>
      </c>
      <c r="E202" s="889"/>
      <c r="F202" s="889"/>
      <c r="G202" s="889"/>
      <c r="H202" s="892">
        <v>42000</v>
      </c>
    </row>
    <row r="203" spans="1:9" s="57" customFormat="1" ht="18" customHeight="1" thickBot="1">
      <c r="A203" s="325">
        <v>851</v>
      </c>
      <c r="B203" s="325"/>
      <c r="C203" s="325"/>
      <c r="D203" s="326" t="s">
        <v>323</v>
      </c>
      <c r="E203" s="326"/>
      <c r="F203" s="326"/>
      <c r="G203" s="539">
        <f>G204</f>
        <v>113000</v>
      </c>
      <c r="H203" s="539">
        <f>H204</f>
        <v>125000</v>
      </c>
      <c r="I203" s="383"/>
    </row>
    <row r="204" spans="1:9" s="57" customFormat="1" ht="18" customHeight="1">
      <c r="A204" s="786"/>
      <c r="B204" s="954">
        <v>85154</v>
      </c>
      <c r="C204" s="541"/>
      <c r="D204" s="542" t="s">
        <v>334</v>
      </c>
      <c r="E204" s="542"/>
      <c r="F204" s="542"/>
      <c r="G204" s="543">
        <f>G205</f>
        <v>113000</v>
      </c>
      <c r="H204" s="543">
        <f>H205</f>
        <v>125000</v>
      </c>
      <c r="I204" s="383"/>
    </row>
    <row r="205" spans="1:8" s="57" customFormat="1" ht="18" customHeight="1">
      <c r="A205" s="209"/>
      <c r="B205" s="209"/>
      <c r="C205" s="209"/>
      <c r="D205" s="331" t="s">
        <v>335</v>
      </c>
      <c r="E205" s="1145"/>
      <c r="F205" s="1145"/>
      <c r="G205" s="1145">
        <f>G206+G219</f>
        <v>113000</v>
      </c>
      <c r="H205" s="1145">
        <f>H206+H219</f>
        <v>125000</v>
      </c>
    </row>
    <row r="206" spans="1:8" s="57" customFormat="1" ht="76.5" customHeight="1">
      <c r="A206" s="209"/>
      <c r="B206" s="209"/>
      <c r="C206" s="209"/>
      <c r="D206" s="1144" t="s">
        <v>132</v>
      </c>
      <c r="E206" s="384"/>
      <c r="F206" s="384"/>
      <c r="G206" s="373">
        <f>G209+G217+G218</f>
        <v>104000</v>
      </c>
      <c r="H206" s="373">
        <f>H209+H217+H218</f>
        <v>116000</v>
      </c>
    </row>
    <row r="207" spans="1:8" s="57" customFormat="1" ht="17.25" customHeight="1">
      <c r="A207" s="209"/>
      <c r="B207" s="209"/>
      <c r="C207" s="209"/>
      <c r="D207" s="819" t="s">
        <v>547</v>
      </c>
      <c r="E207" s="955"/>
      <c r="F207" s="955"/>
      <c r="G207" s="46"/>
      <c r="H207" s="46">
        <v>3000</v>
      </c>
    </row>
    <row r="208" spans="1:8" s="57" customFormat="1" ht="18" customHeight="1">
      <c r="A208" s="209"/>
      <c r="B208" s="209"/>
      <c r="C208" s="49"/>
      <c r="D208" s="799" t="s">
        <v>700</v>
      </c>
      <c r="E208" s="956"/>
      <c r="F208" s="956"/>
      <c r="G208" s="798">
        <v>3000</v>
      </c>
      <c r="H208" s="798"/>
    </row>
    <row r="209" spans="1:8" s="57" customFormat="1" ht="25.5">
      <c r="A209" s="68"/>
      <c r="B209" s="68"/>
      <c r="C209" s="38">
        <v>2810</v>
      </c>
      <c r="D209" s="39" t="s">
        <v>617</v>
      </c>
      <c r="E209" s="957"/>
      <c r="F209" s="957"/>
      <c r="G209" s="45">
        <f>SUM(G207:G208)</f>
        <v>3000</v>
      </c>
      <c r="H209" s="45">
        <f>SUM(H207:H208)</f>
        <v>3000</v>
      </c>
    </row>
    <row r="210" spans="1:8" s="57" customFormat="1" ht="25.5">
      <c r="A210" s="209"/>
      <c r="B210" s="209"/>
      <c r="C210" s="49"/>
      <c r="D210" s="819" t="s">
        <v>548</v>
      </c>
      <c r="E210" s="384"/>
      <c r="F210" s="384"/>
      <c r="G210" s="373"/>
      <c r="H210" s="373">
        <v>60000</v>
      </c>
    </row>
    <row r="211" spans="1:8" s="57" customFormat="1" ht="25.5">
      <c r="A211" s="209"/>
      <c r="B211" s="209"/>
      <c r="C211" s="49"/>
      <c r="D211" s="961" t="s">
        <v>645</v>
      </c>
      <c r="E211" s="962"/>
      <c r="F211" s="962"/>
      <c r="G211" s="963"/>
      <c r="H211" s="963">
        <v>4000</v>
      </c>
    </row>
    <row r="212" spans="1:8" s="57" customFormat="1" ht="25.5">
      <c r="A212" s="209"/>
      <c r="B212" s="209"/>
      <c r="C212" s="49"/>
      <c r="D212" s="799" t="s">
        <v>646</v>
      </c>
      <c r="E212" s="956"/>
      <c r="F212" s="956"/>
      <c r="G212" s="798"/>
      <c r="H212" s="798">
        <v>5000</v>
      </c>
    </row>
    <row r="213" spans="1:8" s="57" customFormat="1" ht="17.25" customHeight="1">
      <c r="A213" s="209"/>
      <c r="B213" s="209"/>
      <c r="C213" s="49"/>
      <c r="D213" s="821" t="s">
        <v>549</v>
      </c>
      <c r="E213" s="960"/>
      <c r="F213" s="960"/>
      <c r="G213" s="248"/>
      <c r="H213" s="248">
        <v>12000</v>
      </c>
    </row>
    <row r="214" spans="1:8" s="57" customFormat="1" ht="25.5">
      <c r="A214" s="209"/>
      <c r="B214" s="209"/>
      <c r="C214" s="49"/>
      <c r="D214" s="799" t="s">
        <v>122</v>
      </c>
      <c r="E214" s="956"/>
      <c r="F214" s="956"/>
      <c r="G214" s="798"/>
      <c r="H214" s="798">
        <v>10000</v>
      </c>
    </row>
    <row r="215" spans="1:8" s="57" customFormat="1" ht="18" customHeight="1">
      <c r="A215" s="209"/>
      <c r="B215" s="209"/>
      <c r="C215" s="49"/>
      <c r="D215" s="799" t="s">
        <v>315</v>
      </c>
      <c r="E215" s="956"/>
      <c r="F215" s="956"/>
      <c r="G215" s="798"/>
      <c r="H215" s="798">
        <v>10000</v>
      </c>
    </row>
    <row r="216" spans="1:8" s="57" customFormat="1" ht="18" customHeight="1">
      <c r="A216" s="209"/>
      <c r="B216" s="209"/>
      <c r="C216" s="209"/>
      <c r="D216" s="964" t="s">
        <v>700</v>
      </c>
      <c r="E216" s="956"/>
      <c r="F216" s="956"/>
      <c r="G216" s="798">
        <v>101000</v>
      </c>
      <c r="H216" s="798"/>
    </row>
    <row r="217" spans="1:8" s="57" customFormat="1" ht="25.5">
      <c r="A217" s="209"/>
      <c r="B217" s="209"/>
      <c r="C217" s="38">
        <v>2820</v>
      </c>
      <c r="D217" s="800" t="s">
        <v>402</v>
      </c>
      <c r="E217" s="958"/>
      <c r="F217" s="958"/>
      <c r="G217" s="959">
        <f>SUM(G210:G216)</f>
        <v>101000</v>
      </c>
      <c r="H217" s="959">
        <f>SUM(H210:H216)</f>
        <v>101000</v>
      </c>
    </row>
    <row r="218" spans="1:8" s="57" customFormat="1" ht="17.25" customHeight="1">
      <c r="A218" s="209"/>
      <c r="B218" s="209"/>
      <c r="C218" s="544">
        <v>4300</v>
      </c>
      <c r="D218" s="965" t="s">
        <v>322</v>
      </c>
      <c r="E218" s="388"/>
      <c r="F218" s="388"/>
      <c r="G218" s="372"/>
      <c r="H218" s="372">
        <v>12000</v>
      </c>
    </row>
    <row r="219" spans="1:8" s="57" customFormat="1" ht="17.25" customHeight="1">
      <c r="A219" s="209"/>
      <c r="B219" s="209"/>
      <c r="C219" s="209"/>
      <c r="D219" s="145" t="s">
        <v>550</v>
      </c>
      <c r="E219" s="389"/>
      <c r="F219" s="389"/>
      <c r="G219" s="386">
        <f>SUM(G220:G221)</f>
        <v>9000</v>
      </c>
      <c r="H219" s="386">
        <f>SUM(H220:H221)</f>
        <v>9000</v>
      </c>
    </row>
    <row r="220" spans="1:8" s="57" customFormat="1" ht="17.25" customHeight="1">
      <c r="A220" s="210"/>
      <c r="B220" s="210"/>
      <c r="C220" s="38">
        <v>4430</v>
      </c>
      <c r="D220" s="39" t="s">
        <v>393</v>
      </c>
      <c r="E220" s="957"/>
      <c r="F220" s="957"/>
      <c r="G220" s="45">
        <v>9000</v>
      </c>
      <c r="H220" s="45"/>
    </row>
    <row r="221" spans="1:8" s="57" customFormat="1" ht="18" customHeight="1">
      <c r="A221" s="209"/>
      <c r="B221" s="209"/>
      <c r="C221" s="38">
        <v>4610</v>
      </c>
      <c r="D221" s="819" t="s">
        <v>551</v>
      </c>
      <c r="E221" s="384"/>
      <c r="F221" s="384"/>
      <c r="G221" s="373"/>
      <c r="H221" s="373">
        <v>9000</v>
      </c>
    </row>
    <row r="222" spans="1:8" s="57" customFormat="1" ht="18" customHeight="1" thickBot="1">
      <c r="A222" s="325">
        <v>853</v>
      </c>
      <c r="B222" s="325"/>
      <c r="C222" s="325"/>
      <c r="D222" s="585" t="s">
        <v>389</v>
      </c>
      <c r="E222" s="326"/>
      <c r="F222" s="326"/>
      <c r="G222" s="539">
        <f>G223</f>
        <v>81300</v>
      </c>
      <c r="H222" s="539">
        <f>H223</f>
        <v>81300</v>
      </c>
    </row>
    <row r="223" spans="1:8" s="57" customFormat="1" ht="18" customHeight="1">
      <c r="A223" s="540"/>
      <c r="B223" s="541">
        <v>85321</v>
      </c>
      <c r="C223" s="541"/>
      <c r="D223" s="545" t="s">
        <v>357</v>
      </c>
      <c r="E223" s="542"/>
      <c r="F223" s="542"/>
      <c r="G223" s="543">
        <f>G224</f>
        <v>81300</v>
      </c>
      <c r="H223" s="543">
        <f>H224</f>
        <v>81300</v>
      </c>
    </row>
    <row r="224" spans="1:8" s="57" customFormat="1" ht="25.5">
      <c r="A224" s="68"/>
      <c r="B224" s="68"/>
      <c r="C224" s="49"/>
      <c r="D224" s="145" t="s">
        <v>358</v>
      </c>
      <c r="E224" s="389"/>
      <c r="F224" s="389"/>
      <c r="G224" s="386">
        <f>SUM(G225:G229)</f>
        <v>81300</v>
      </c>
      <c r="H224" s="386">
        <f>SUM(H225:H229)</f>
        <v>81300</v>
      </c>
    </row>
    <row r="225" spans="1:8" s="57" customFormat="1" ht="18" customHeight="1">
      <c r="A225" s="68"/>
      <c r="B225" s="68"/>
      <c r="C225" s="49">
        <v>4110</v>
      </c>
      <c r="D225" s="127" t="s">
        <v>696</v>
      </c>
      <c r="E225" s="384"/>
      <c r="F225" s="384"/>
      <c r="G225" s="373"/>
      <c r="H225" s="373">
        <v>8000</v>
      </c>
    </row>
    <row r="226" spans="1:8" s="57" customFormat="1" ht="18" customHeight="1">
      <c r="A226" s="68"/>
      <c r="B226" s="68"/>
      <c r="C226" s="544">
        <v>4170</v>
      </c>
      <c r="D226" s="387" t="s">
        <v>320</v>
      </c>
      <c r="E226" s="388"/>
      <c r="F226" s="388"/>
      <c r="G226" s="372"/>
      <c r="H226" s="372">
        <v>49000</v>
      </c>
    </row>
    <row r="227" spans="1:8" s="57" customFormat="1" ht="18" customHeight="1">
      <c r="A227" s="68"/>
      <c r="B227" s="68"/>
      <c r="C227" s="544">
        <v>4260</v>
      </c>
      <c r="D227" s="387" t="s">
        <v>605</v>
      </c>
      <c r="E227" s="388"/>
      <c r="F227" s="388"/>
      <c r="G227" s="372"/>
      <c r="H227" s="372">
        <v>300</v>
      </c>
    </row>
    <row r="228" spans="1:8" s="57" customFormat="1" ht="18" customHeight="1">
      <c r="A228" s="68"/>
      <c r="B228" s="68"/>
      <c r="C228" s="413">
        <v>4300</v>
      </c>
      <c r="D228" s="546" t="s">
        <v>322</v>
      </c>
      <c r="E228" s="465"/>
      <c r="F228" s="465"/>
      <c r="G228" s="391">
        <v>81300</v>
      </c>
      <c r="H228" s="391"/>
    </row>
    <row r="229" spans="1:8" s="57" customFormat="1" ht="25.5">
      <c r="A229" s="68"/>
      <c r="B229" s="68"/>
      <c r="C229" s="413">
        <v>4400</v>
      </c>
      <c r="D229" s="387" t="s">
        <v>687</v>
      </c>
      <c r="E229" s="465"/>
      <c r="F229" s="465"/>
      <c r="G229" s="391"/>
      <c r="H229" s="391">
        <v>24000</v>
      </c>
    </row>
    <row r="230" spans="1:8" s="57" customFormat="1" ht="18" customHeight="1" thickBot="1">
      <c r="A230" s="325">
        <v>854</v>
      </c>
      <c r="B230" s="325"/>
      <c r="C230" s="325"/>
      <c r="D230" s="326" t="s">
        <v>403</v>
      </c>
      <c r="E230" s="326"/>
      <c r="F230" s="326"/>
      <c r="G230" s="539">
        <f aca="true" t="shared" si="3" ref="G230:H232">G231</f>
        <v>106000</v>
      </c>
      <c r="H230" s="539">
        <f t="shared" si="3"/>
        <v>106000</v>
      </c>
    </row>
    <row r="231" spans="1:8" s="57" customFormat="1" ht="18" customHeight="1">
      <c r="A231" s="540"/>
      <c r="B231" s="541">
        <v>85412</v>
      </c>
      <c r="C231" s="541"/>
      <c r="D231" s="542" t="s">
        <v>198</v>
      </c>
      <c r="E231" s="542"/>
      <c r="F231" s="542"/>
      <c r="G231" s="543">
        <f t="shared" si="3"/>
        <v>106000</v>
      </c>
      <c r="H231" s="543">
        <f t="shared" si="3"/>
        <v>106000</v>
      </c>
    </row>
    <row r="232" spans="1:8" s="42" customFormat="1" ht="25.5">
      <c r="A232" s="786"/>
      <c r="B232" s="786"/>
      <c r="C232" s="786"/>
      <c r="D232" s="897" t="s">
        <v>535</v>
      </c>
      <c r="E232" s="897"/>
      <c r="F232" s="897"/>
      <c r="G232" s="1105">
        <f t="shared" si="3"/>
        <v>106000</v>
      </c>
      <c r="H232" s="1105">
        <f t="shared" si="3"/>
        <v>106000</v>
      </c>
    </row>
    <row r="233" spans="1:8" s="42" customFormat="1" ht="18" customHeight="1">
      <c r="A233" s="786"/>
      <c r="B233" s="786"/>
      <c r="C233" s="786"/>
      <c r="D233" s="1110" t="s">
        <v>199</v>
      </c>
      <c r="E233" s="1110"/>
      <c r="F233" s="1110"/>
      <c r="G233" s="1111">
        <f>G263</f>
        <v>106000</v>
      </c>
      <c r="H233" s="1111">
        <f>H263</f>
        <v>106000</v>
      </c>
    </row>
    <row r="234" spans="1:8" s="50" customFormat="1" ht="18" customHeight="1">
      <c r="A234" s="250"/>
      <c r="B234" s="250"/>
      <c r="C234" s="250"/>
      <c r="D234" s="368" t="s">
        <v>79</v>
      </c>
      <c r="E234" s="368"/>
      <c r="F234" s="368"/>
      <c r="G234" s="1107"/>
      <c r="H234" s="1107">
        <v>2500</v>
      </c>
    </row>
    <row r="235" spans="1:8" s="50" customFormat="1" ht="18" customHeight="1">
      <c r="A235" s="250"/>
      <c r="B235" s="250"/>
      <c r="C235" s="250"/>
      <c r="D235" s="1108" t="s">
        <v>536</v>
      </c>
      <c r="E235" s="1108"/>
      <c r="F235" s="1108"/>
      <c r="G235" s="1109"/>
      <c r="H235" s="1109">
        <v>3500</v>
      </c>
    </row>
    <row r="236" spans="1:8" s="50" customFormat="1" ht="18" customHeight="1">
      <c r="A236" s="250"/>
      <c r="B236" s="250"/>
      <c r="C236" s="250"/>
      <c r="D236" s="1108" t="s">
        <v>80</v>
      </c>
      <c r="E236" s="1108"/>
      <c r="F236" s="1108"/>
      <c r="G236" s="1109"/>
      <c r="H236" s="1109">
        <v>3500</v>
      </c>
    </row>
    <row r="237" spans="1:8" s="50" customFormat="1" ht="18" customHeight="1">
      <c r="A237" s="250"/>
      <c r="B237" s="250"/>
      <c r="C237" s="250"/>
      <c r="D237" s="1108" t="s">
        <v>81</v>
      </c>
      <c r="E237" s="1108"/>
      <c r="F237" s="1108"/>
      <c r="G237" s="1109"/>
      <c r="H237" s="1109">
        <v>1500</v>
      </c>
    </row>
    <row r="238" spans="1:8" s="50" customFormat="1" ht="25.5">
      <c r="A238" s="250"/>
      <c r="B238" s="250"/>
      <c r="C238" s="250"/>
      <c r="D238" s="1108" t="s">
        <v>537</v>
      </c>
      <c r="E238" s="1108"/>
      <c r="F238" s="1108"/>
      <c r="G238" s="1109"/>
      <c r="H238" s="1109">
        <v>4000</v>
      </c>
    </row>
    <row r="239" spans="1:8" s="50" customFormat="1" ht="18" customHeight="1">
      <c r="A239" s="250"/>
      <c r="B239" s="250"/>
      <c r="C239" s="250"/>
      <c r="D239" s="1108" t="s">
        <v>82</v>
      </c>
      <c r="E239" s="1108"/>
      <c r="F239" s="1108"/>
      <c r="G239" s="1109"/>
      <c r="H239" s="1109">
        <v>4000</v>
      </c>
    </row>
    <row r="240" spans="1:8" s="50" customFormat="1" ht="18" customHeight="1">
      <c r="A240" s="250"/>
      <c r="B240" s="250"/>
      <c r="C240" s="250"/>
      <c r="D240" s="1108" t="s">
        <v>83</v>
      </c>
      <c r="E240" s="1108"/>
      <c r="F240" s="1108"/>
      <c r="G240" s="1109"/>
      <c r="H240" s="1109">
        <v>2500</v>
      </c>
    </row>
    <row r="241" spans="1:8" s="50" customFormat="1" ht="18" customHeight="1">
      <c r="A241" s="250"/>
      <c r="B241" s="250"/>
      <c r="C241" s="250"/>
      <c r="D241" s="1108" t="s">
        <v>84</v>
      </c>
      <c r="E241" s="1108"/>
      <c r="F241" s="1108"/>
      <c r="G241" s="1109"/>
      <c r="H241" s="1109">
        <v>4000</v>
      </c>
    </row>
    <row r="242" spans="1:8" s="50" customFormat="1" ht="25.5">
      <c r="A242" s="250"/>
      <c r="B242" s="250"/>
      <c r="C242" s="250"/>
      <c r="D242" s="1108" t="s">
        <v>85</v>
      </c>
      <c r="E242" s="1108"/>
      <c r="F242" s="1108"/>
      <c r="G242" s="1109"/>
      <c r="H242" s="1109">
        <v>2000</v>
      </c>
    </row>
    <row r="243" spans="1:8" s="50" customFormat="1" ht="18" customHeight="1">
      <c r="A243" s="250"/>
      <c r="B243" s="250"/>
      <c r="C243" s="250"/>
      <c r="D243" s="1108" t="s">
        <v>86</v>
      </c>
      <c r="E243" s="1108"/>
      <c r="F243" s="1108"/>
      <c r="G243" s="1109"/>
      <c r="H243" s="1109">
        <v>4500</v>
      </c>
    </row>
    <row r="244" spans="1:8" s="50" customFormat="1" ht="18" customHeight="1">
      <c r="A244" s="250"/>
      <c r="B244" s="250"/>
      <c r="C244" s="250"/>
      <c r="D244" s="1108" t="s">
        <v>107</v>
      </c>
      <c r="E244" s="1108"/>
      <c r="F244" s="1108"/>
      <c r="G244" s="1109"/>
      <c r="H244" s="1109">
        <v>2500</v>
      </c>
    </row>
    <row r="245" spans="1:8" s="50" customFormat="1" ht="18" customHeight="1">
      <c r="A245" s="250"/>
      <c r="B245" s="250"/>
      <c r="C245" s="250"/>
      <c r="D245" s="1108" t="s">
        <v>538</v>
      </c>
      <c r="E245" s="1108"/>
      <c r="F245" s="1108"/>
      <c r="G245" s="1109"/>
      <c r="H245" s="1109">
        <v>3500</v>
      </c>
    </row>
    <row r="246" spans="1:8" s="50" customFormat="1" ht="25.5">
      <c r="A246" s="250"/>
      <c r="B246" s="250"/>
      <c r="C246" s="250"/>
      <c r="D246" s="1108" t="s">
        <v>539</v>
      </c>
      <c r="E246" s="1108"/>
      <c r="F246" s="1108"/>
      <c r="G246" s="1109"/>
      <c r="H246" s="1109">
        <v>3500</v>
      </c>
    </row>
    <row r="247" spans="1:8" s="50" customFormat="1" ht="18" customHeight="1">
      <c r="A247" s="787"/>
      <c r="B247" s="787"/>
      <c r="C247" s="787"/>
      <c r="D247" s="344" t="s">
        <v>87</v>
      </c>
      <c r="E247" s="344"/>
      <c r="F247" s="344"/>
      <c r="G247" s="1449"/>
      <c r="H247" s="1449">
        <v>2000</v>
      </c>
    </row>
    <row r="248" spans="1:8" s="50" customFormat="1" ht="18" customHeight="1">
      <c r="A248" s="250"/>
      <c r="B248" s="250"/>
      <c r="C248" s="250"/>
      <c r="D248" s="1447" t="s">
        <v>88</v>
      </c>
      <c r="E248" s="1447"/>
      <c r="F248" s="1447"/>
      <c r="G248" s="1448"/>
      <c r="H248" s="1448">
        <v>3500</v>
      </c>
    </row>
    <row r="249" spans="1:8" s="50" customFormat="1" ht="18" customHeight="1">
      <c r="A249" s="250"/>
      <c r="B249" s="250"/>
      <c r="C249" s="250"/>
      <c r="D249" s="1108" t="s">
        <v>112</v>
      </c>
      <c r="E249" s="1108"/>
      <c r="F249" s="1108"/>
      <c r="G249" s="1109"/>
      <c r="H249" s="1109">
        <v>3000</v>
      </c>
    </row>
    <row r="250" spans="1:8" s="50" customFormat="1" ht="18" customHeight="1">
      <c r="A250" s="250"/>
      <c r="B250" s="250"/>
      <c r="C250" s="250"/>
      <c r="D250" s="1108" t="s">
        <v>113</v>
      </c>
      <c r="E250" s="1108"/>
      <c r="F250" s="1108"/>
      <c r="G250" s="1109"/>
      <c r="H250" s="1109">
        <v>3000</v>
      </c>
    </row>
    <row r="251" spans="1:8" s="50" customFormat="1" ht="18" customHeight="1">
      <c r="A251" s="250"/>
      <c r="B251" s="250"/>
      <c r="C251" s="250"/>
      <c r="D251" s="1108" t="s">
        <v>89</v>
      </c>
      <c r="E251" s="1108"/>
      <c r="F251" s="1108"/>
      <c r="G251" s="1109"/>
      <c r="H251" s="1109">
        <v>3500</v>
      </c>
    </row>
    <row r="252" spans="1:8" s="50" customFormat="1" ht="18" customHeight="1">
      <c r="A252" s="250"/>
      <c r="B252" s="250"/>
      <c r="C252" s="250"/>
      <c r="D252" s="1108" t="s">
        <v>90</v>
      </c>
      <c r="E252" s="1108"/>
      <c r="F252" s="1108"/>
      <c r="G252" s="1109"/>
      <c r="H252" s="1109">
        <v>5500</v>
      </c>
    </row>
    <row r="253" spans="1:8" s="50" customFormat="1" ht="25.5">
      <c r="A253" s="250"/>
      <c r="B253" s="250"/>
      <c r="C253" s="250"/>
      <c r="D253" s="1108" t="s">
        <v>91</v>
      </c>
      <c r="E253" s="1108"/>
      <c r="F253" s="1108"/>
      <c r="G253" s="1109"/>
      <c r="H253" s="1109">
        <v>1500</v>
      </c>
    </row>
    <row r="254" spans="1:8" s="50" customFormat="1" ht="18" customHeight="1">
      <c r="A254" s="250"/>
      <c r="B254" s="250"/>
      <c r="C254" s="250"/>
      <c r="D254" s="1108" t="s">
        <v>92</v>
      </c>
      <c r="E254" s="1108"/>
      <c r="F254" s="1108"/>
      <c r="G254" s="1109"/>
      <c r="H254" s="1109">
        <v>17000</v>
      </c>
    </row>
    <row r="255" spans="1:8" s="50" customFormat="1" ht="25.5">
      <c r="A255" s="250"/>
      <c r="B255" s="250"/>
      <c r="C255" s="250"/>
      <c r="D255" s="1108" t="s">
        <v>93</v>
      </c>
      <c r="E255" s="1108"/>
      <c r="F255" s="1108"/>
      <c r="G255" s="1109"/>
      <c r="H255" s="1109">
        <v>5000</v>
      </c>
    </row>
    <row r="256" spans="1:8" s="50" customFormat="1" ht="25.5">
      <c r="A256" s="250"/>
      <c r="B256" s="250"/>
      <c r="C256" s="250"/>
      <c r="D256" s="821" t="s">
        <v>103</v>
      </c>
      <c r="E256" s="1108"/>
      <c r="F256" s="1108"/>
      <c r="G256" s="1109"/>
      <c r="H256" s="1109">
        <v>3000</v>
      </c>
    </row>
    <row r="257" spans="1:8" s="50" customFormat="1" ht="18" customHeight="1">
      <c r="A257" s="250"/>
      <c r="B257" s="250"/>
      <c r="C257" s="250"/>
      <c r="D257" s="1108" t="s">
        <v>94</v>
      </c>
      <c r="E257" s="1108"/>
      <c r="F257" s="1108"/>
      <c r="G257" s="1109"/>
      <c r="H257" s="1109">
        <v>2000</v>
      </c>
    </row>
    <row r="258" spans="1:8" s="50" customFormat="1" ht="18" customHeight="1">
      <c r="A258" s="250"/>
      <c r="B258" s="250"/>
      <c r="C258" s="250"/>
      <c r="D258" s="1108" t="s">
        <v>95</v>
      </c>
      <c r="E258" s="1108"/>
      <c r="F258" s="1108"/>
      <c r="G258" s="1109"/>
      <c r="H258" s="1109">
        <v>2500</v>
      </c>
    </row>
    <row r="259" spans="1:8" s="50" customFormat="1" ht="25.5">
      <c r="A259" s="250"/>
      <c r="B259" s="250"/>
      <c r="C259" s="250"/>
      <c r="D259" s="1108" t="s">
        <v>99</v>
      </c>
      <c r="E259" s="1108"/>
      <c r="F259" s="1108"/>
      <c r="G259" s="1109"/>
      <c r="H259" s="1109">
        <v>2000</v>
      </c>
    </row>
    <row r="260" spans="1:8" s="50" customFormat="1" ht="18" customHeight="1">
      <c r="A260" s="250"/>
      <c r="B260" s="250"/>
      <c r="C260" s="250"/>
      <c r="D260" s="1108" t="s">
        <v>100</v>
      </c>
      <c r="E260" s="1108"/>
      <c r="F260" s="1108"/>
      <c r="G260" s="1109"/>
      <c r="H260" s="1109">
        <v>4000</v>
      </c>
    </row>
    <row r="261" spans="1:8" s="50" customFormat="1" ht="25.5">
      <c r="A261" s="250"/>
      <c r="B261" s="250"/>
      <c r="C261" s="250"/>
      <c r="D261" s="1108" t="s">
        <v>101</v>
      </c>
      <c r="E261" s="1108"/>
      <c r="F261" s="1108"/>
      <c r="G261" s="1109"/>
      <c r="H261" s="1109">
        <v>7000</v>
      </c>
    </row>
    <row r="262" spans="1:8" s="50" customFormat="1" ht="18" customHeight="1">
      <c r="A262" s="250"/>
      <c r="B262" s="250"/>
      <c r="C262" s="250"/>
      <c r="D262" s="1108" t="s">
        <v>700</v>
      </c>
      <c r="E262" s="1108"/>
      <c r="F262" s="1108"/>
      <c r="G262" s="1109">
        <v>106000</v>
      </c>
      <c r="H262" s="1109"/>
    </row>
    <row r="263" spans="1:8" s="57" customFormat="1" ht="25.5">
      <c r="A263" s="250"/>
      <c r="B263" s="250"/>
      <c r="C263" s="787">
        <v>2820</v>
      </c>
      <c r="D263" s="39" t="s">
        <v>402</v>
      </c>
      <c r="E263" s="370"/>
      <c r="F263" s="370"/>
      <c r="G263" s="1106">
        <f>SUM(G234:G262)</f>
        <v>106000</v>
      </c>
      <c r="H263" s="1106">
        <f>SUM(H234:H262)</f>
        <v>106000</v>
      </c>
    </row>
    <row r="264" spans="1:8" s="57" customFormat="1" ht="18" customHeight="1" thickBot="1">
      <c r="A264" s="325">
        <v>921</v>
      </c>
      <c r="B264" s="325"/>
      <c r="C264" s="325"/>
      <c r="D264" s="326" t="s">
        <v>697</v>
      </c>
      <c r="E264" s="893"/>
      <c r="F264" s="893"/>
      <c r="G264" s="893">
        <f>G265</f>
        <v>2702</v>
      </c>
      <c r="H264" s="893">
        <f>H265</f>
        <v>2702</v>
      </c>
    </row>
    <row r="265" spans="1:8" s="57" customFormat="1" ht="18" customHeight="1">
      <c r="A265" s="540"/>
      <c r="B265" s="541">
        <v>92105</v>
      </c>
      <c r="C265" s="541"/>
      <c r="D265" s="542" t="s">
        <v>65</v>
      </c>
      <c r="E265" s="894"/>
      <c r="F265" s="894"/>
      <c r="G265" s="894">
        <f>G266</f>
        <v>2702</v>
      </c>
      <c r="H265" s="894">
        <f>H266</f>
        <v>2702</v>
      </c>
    </row>
    <row r="266" spans="1:8" s="42" customFormat="1" ht="18" customHeight="1">
      <c r="A266" s="786"/>
      <c r="B266" s="786"/>
      <c r="C266" s="896"/>
      <c r="D266" s="897" t="s">
        <v>129</v>
      </c>
      <c r="E266" s="898"/>
      <c r="F266" s="898"/>
      <c r="G266" s="898">
        <f>SUM(G267:G269)</f>
        <v>2702</v>
      </c>
      <c r="H266" s="898">
        <f>SUM(H267:H269)</f>
        <v>2702</v>
      </c>
    </row>
    <row r="267" spans="1:8" s="57" customFormat="1" ht="18" customHeight="1">
      <c r="A267" s="250"/>
      <c r="B267" s="250"/>
      <c r="C267" s="38">
        <v>4300</v>
      </c>
      <c r="D267" s="38" t="s">
        <v>322</v>
      </c>
      <c r="E267" s="899"/>
      <c r="F267" s="899"/>
      <c r="G267" s="899">
        <v>2702</v>
      </c>
      <c r="H267" s="899"/>
    </row>
    <row r="268" spans="1:8" s="57" customFormat="1" ht="18" customHeight="1">
      <c r="A268" s="250"/>
      <c r="B268" s="250"/>
      <c r="C268" s="38">
        <v>4350</v>
      </c>
      <c r="D268" s="38" t="s">
        <v>635</v>
      </c>
      <c r="E268" s="899"/>
      <c r="F268" s="899"/>
      <c r="G268" s="899"/>
      <c r="H268" s="899">
        <v>702</v>
      </c>
    </row>
    <row r="269" spans="1:8" s="57" customFormat="1" ht="18" customHeight="1">
      <c r="A269" s="250"/>
      <c r="B269" s="250"/>
      <c r="C269" s="544">
        <v>4380</v>
      </c>
      <c r="D269" s="544" t="s">
        <v>196</v>
      </c>
      <c r="E269" s="899"/>
      <c r="F269" s="899"/>
      <c r="G269" s="899"/>
      <c r="H269" s="899">
        <v>2000</v>
      </c>
    </row>
    <row r="270" spans="1:8" s="57" customFormat="1" ht="18" customHeight="1" thickBot="1">
      <c r="A270" s="325">
        <v>926</v>
      </c>
      <c r="B270" s="325"/>
      <c r="C270" s="325"/>
      <c r="D270" s="988" t="s">
        <v>601</v>
      </c>
      <c r="E270" s="893"/>
      <c r="F270" s="893"/>
      <c r="G270" s="893">
        <f>G271</f>
        <v>644000</v>
      </c>
      <c r="H270" s="893">
        <f>H271</f>
        <v>644000</v>
      </c>
    </row>
    <row r="271" spans="1:8" s="57" customFormat="1" ht="18" customHeight="1">
      <c r="A271" s="540"/>
      <c r="B271" s="541">
        <v>92605</v>
      </c>
      <c r="C271" s="541"/>
      <c r="D271" s="44" t="s">
        <v>602</v>
      </c>
      <c r="E271" s="894"/>
      <c r="F271" s="894"/>
      <c r="G271" s="894">
        <f>G272+G296</f>
        <v>644000</v>
      </c>
      <c r="H271" s="894">
        <f>H272+H296</f>
        <v>644000</v>
      </c>
    </row>
    <row r="272" spans="1:8" s="57" customFormat="1" ht="18" customHeight="1">
      <c r="A272" s="540"/>
      <c r="B272" s="540"/>
      <c r="C272" s="540"/>
      <c r="D272" s="1055" t="s">
        <v>111</v>
      </c>
      <c r="E272" s="1112"/>
      <c r="F272" s="1112"/>
      <c r="G272" s="1112">
        <f>G295</f>
        <v>225000</v>
      </c>
      <c r="H272" s="1112">
        <f>H295</f>
        <v>225000</v>
      </c>
    </row>
    <row r="273" spans="1:8" s="50" customFormat="1" ht="18" customHeight="1">
      <c r="A273" s="250"/>
      <c r="B273" s="250"/>
      <c r="C273" s="250"/>
      <c r="D273" s="1108" t="s">
        <v>81</v>
      </c>
      <c r="E273" s="1108"/>
      <c r="F273" s="1108"/>
      <c r="G273" s="1109"/>
      <c r="H273" s="1109">
        <v>8500</v>
      </c>
    </row>
    <row r="274" spans="1:8" s="50" customFormat="1" ht="18" customHeight="1">
      <c r="A274" s="787"/>
      <c r="B274" s="787"/>
      <c r="C274" s="787"/>
      <c r="D274" s="344" t="s">
        <v>82</v>
      </c>
      <c r="E274" s="344"/>
      <c r="F274" s="344"/>
      <c r="G274" s="1449"/>
      <c r="H274" s="1449">
        <v>7000</v>
      </c>
    </row>
    <row r="275" spans="1:8" s="50" customFormat="1" ht="25.5">
      <c r="A275" s="250"/>
      <c r="B275" s="250"/>
      <c r="C275" s="250"/>
      <c r="D275" s="1447" t="s">
        <v>540</v>
      </c>
      <c r="E275" s="1447"/>
      <c r="F275" s="1447"/>
      <c r="G275" s="1448"/>
      <c r="H275" s="1448">
        <v>9000</v>
      </c>
    </row>
    <row r="276" spans="1:8" s="50" customFormat="1" ht="25.5">
      <c r="A276" s="250"/>
      <c r="B276" s="250"/>
      <c r="C276" s="250"/>
      <c r="D276" s="1108" t="s">
        <v>539</v>
      </c>
      <c r="E276" s="1108"/>
      <c r="F276" s="1108"/>
      <c r="G276" s="1109"/>
      <c r="H276" s="1109">
        <v>5000</v>
      </c>
    </row>
    <row r="277" spans="1:8" s="50" customFormat="1" ht="18" customHeight="1">
      <c r="A277" s="250"/>
      <c r="B277" s="250"/>
      <c r="C277" s="250"/>
      <c r="D277" s="1108" t="s">
        <v>83</v>
      </c>
      <c r="E277" s="1108"/>
      <c r="F277" s="1108"/>
      <c r="G277" s="1109"/>
      <c r="H277" s="1109">
        <v>6500</v>
      </c>
    </row>
    <row r="278" spans="1:8" s="50" customFormat="1" ht="18" customHeight="1">
      <c r="A278" s="250"/>
      <c r="B278" s="250"/>
      <c r="C278" s="250"/>
      <c r="D278" s="1108" t="s">
        <v>87</v>
      </c>
      <c r="E278" s="1108"/>
      <c r="F278" s="1108"/>
      <c r="G278" s="1109"/>
      <c r="H278" s="1109">
        <v>2000</v>
      </c>
    </row>
    <row r="279" spans="1:8" s="50" customFormat="1" ht="18" customHeight="1">
      <c r="A279" s="250"/>
      <c r="B279" s="250"/>
      <c r="C279" s="250"/>
      <c r="D279" s="1108" t="s">
        <v>86</v>
      </c>
      <c r="E279" s="1108"/>
      <c r="F279" s="1108"/>
      <c r="G279" s="1109"/>
      <c r="H279" s="1109">
        <v>79000</v>
      </c>
    </row>
    <row r="280" spans="1:8" s="50" customFormat="1" ht="18" customHeight="1">
      <c r="A280" s="250"/>
      <c r="B280" s="250"/>
      <c r="C280" s="250"/>
      <c r="D280" s="1108" t="s">
        <v>109</v>
      </c>
      <c r="E280" s="1108"/>
      <c r="F280" s="1108"/>
      <c r="G280" s="1109"/>
      <c r="H280" s="1109">
        <v>25000</v>
      </c>
    </row>
    <row r="281" spans="1:8" s="50" customFormat="1" ht="18" customHeight="1">
      <c r="A281" s="250"/>
      <c r="B281" s="250"/>
      <c r="C281" s="250"/>
      <c r="D281" s="1108" t="s">
        <v>88</v>
      </c>
      <c r="E281" s="1108"/>
      <c r="F281" s="1108"/>
      <c r="G281" s="1109"/>
      <c r="H281" s="1109">
        <v>3000</v>
      </c>
    </row>
    <row r="282" spans="1:8" s="50" customFormat="1" ht="18" customHeight="1">
      <c r="A282" s="250"/>
      <c r="B282" s="250"/>
      <c r="C282" s="250"/>
      <c r="D282" s="799" t="s">
        <v>541</v>
      </c>
      <c r="E282" s="1108"/>
      <c r="F282" s="1108"/>
      <c r="G282" s="1109"/>
      <c r="H282" s="1109">
        <v>9000</v>
      </c>
    </row>
    <row r="283" spans="1:8" s="50" customFormat="1" ht="18" customHeight="1">
      <c r="A283" s="250"/>
      <c r="B283" s="250"/>
      <c r="C283" s="250"/>
      <c r="D283" s="1108" t="s">
        <v>112</v>
      </c>
      <c r="E283" s="1108"/>
      <c r="F283" s="1108"/>
      <c r="G283" s="1109"/>
      <c r="H283" s="1109">
        <v>1500</v>
      </c>
    </row>
    <row r="284" spans="1:8" s="50" customFormat="1" ht="18" customHeight="1">
      <c r="A284" s="250"/>
      <c r="B284" s="250"/>
      <c r="C284" s="250"/>
      <c r="D284" s="1108" t="s">
        <v>95</v>
      </c>
      <c r="E284" s="1108"/>
      <c r="F284" s="1108"/>
      <c r="G284" s="1109"/>
      <c r="H284" s="1109">
        <v>7000</v>
      </c>
    </row>
    <row r="285" spans="1:8" s="50" customFormat="1" ht="18" customHeight="1">
      <c r="A285" s="250"/>
      <c r="B285" s="250"/>
      <c r="C285" s="250"/>
      <c r="D285" s="1108" t="s">
        <v>113</v>
      </c>
      <c r="E285" s="1108"/>
      <c r="F285" s="1108"/>
      <c r="G285" s="1109"/>
      <c r="H285" s="1109">
        <v>3500</v>
      </c>
    </row>
    <row r="286" spans="1:8" s="50" customFormat="1" ht="25.5" customHeight="1">
      <c r="A286" s="250"/>
      <c r="B286" s="250"/>
      <c r="C286" s="250"/>
      <c r="D286" s="1108" t="s">
        <v>543</v>
      </c>
      <c r="E286" s="1108"/>
      <c r="F286" s="1108"/>
      <c r="G286" s="1109"/>
      <c r="H286" s="1109">
        <v>19500</v>
      </c>
    </row>
    <row r="287" spans="1:8" s="50" customFormat="1" ht="18" customHeight="1">
      <c r="A287" s="250"/>
      <c r="B287" s="250"/>
      <c r="C287" s="250"/>
      <c r="D287" s="1108" t="s">
        <v>90</v>
      </c>
      <c r="E287" s="1108"/>
      <c r="F287" s="1108"/>
      <c r="G287" s="1109"/>
      <c r="H287" s="1109">
        <v>8500</v>
      </c>
    </row>
    <row r="288" spans="1:8" s="50" customFormat="1" ht="25.5">
      <c r="A288" s="250"/>
      <c r="B288" s="250"/>
      <c r="C288" s="250"/>
      <c r="D288" s="1108" t="s">
        <v>542</v>
      </c>
      <c r="E288" s="1108"/>
      <c r="F288" s="1108"/>
      <c r="G288" s="1109"/>
      <c r="H288" s="1109">
        <v>3000</v>
      </c>
    </row>
    <row r="289" spans="1:8" s="50" customFormat="1" ht="18" customHeight="1">
      <c r="A289" s="250"/>
      <c r="B289" s="250"/>
      <c r="C289" s="250"/>
      <c r="D289" s="1108" t="s">
        <v>538</v>
      </c>
      <c r="E289" s="1108"/>
      <c r="F289" s="1108"/>
      <c r="G289" s="1109"/>
      <c r="H289" s="1109">
        <v>4000</v>
      </c>
    </row>
    <row r="290" spans="1:8" s="50" customFormat="1" ht="18" customHeight="1">
      <c r="A290" s="250"/>
      <c r="B290" s="250"/>
      <c r="C290" s="250"/>
      <c r="D290" s="1113" t="s">
        <v>108</v>
      </c>
      <c r="E290" s="1108"/>
      <c r="F290" s="1108"/>
      <c r="G290" s="1109"/>
      <c r="H290" s="1109">
        <v>2000</v>
      </c>
    </row>
    <row r="291" spans="1:8" s="50" customFormat="1" ht="18" customHeight="1">
      <c r="A291" s="250"/>
      <c r="B291" s="250"/>
      <c r="C291" s="250"/>
      <c r="D291" s="1113" t="s">
        <v>106</v>
      </c>
      <c r="E291" s="1108"/>
      <c r="F291" s="1108"/>
      <c r="G291" s="1109"/>
      <c r="H291" s="1109">
        <v>8500</v>
      </c>
    </row>
    <row r="292" spans="1:8" s="50" customFormat="1" ht="18" customHeight="1">
      <c r="A292" s="250"/>
      <c r="B292" s="250"/>
      <c r="C292" s="250"/>
      <c r="D292" s="1108" t="s">
        <v>84</v>
      </c>
      <c r="E292" s="1108"/>
      <c r="F292" s="1108"/>
      <c r="G292" s="1109"/>
      <c r="H292" s="1109">
        <v>6000</v>
      </c>
    </row>
    <row r="293" spans="1:8" s="50" customFormat="1" ht="25.5">
      <c r="A293" s="250"/>
      <c r="B293" s="250"/>
      <c r="C293" s="250"/>
      <c r="D293" s="1108" t="s">
        <v>114</v>
      </c>
      <c r="E293" s="1108"/>
      <c r="F293" s="1108"/>
      <c r="G293" s="1109"/>
      <c r="H293" s="1109">
        <v>7500</v>
      </c>
    </row>
    <row r="294" spans="1:8" s="50" customFormat="1" ht="18" customHeight="1">
      <c r="A294" s="250"/>
      <c r="B294" s="250"/>
      <c r="C294" s="250"/>
      <c r="D294" s="1108" t="s">
        <v>700</v>
      </c>
      <c r="E294" s="1108"/>
      <c r="F294" s="1108"/>
      <c r="G294" s="1109">
        <v>225000</v>
      </c>
      <c r="H294" s="1109"/>
    </row>
    <row r="295" spans="1:8" s="57" customFormat="1" ht="25.5">
      <c r="A295" s="250"/>
      <c r="B295" s="250"/>
      <c r="C295" s="787">
        <v>2820</v>
      </c>
      <c r="D295" s="39" t="s">
        <v>402</v>
      </c>
      <c r="E295" s="370"/>
      <c r="F295" s="370"/>
      <c r="G295" s="1106">
        <f>SUM(G273:G294)</f>
        <v>225000</v>
      </c>
      <c r="H295" s="1106">
        <f>SUM(H273:H294)</f>
        <v>225000</v>
      </c>
    </row>
    <row r="296" spans="1:8" s="42" customFormat="1" ht="18" customHeight="1">
      <c r="A296" s="786"/>
      <c r="B296" s="786"/>
      <c r="C296" s="786"/>
      <c r="D296" s="1451" t="s">
        <v>102</v>
      </c>
      <c r="E296" s="1452"/>
      <c r="F296" s="1452"/>
      <c r="G296" s="1452">
        <f>G307</f>
        <v>419000</v>
      </c>
      <c r="H296" s="1452">
        <f>H307</f>
        <v>419000</v>
      </c>
    </row>
    <row r="297" spans="1:8" s="50" customFormat="1" ht="18" customHeight="1">
      <c r="A297" s="250"/>
      <c r="B297" s="250"/>
      <c r="C297" s="250"/>
      <c r="D297" s="860" t="s">
        <v>104</v>
      </c>
      <c r="E297" s="1108"/>
      <c r="F297" s="1108"/>
      <c r="G297" s="1109"/>
      <c r="H297" s="1109">
        <v>175000</v>
      </c>
    </row>
    <row r="298" spans="1:8" s="50" customFormat="1" ht="25.5">
      <c r="A298" s="250"/>
      <c r="B298" s="250"/>
      <c r="C298" s="250"/>
      <c r="D298" s="799" t="s">
        <v>103</v>
      </c>
      <c r="E298" s="1108"/>
      <c r="F298" s="1108"/>
      <c r="G298" s="1109"/>
      <c r="H298" s="1109">
        <v>19000</v>
      </c>
    </row>
    <row r="299" spans="1:8" s="50" customFormat="1" ht="18" customHeight="1">
      <c r="A299" s="250"/>
      <c r="B299" s="250"/>
      <c r="C299" s="250"/>
      <c r="D299" s="1113" t="s">
        <v>106</v>
      </c>
      <c r="E299" s="1108"/>
      <c r="F299" s="1108"/>
      <c r="G299" s="1109"/>
      <c r="H299" s="1109">
        <v>60000</v>
      </c>
    </row>
    <row r="300" spans="1:8" s="50" customFormat="1" ht="18" customHeight="1">
      <c r="A300" s="250"/>
      <c r="B300" s="250"/>
      <c r="C300" s="250"/>
      <c r="D300" s="1108" t="s">
        <v>84</v>
      </c>
      <c r="E300" s="1108"/>
      <c r="F300" s="1108"/>
      <c r="G300" s="1109"/>
      <c r="H300" s="1109">
        <v>4000</v>
      </c>
    </row>
    <row r="301" spans="1:8" s="50" customFormat="1" ht="18" customHeight="1">
      <c r="A301" s="787"/>
      <c r="B301" s="787"/>
      <c r="C301" s="787"/>
      <c r="D301" s="344" t="s">
        <v>86</v>
      </c>
      <c r="E301" s="344"/>
      <c r="F301" s="344"/>
      <c r="G301" s="1449"/>
      <c r="H301" s="1449">
        <v>75000</v>
      </c>
    </row>
    <row r="302" spans="1:8" s="50" customFormat="1" ht="18" customHeight="1">
      <c r="A302" s="250"/>
      <c r="B302" s="250"/>
      <c r="C302" s="250"/>
      <c r="D302" s="1453" t="s">
        <v>108</v>
      </c>
      <c r="E302" s="1447"/>
      <c r="F302" s="1447"/>
      <c r="G302" s="1448"/>
      <c r="H302" s="1448">
        <v>1000</v>
      </c>
    </row>
    <row r="303" spans="1:8" s="50" customFormat="1" ht="18" customHeight="1">
      <c r="A303" s="250"/>
      <c r="B303" s="250"/>
      <c r="C303" s="250"/>
      <c r="D303" s="1108" t="s">
        <v>538</v>
      </c>
      <c r="E303" s="1108"/>
      <c r="F303" s="1108"/>
      <c r="G303" s="1109"/>
      <c r="H303" s="1109">
        <v>5000</v>
      </c>
    </row>
    <row r="304" spans="1:8" s="50" customFormat="1" ht="18" customHeight="1">
      <c r="A304" s="250"/>
      <c r="B304" s="250"/>
      <c r="C304" s="250"/>
      <c r="D304" s="1108" t="s">
        <v>109</v>
      </c>
      <c r="E304" s="1108"/>
      <c r="F304" s="1108"/>
      <c r="G304" s="1109"/>
      <c r="H304" s="1109">
        <v>60000</v>
      </c>
    </row>
    <row r="305" spans="1:8" s="50" customFormat="1" ht="18" customHeight="1">
      <c r="A305" s="250"/>
      <c r="B305" s="250"/>
      <c r="C305" s="250"/>
      <c r="D305" s="1108" t="s">
        <v>110</v>
      </c>
      <c r="E305" s="1108"/>
      <c r="F305" s="1108"/>
      <c r="G305" s="1109"/>
      <c r="H305" s="1109">
        <v>20000</v>
      </c>
    </row>
    <row r="306" spans="1:8" s="50" customFormat="1" ht="18" customHeight="1">
      <c r="A306" s="250"/>
      <c r="B306" s="250"/>
      <c r="C306" s="250"/>
      <c r="D306" s="1108" t="s">
        <v>700</v>
      </c>
      <c r="E306" s="1108"/>
      <c r="F306" s="1108"/>
      <c r="G306" s="1109">
        <v>419000</v>
      </c>
      <c r="H306" s="1109"/>
    </row>
    <row r="307" spans="1:8" s="57" customFormat="1" ht="25.5">
      <c r="A307" s="250"/>
      <c r="B307" s="250"/>
      <c r="C307" s="787">
        <v>2820</v>
      </c>
      <c r="D307" s="39" t="s">
        <v>402</v>
      </c>
      <c r="E307" s="370"/>
      <c r="F307" s="370"/>
      <c r="G307" s="1106">
        <f>SUM(G297:G306)</f>
        <v>419000</v>
      </c>
      <c r="H307" s="1106">
        <f>SUM(H297:H306)</f>
        <v>419000</v>
      </c>
    </row>
    <row r="308" spans="1:8" s="61" customFormat="1" ht="21" customHeight="1">
      <c r="A308" s="209"/>
      <c r="B308" s="209"/>
      <c r="C308" s="209"/>
      <c r="D308" s="63" t="s">
        <v>573</v>
      </c>
      <c r="E308" s="64"/>
      <c r="F308" s="64"/>
      <c r="G308" s="64">
        <f>G309</f>
        <v>1480000</v>
      </c>
      <c r="H308" s="64">
        <f>H309</f>
        <v>1480000</v>
      </c>
    </row>
    <row r="309" spans="1:8" s="57" customFormat="1" ht="18" customHeight="1" thickBot="1">
      <c r="A309" s="73"/>
      <c r="B309" s="73"/>
      <c r="C309" s="73"/>
      <c r="D309" s="55" t="s">
        <v>192</v>
      </c>
      <c r="E309" s="56"/>
      <c r="F309" s="56"/>
      <c r="G309" s="56">
        <f>G316+G310</f>
        <v>1480000</v>
      </c>
      <c r="H309" s="56">
        <f>H316+H310</f>
        <v>1480000</v>
      </c>
    </row>
    <row r="310" spans="1:8" s="57" customFormat="1" ht="18" customHeight="1" thickBot="1" thickTop="1">
      <c r="A310" s="325">
        <v>900</v>
      </c>
      <c r="B310" s="325"/>
      <c r="C310" s="325"/>
      <c r="D310" s="655" t="s">
        <v>633</v>
      </c>
      <c r="E310" s="48"/>
      <c r="F310" s="48"/>
      <c r="G310" s="48">
        <f>G311</f>
        <v>100000</v>
      </c>
      <c r="H310" s="48">
        <f>H311</f>
        <v>100000</v>
      </c>
    </row>
    <row r="311" spans="1:8" s="57" customFormat="1" ht="18" customHeight="1">
      <c r="A311" s="40"/>
      <c r="B311" s="536">
        <v>90001</v>
      </c>
      <c r="C311" s="536"/>
      <c r="D311" s="44" t="s">
        <v>341</v>
      </c>
      <c r="E311" s="43"/>
      <c r="F311" s="43"/>
      <c r="G311" s="43">
        <f>G312</f>
        <v>100000</v>
      </c>
      <c r="H311" s="43">
        <f>H312</f>
        <v>100000</v>
      </c>
    </row>
    <row r="312" spans="1:8" s="57" customFormat="1" ht="18" customHeight="1">
      <c r="A312" s="40"/>
      <c r="B312" s="40"/>
      <c r="C312" s="40"/>
      <c r="D312" s="797" t="s">
        <v>763</v>
      </c>
      <c r="E312" s="70"/>
      <c r="F312" s="70"/>
      <c r="G312" s="70">
        <f>G315</f>
        <v>100000</v>
      </c>
      <c r="H312" s="70">
        <f>H315</f>
        <v>100000</v>
      </c>
    </row>
    <row r="313" spans="1:8" s="57" customFormat="1" ht="25.5">
      <c r="A313" s="68"/>
      <c r="B313" s="68"/>
      <c r="C313" s="49"/>
      <c r="D313" s="796" t="s">
        <v>1</v>
      </c>
      <c r="E313" s="46"/>
      <c r="F313" s="46"/>
      <c r="G313" s="46">
        <v>100000</v>
      </c>
      <c r="H313" s="46"/>
    </row>
    <row r="314" spans="1:8" s="57" customFormat="1" ht="18" customHeight="1">
      <c r="A314" s="68"/>
      <c r="B314" s="68"/>
      <c r="C314" s="49"/>
      <c r="D314" s="796" t="s">
        <v>0</v>
      </c>
      <c r="E314" s="798"/>
      <c r="F314" s="798"/>
      <c r="G314" s="798"/>
      <c r="H314" s="798">
        <v>100000</v>
      </c>
    </row>
    <row r="315" spans="1:8" s="57" customFormat="1" ht="18" customHeight="1">
      <c r="A315" s="68"/>
      <c r="B315" s="74"/>
      <c r="C315" s="38">
        <v>6050</v>
      </c>
      <c r="D315" s="39" t="s">
        <v>723</v>
      </c>
      <c r="E315" s="45"/>
      <c r="F315" s="45"/>
      <c r="G315" s="45">
        <f>G313+G314</f>
        <v>100000</v>
      </c>
      <c r="H315" s="45">
        <f>H313+H314</f>
        <v>100000</v>
      </c>
    </row>
    <row r="316" spans="1:8" s="57" customFormat="1" ht="18" customHeight="1" thickBot="1">
      <c r="A316" s="325">
        <v>926</v>
      </c>
      <c r="B316" s="325"/>
      <c r="C316" s="325"/>
      <c r="D316" s="48" t="s">
        <v>601</v>
      </c>
      <c r="E316" s="48"/>
      <c r="F316" s="48"/>
      <c r="G316" s="48">
        <f>G317</f>
        <v>1380000</v>
      </c>
      <c r="H316" s="48">
        <f>H317</f>
        <v>1380000</v>
      </c>
    </row>
    <row r="317" spans="1:8" s="57" customFormat="1" ht="18" customHeight="1">
      <c r="A317" s="540"/>
      <c r="B317" s="541">
        <v>92604</v>
      </c>
      <c r="C317" s="541"/>
      <c r="D317" s="44" t="s">
        <v>754</v>
      </c>
      <c r="E317" s="44"/>
      <c r="F317" s="44"/>
      <c r="G317" s="43">
        <f>G318</f>
        <v>1380000</v>
      </c>
      <c r="H317" s="43">
        <f>H318</f>
        <v>1380000</v>
      </c>
    </row>
    <row r="318" spans="1:8" s="57" customFormat="1" ht="18" customHeight="1">
      <c r="A318" s="540"/>
      <c r="B318" s="540"/>
      <c r="C318" s="801"/>
      <c r="D318" s="797" t="s">
        <v>758</v>
      </c>
      <c r="E318" s="797"/>
      <c r="F318" s="797"/>
      <c r="G318" s="70">
        <f>SUM(G323:G323)</f>
        <v>1380000</v>
      </c>
      <c r="H318" s="70">
        <f>SUM(H323:H323)</f>
        <v>1380000</v>
      </c>
    </row>
    <row r="319" spans="1:8" s="57" customFormat="1" ht="18" customHeight="1">
      <c r="A319" s="540"/>
      <c r="B319" s="540"/>
      <c r="C319" s="540"/>
      <c r="D319" s="799" t="s">
        <v>2</v>
      </c>
      <c r="E319" s="799"/>
      <c r="F319" s="799"/>
      <c r="G319" s="840">
        <v>1380000</v>
      </c>
      <c r="H319" s="840"/>
    </row>
    <row r="320" spans="1:8" s="57" customFormat="1" ht="18" customHeight="1">
      <c r="A320" s="540"/>
      <c r="B320" s="540"/>
      <c r="C320" s="540"/>
      <c r="D320" s="799" t="s">
        <v>760</v>
      </c>
      <c r="E320" s="799"/>
      <c r="F320" s="799"/>
      <c r="G320" s="840"/>
      <c r="H320" s="840">
        <f>1000000-550000</f>
        <v>450000</v>
      </c>
    </row>
    <row r="321" spans="1:8" s="57" customFormat="1" ht="18" customHeight="1">
      <c r="A321" s="540"/>
      <c r="B321" s="540"/>
      <c r="C321" s="540"/>
      <c r="D321" s="794" t="s">
        <v>23</v>
      </c>
      <c r="E321" s="799"/>
      <c r="F321" s="799"/>
      <c r="G321" s="840"/>
      <c r="H321" s="840">
        <v>550000</v>
      </c>
    </row>
    <row r="322" spans="1:8" s="57" customFormat="1" ht="18" customHeight="1">
      <c r="A322" s="540"/>
      <c r="B322" s="540"/>
      <c r="C322" s="540"/>
      <c r="D322" s="799" t="s">
        <v>3</v>
      </c>
      <c r="E322" s="799"/>
      <c r="F322" s="799"/>
      <c r="G322" s="840"/>
      <c r="H322" s="840">
        <v>380000</v>
      </c>
    </row>
    <row r="323" spans="1:8" s="57" customFormat="1" ht="25.5">
      <c r="A323" s="250"/>
      <c r="B323" s="250"/>
      <c r="C323" s="38">
        <v>6210</v>
      </c>
      <c r="D323" s="800" t="s">
        <v>4</v>
      </c>
      <c r="E323" s="800"/>
      <c r="F323" s="800"/>
      <c r="G323" s="881">
        <f>SUM(G319:G322)</f>
        <v>1380000</v>
      </c>
      <c r="H323" s="881">
        <f>SUM(H319:H322)</f>
        <v>1380000</v>
      </c>
    </row>
    <row r="324" spans="1:8" s="61" customFormat="1" ht="21" customHeight="1">
      <c r="A324" s="209"/>
      <c r="B324" s="209"/>
      <c r="C324" s="209"/>
      <c r="D324" s="63" t="s">
        <v>642</v>
      </c>
      <c r="E324" s="64"/>
      <c r="F324" s="64"/>
      <c r="G324" s="64">
        <f>G325</f>
        <v>42000</v>
      </c>
      <c r="H324" s="64"/>
    </row>
    <row r="325" spans="1:8" s="57" customFormat="1" ht="18" customHeight="1" thickBot="1">
      <c r="A325" s="73"/>
      <c r="B325" s="73"/>
      <c r="C325" s="73"/>
      <c r="D325" s="55" t="s">
        <v>192</v>
      </c>
      <c r="E325" s="56"/>
      <c r="F325" s="56"/>
      <c r="G325" s="56">
        <f>G326</f>
        <v>42000</v>
      </c>
      <c r="H325" s="56"/>
    </row>
    <row r="326" spans="1:9" s="57" customFormat="1" ht="18" customHeight="1" thickBot="1" thickTop="1">
      <c r="A326" s="325">
        <v>750</v>
      </c>
      <c r="B326" s="325"/>
      <c r="C326" s="325"/>
      <c r="D326" s="326" t="s">
        <v>319</v>
      </c>
      <c r="E326" s="48"/>
      <c r="F326" s="48"/>
      <c r="G326" s="48">
        <f>G327</f>
        <v>42000</v>
      </c>
      <c r="H326" s="48"/>
      <c r="I326" s="383"/>
    </row>
    <row r="327" spans="1:8" s="57" customFormat="1" ht="18" customHeight="1">
      <c r="A327" s="161"/>
      <c r="B327" s="536">
        <v>75075</v>
      </c>
      <c r="C327" s="536"/>
      <c r="D327" s="887" t="s">
        <v>126</v>
      </c>
      <c r="E327" s="43"/>
      <c r="F327" s="43"/>
      <c r="G327" s="43">
        <f>G328</f>
        <v>42000</v>
      </c>
      <c r="H327" s="43"/>
    </row>
    <row r="328" spans="1:8" s="57" customFormat="1" ht="18" customHeight="1">
      <c r="A328" s="40"/>
      <c r="B328" s="40"/>
      <c r="C328" s="40"/>
      <c r="D328" s="837" t="s">
        <v>127</v>
      </c>
      <c r="E328" s="888"/>
      <c r="F328" s="888"/>
      <c r="G328" s="888">
        <f>G329</f>
        <v>42000</v>
      </c>
      <c r="H328" s="888"/>
    </row>
    <row r="329" spans="1:8" s="57" customFormat="1" ht="18" customHeight="1">
      <c r="A329" s="37"/>
      <c r="B329" s="38"/>
      <c r="C329" s="787">
        <v>4300</v>
      </c>
      <c r="D329" s="889" t="s">
        <v>322</v>
      </c>
      <c r="E329" s="890"/>
      <c r="F329" s="890"/>
      <c r="G329" s="890">
        <v>42000</v>
      </c>
      <c r="H329" s="890"/>
    </row>
    <row r="330" spans="1:8" s="61" customFormat="1" ht="21" customHeight="1">
      <c r="A330" s="209"/>
      <c r="B330" s="209"/>
      <c r="C330" s="209"/>
      <c r="D330" s="63" t="s">
        <v>128</v>
      </c>
      <c r="E330" s="64"/>
      <c r="F330" s="64"/>
      <c r="G330" s="64"/>
      <c r="H330" s="64">
        <f>H331</f>
        <v>85000</v>
      </c>
    </row>
    <row r="331" spans="1:8" s="57" customFormat="1" ht="18" customHeight="1" thickBot="1">
      <c r="A331" s="73"/>
      <c r="B331" s="73"/>
      <c r="C331" s="73"/>
      <c r="D331" s="129" t="s">
        <v>192</v>
      </c>
      <c r="E331" s="56"/>
      <c r="F331" s="56"/>
      <c r="G331" s="56"/>
      <c r="H331" s="56">
        <f>H332</f>
        <v>85000</v>
      </c>
    </row>
    <row r="332" spans="1:8" s="57" customFormat="1" ht="18" customHeight="1" thickBot="1" thickTop="1">
      <c r="A332" s="325">
        <v>852</v>
      </c>
      <c r="B332" s="325"/>
      <c r="C332" s="325"/>
      <c r="D332" s="326" t="s">
        <v>324</v>
      </c>
      <c r="E332" s="48"/>
      <c r="F332" s="48"/>
      <c r="G332" s="48"/>
      <c r="H332" s="48">
        <f>H333</f>
        <v>85000</v>
      </c>
    </row>
    <row r="333" spans="1:8" s="57" customFormat="1" ht="18" customHeight="1">
      <c r="A333" s="40"/>
      <c r="B333" s="536">
        <v>85202</v>
      </c>
      <c r="C333" s="536"/>
      <c r="D333" s="542" t="s">
        <v>620</v>
      </c>
      <c r="E333" s="43"/>
      <c r="F333" s="43"/>
      <c r="G333" s="43"/>
      <c r="H333" s="43">
        <f>H334</f>
        <v>85000</v>
      </c>
    </row>
    <row r="334" spans="1:8" s="57" customFormat="1" ht="18" customHeight="1">
      <c r="A334" s="40"/>
      <c r="B334" s="40"/>
      <c r="C334" s="40"/>
      <c r="D334" s="552" t="s">
        <v>721</v>
      </c>
      <c r="E334" s="70"/>
      <c r="F334" s="70"/>
      <c r="G334" s="70"/>
      <c r="H334" s="70">
        <f>H336</f>
        <v>85000</v>
      </c>
    </row>
    <row r="335" spans="1:8" s="57" customFormat="1" ht="18" customHeight="1">
      <c r="A335" s="68"/>
      <c r="B335" s="68"/>
      <c r="C335" s="49"/>
      <c r="D335" s="982" t="s">
        <v>124</v>
      </c>
      <c r="E335" s="248"/>
      <c r="F335" s="248"/>
      <c r="G335" s="248"/>
      <c r="H335" s="248">
        <f>H336</f>
        <v>85000</v>
      </c>
    </row>
    <row r="336" spans="1:8" s="57" customFormat="1" ht="18" customHeight="1">
      <c r="A336" s="68"/>
      <c r="B336" s="68"/>
      <c r="C336" s="38">
        <v>6050</v>
      </c>
      <c r="D336" s="344" t="s">
        <v>723</v>
      </c>
      <c r="E336" s="45"/>
      <c r="F336" s="45"/>
      <c r="G336" s="45"/>
      <c r="H336" s="45">
        <v>85000</v>
      </c>
    </row>
    <row r="337" spans="1:9" s="61" customFormat="1" ht="21" customHeight="1">
      <c r="A337" s="209"/>
      <c r="B337" s="209"/>
      <c r="C337" s="209"/>
      <c r="D337" s="63" t="s">
        <v>68</v>
      </c>
      <c r="E337" s="64"/>
      <c r="F337" s="64"/>
      <c r="G337" s="64">
        <f>G338+G365+G380+G374</f>
        <v>255804</v>
      </c>
      <c r="H337" s="64">
        <f>H338+H365+H380+H374</f>
        <v>280466</v>
      </c>
      <c r="I337" s="76"/>
    </row>
    <row r="338" spans="1:9" s="57" customFormat="1" ht="18" customHeight="1" thickBot="1">
      <c r="A338" s="73"/>
      <c r="B338" s="73"/>
      <c r="C338" s="73"/>
      <c r="D338" s="129" t="s">
        <v>192</v>
      </c>
      <c r="E338" s="56"/>
      <c r="F338" s="56"/>
      <c r="G338" s="56">
        <f>G339+G355</f>
        <v>235804</v>
      </c>
      <c r="H338" s="56">
        <f>H339+H355</f>
        <v>226558</v>
      </c>
      <c r="I338" s="383"/>
    </row>
    <row r="339" spans="1:9" s="57" customFormat="1" ht="18" customHeight="1" thickBot="1" thickTop="1">
      <c r="A339" s="325">
        <v>852</v>
      </c>
      <c r="B339" s="325"/>
      <c r="C339" s="325"/>
      <c r="D339" s="326" t="s">
        <v>324</v>
      </c>
      <c r="E339" s="48"/>
      <c r="F339" s="48"/>
      <c r="G339" s="48">
        <f>G340</f>
        <v>225496</v>
      </c>
      <c r="H339" s="48">
        <f>H340</f>
        <v>215000</v>
      </c>
      <c r="I339" s="383"/>
    </row>
    <row r="340" spans="1:8" s="57" customFormat="1" ht="18" customHeight="1">
      <c r="A340" s="161"/>
      <c r="B340" s="833">
        <v>85295</v>
      </c>
      <c r="C340" s="536"/>
      <c r="D340" s="537" t="s">
        <v>401</v>
      </c>
      <c r="E340" s="537"/>
      <c r="F340" s="537"/>
      <c r="G340" s="580">
        <f>G341+G348+G352</f>
        <v>225496</v>
      </c>
      <c r="H340" s="580">
        <f>H341+H348+H352</f>
        <v>215000</v>
      </c>
    </row>
    <row r="341" spans="1:8" s="57" customFormat="1" ht="25.5">
      <c r="A341" s="68"/>
      <c r="B341" s="68"/>
      <c r="C341" s="819"/>
      <c r="D341" s="837" t="s">
        <v>234</v>
      </c>
      <c r="E341" s="837"/>
      <c r="F341" s="837"/>
      <c r="G341" s="838">
        <f>G344+G347</f>
        <v>195000</v>
      </c>
      <c r="H341" s="838">
        <f>H344+H347</f>
        <v>195000</v>
      </c>
    </row>
    <row r="342" spans="1:8" s="57" customFormat="1" ht="25.5">
      <c r="A342" s="68"/>
      <c r="B342" s="68"/>
      <c r="C342" s="835"/>
      <c r="D342" s="821" t="s">
        <v>235</v>
      </c>
      <c r="E342" s="821"/>
      <c r="F342" s="821"/>
      <c r="G342" s="839"/>
      <c r="H342" s="839">
        <v>162000</v>
      </c>
    </row>
    <row r="343" spans="1:8" s="57" customFormat="1" ht="18" customHeight="1">
      <c r="A343" s="68"/>
      <c r="B343" s="68"/>
      <c r="C343" s="835"/>
      <c r="D343" s="799" t="s">
        <v>133</v>
      </c>
      <c r="E343" s="799"/>
      <c r="F343" s="799"/>
      <c r="G343" s="840">
        <v>162000</v>
      </c>
      <c r="H343" s="840"/>
    </row>
    <row r="344" spans="1:8" s="57" customFormat="1" ht="25.5">
      <c r="A344" s="68"/>
      <c r="B344" s="68"/>
      <c r="C344" s="38">
        <v>2820</v>
      </c>
      <c r="D344" s="39" t="s">
        <v>402</v>
      </c>
      <c r="E344" s="39"/>
      <c r="F344" s="39"/>
      <c r="G344" s="463">
        <f>SUM(G342:G343)</f>
        <v>162000</v>
      </c>
      <c r="H344" s="463">
        <f>SUM(H342:H343)</f>
        <v>162000</v>
      </c>
    </row>
    <row r="345" spans="1:8" s="57" customFormat="1" ht="25.5">
      <c r="A345" s="68"/>
      <c r="B345" s="68"/>
      <c r="C345" s="835"/>
      <c r="D345" s="836" t="s">
        <v>690</v>
      </c>
      <c r="E345" s="836"/>
      <c r="F345" s="836"/>
      <c r="G345" s="822"/>
      <c r="H345" s="822">
        <v>33000</v>
      </c>
    </row>
    <row r="346" spans="1:8" s="57" customFormat="1" ht="18" customHeight="1">
      <c r="A346" s="68"/>
      <c r="B346" s="68"/>
      <c r="C346" s="68"/>
      <c r="D346" s="799" t="s">
        <v>133</v>
      </c>
      <c r="E346" s="799"/>
      <c r="F346" s="799"/>
      <c r="G346" s="840">
        <v>33000</v>
      </c>
      <c r="H346" s="840"/>
    </row>
    <row r="347" spans="1:8" s="57" customFormat="1" ht="38.25">
      <c r="A347" s="68"/>
      <c r="B347" s="68"/>
      <c r="C347" s="38">
        <v>2830</v>
      </c>
      <c r="D347" s="39" t="s">
        <v>123</v>
      </c>
      <c r="E347" s="39"/>
      <c r="F347" s="39"/>
      <c r="G347" s="463">
        <f>SUM(G345:G346)</f>
        <v>33000</v>
      </c>
      <c r="H347" s="463">
        <f>SUM(H345:H346)</f>
        <v>33000</v>
      </c>
    </row>
    <row r="348" spans="1:8" ht="18" customHeight="1">
      <c r="A348" s="533"/>
      <c r="B348" s="533"/>
      <c r="C348" s="209"/>
      <c r="D348" s="823" t="s">
        <v>236</v>
      </c>
      <c r="E348" s="823"/>
      <c r="F348" s="823"/>
      <c r="G348" s="842">
        <f>G351</f>
        <v>20000</v>
      </c>
      <c r="H348" s="842">
        <f>H351</f>
        <v>20000</v>
      </c>
    </row>
    <row r="349" spans="1:8" ht="25.5">
      <c r="A349" s="533"/>
      <c r="B349" s="533"/>
      <c r="C349" s="209"/>
      <c r="D349" s="841" t="s">
        <v>237</v>
      </c>
      <c r="E349" s="841"/>
      <c r="F349" s="841"/>
      <c r="G349" s="843"/>
      <c r="H349" s="843">
        <v>20000</v>
      </c>
    </row>
    <row r="350" spans="1:8" ht="18" customHeight="1">
      <c r="A350" s="533"/>
      <c r="B350" s="533"/>
      <c r="C350" s="209"/>
      <c r="D350" s="799" t="s">
        <v>133</v>
      </c>
      <c r="E350" s="799"/>
      <c r="F350" s="799"/>
      <c r="G350" s="840">
        <v>20000</v>
      </c>
      <c r="H350" s="840"/>
    </row>
    <row r="351" spans="1:8" ht="25.5">
      <c r="A351" s="533"/>
      <c r="B351" s="533"/>
      <c r="C351" s="38">
        <v>2820</v>
      </c>
      <c r="D351" s="39" t="s">
        <v>402</v>
      </c>
      <c r="E351" s="39"/>
      <c r="F351" s="39"/>
      <c r="G351" s="463">
        <f>SUM(G349:G350)</f>
        <v>20000</v>
      </c>
      <c r="H351" s="463">
        <f>SUM(H349:H350)</f>
        <v>20000</v>
      </c>
    </row>
    <row r="352" spans="1:8" ht="18" customHeight="1">
      <c r="A352" s="533"/>
      <c r="B352" s="533"/>
      <c r="C352" s="209"/>
      <c r="D352" s="145" t="s">
        <v>531</v>
      </c>
      <c r="E352" s="823"/>
      <c r="F352" s="823"/>
      <c r="G352" s="842">
        <f>G353</f>
        <v>10496</v>
      </c>
      <c r="H352" s="842"/>
    </row>
    <row r="353" spans="1:8" ht="18" customHeight="1">
      <c r="A353" s="1455"/>
      <c r="B353" s="1455"/>
      <c r="C353" s="33">
        <v>4210</v>
      </c>
      <c r="D353" s="127" t="s">
        <v>321</v>
      </c>
      <c r="E353" s="39"/>
      <c r="F353" s="39"/>
      <c r="G353" s="463">
        <v>10496</v>
      </c>
      <c r="H353" s="463"/>
    </row>
    <row r="354" spans="3:8" s="1454" customFormat="1" ht="21.75" customHeight="1">
      <c r="C354" s="458"/>
      <c r="D354" s="1443"/>
      <c r="E354" s="1439"/>
      <c r="F354" s="1439"/>
      <c r="G354" s="1440"/>
      <c r="H354" s="1440"/>
    </row>
    <row r="355" spans="1:9" s="94" customFormat="1" ht="18" customHeight="1" thickBot="1">
      <c r="A355" s="820">
        <v>853</v>
      </c>
      <c r="B355" s="820"/>
      <c r="C355" s="1515"/>
      <c r="D355" s="1516" t="s">
        <v>389</v>
      </c>
      <c r="E355" s="1517"/>
      <c r="F355" s="1517"/>
      <c r="G355" s="1517">
        <f>G356</f>
        <v>10308</v>
      </c>
      <c r="H355" s="1517">
        <f>H356</f>
        <v>11558</v>
      </c>
      <c r="I355" s="991"/>
    </row>
    <row r="356" spans="1:8" s="94" customFormat="1" ht="18" customHeight="1">
      <c r="A356" s="863"/>
      <c r="B356" s="861">
        <v>85311</v>
      </c>
      <c r="C356" s="992"/>
      <c r="D356" s="545" t="s">
        <v>216</v>
      </c>
      <c r="E356" s="993"/>
      <c r="F356" s="993"/>
      <c r="G356" s="993">
        <f>G357</f>
        <v>10308</v>
      </c>
      <c r="H356" s="993">
        <f>H357</f>
        <v>11558</v>
      </c>
    </row>
    <row r="357" spans="1:8" s="94" customFormat="1" ht="18" customHeight="1">
      <c r="A357" s="863"/>
      <c r="B357" s="862"/>
      <c r="C357" s="994"/>
      <c r="D357" s="995" t="s">
        <v>220</v>
      </c>
      <c r="E357" s="996"/>
      <c r="F357" s="996"/>
      <c r="G357" s="996">
        <f>G360+G358</f>
        <v>10308</v>
      </c>
      <c r="H357" s="996">
        <f>H360+H358</f>
        <v>11558</v>
      </c>
    </row>
    <row r="358" spans="1:8" s="94" customFormat="1" ht="25.5">
      <c r="A358" s="863"/>
      <c r="B358" s="863"/>
      <c r="C358" s="156"/>
      <c r="D358" s="986" t="s">
        <v>554</v>
      </c>
      <c r="E358" s="997"/>
      <c r="F358" s="997"/>
      <c r="G358" s="997"/>
      <c r="H358" s="997">
        <f>H359</f>
        <v>11558</v>
      </c>
    </row>
    <row r="359" spans="1:8" s="1000" customFormat="1" ht="18" customHeight="1">
      <c r="A359" s="156"/>
      <c r="B359" s="156"/>
      <c r="C359" s="33">
        <v>4300</v>
      </c>
      <c r="D359" s="998" t="s">
        <v>322</v>
      </c>
      <c r="E359" s="999"/>
      <c r="F359" s="999"/>
      <c r="G359" s="999"/>
      <c r="H359" s="999">
        <v>11558</v>
      </c>
    </row>
    <row r="360" spans="1:8" s="94" customFormat="1" ht="18" customHeight="1">
      <c r="A360" s="863"/>
      <c r="B360" s="863"/>
      <c r="C360" s="863"/>
      <c r="D360" s="513" t="s">
        <v>218</v>
      </c>
      <c r="E360" s="1001"/>
      <c r="F360" s="1001"/>
      <c r="G360" s="1001">
        <f>G362+G364</f>
        <v>10308</v>
      </c>
      <c r="H360" s="1001"/>
    </row>
    <row r="361" spans="1:8" s="94" customFormat="1" ht="18" customHeight="1">
      <c r="A361" s="13"/>
      <c r="B361" s="13"/>
      <c r="C361" s="156"/>
      <c r="D361" s="982" t="s">
        <v>221</v>
      </c>
      <c r="E361" s="1002"/>
      <c r="F361" s="1002"/>
      <c r="G361" s="1002">
        <v>3516</v>
      </c>
      <c r="H361" s="1002"/>
    </row>
    <row r="362" spans="1:9" s="94" customFormat="1" ht="25.5">
      <c r="A362" s="863"/>
      <c r="B362" s="863"/>
      <c r="C362" s="33">
        <v>2570</v>
      </c>
      <c r="D362" s="127" t="s">
        <v>219</v>
      </c>
      <c r="E362" s="148"/>
      <c r="F362" s="148"/>
      <c r="G362" s="148">
        <f>G361</f>
        <v>3516</v>
      </c>
      <c r="H362" s="148"/>
      <c r="I362" s="991"/>
    </row>
    <row r="363" spans="1:8" s="94" customFormat="1" ht="25.5">
      <c r="A363" s="13"/>
      <c r="B363" s="13"/>
      <c r="C363" s="156"/>
      <c r="D363" s="1003" t="s">
        <v>688</v>
      </c>
      <c r="E363" s="1004"/>
      <c r="F363" s="1004"/>
      <c r="G363" s="1004">
        <v>6792</v>
      </c>
      <c r="H363" s="1004"/>
    </row>
    <row r="364" spans="1:9" s="94" customFormat="1" ht="25.5">
      <c r="A364" s="863"/>
      <c r="B364" s="863"/>
      <c r="C364" s="33">
        <v>2580</v>
      </c>
      <c r="D364" s="127" t="s">
        <v>755</v>
      </c>
      <c r="E364" s="764"/>
      <c r="F364" s="764"/>
      <c r="G364" s="764">
        <f>G363</f>
        <v>6792</v>
      </c>
      <c r="H364" s="764"/>
      <c r="I364" s="991"/>
    </row>
    <row r="365" spans="1:9" s="1000" customFormat="1" ht="18" customHeight="1" thickBot="1">
      <c r="A365" s="126"/>
      <c r="B365" s="126"/>
      <c r="C365" s="126"/>
      <c r="D365" s="1005" t="s">
        <v>195</v>
      </c>
      <c r="E365" s="1006"/>
      <c r="F365" s="1006"/>
      <c r="G365" s="1006"/>
      <c r="H365" s="1006">
        <f>H366</f>
        <v>10308</v>
      </c>
      <c r="I365" s="1102"/>
    </row>
    <row r="366" spans="1:9" s="94" customFormat="1" ht="18" customHeight="1" thickBot="1" thickTop="1">
      <c r="A366" s="988">
        <v>853</v>
      </c>
      <c r="B366" s="988"/>
      <c r="C366" s="989"/>
      <c r="D366" s="585" t="s">
        <v>389</v>
      </c>
      <c r="E366" s="990"/>
      <c r="F366" s="990"/>
      <c r="G366" s="990"/>
      <c r="H366" s="990">
        <f>H367</f>
        <v>10308</v>
      </c>
      <c r="I366" s="991"/>
    </row>
    <row r="367" spans="1:8" s="94" customFormat="1" ht="18" customHeight="1">
      <c r="A367" s="863"/>
      <c r="B367" s="861">
        <v>85311</v>
      </c>
      <c r="C367" s="992"/>
      <c r="D367" s="545" t="s">
        <v>216</v>
      </c>
      <c r="E367" s="993"/>
      <c r="F367" s="993"/>
      <c r="G367" s="993"/>
      <c r="H367" s="993">
        <f>H368</f>
        <v>10308</v>
      </c>
    </row>
    <row r="368" spans="1:8" s="94" customFormat="1" ht="18" customHeight="1">
      <c r="A368" s="863"/>
      <c r="B368" s="862"/>
      <c r="C368" s="994"/>
      <c r="D368" s="1007" t="s">
        <v>220</v>
      </c>
      <c r="E368" s="997"/>
      <c r="F368" s="997"/>
      <c r="G368" s="997"/>
      <c r="H368" s="997">
        <f>H369</f>
        <v>10308</v>
      </c>
    </row>
    <row r="369" spans="1:8" s="94" customFormat="1" ht="18" customHeight="1">
      <c r="A369" s="863"/>
      <c r="B369" s="863"/>
      <c r="C369" s="863"/>
      <c r="D369" s="1008" t="s">
        <v>218</v>
      </c>
      <c r="E369" s="1009"/>
      <c r="F369" s="1009"/>
      <c r="G369" s="1009"/>
      <c r="H369" s="1009">
        <f>H371+H373</f>
        <v>10308</v>
      </c>
    </row>
    <row r="370" spans="1:8" s="94" customFormat="1" ht="18" customHeight="1">
      <c r="A370" s="13"/>
      <c r="B370" s="13"/>
      <c r="C370" s="156"/>
      <c r="D370" s="982" t="s">
        <v>221</v>
      </c>
      <c r="E370" s="1002"/>
      <c r="F370" s="1002"/>
      <c r="G370" s="1002"/>
      <c r="H370" s="1002">
        <v>3516</v>
      </c>
    </row>
    <row r="371" spans="1:9" s="94" customFormat="1" ht="25.5">
      <c r="A371" s="863"/>
      <c r="B371" s="863"/>
      <c r="C371" s="33">
        <v>2570</v>
      </c>
      <c r="D371" s="127" t="s">
        <v>219</v>
      </c>
      <c r="E371" s="148"/>
      <c r="F371" s="148"/>
      <c r="G371" s="148"/>
      <c r="H371" s="148">
        <f>SUM(H370)</f>
        <v>3516</v>
      </c>
      <c r="I371" s="991"/>
    </row>
    <row r="372" spans="1:8" s="94" customFormat="1" ht="25.5">
      <c r="A372" s="13"/>
      <c r="B372" s="13"/>
      <c r="C372" s="156"/>
      <c r="D372" s="1003" t="s">
        <v>688</v>
      </c>
      <c r="E372" s="1002"/>
      <c r="F372" s="1002"/>
      <c r="G372" s="1002"/>
      <c r="H372" s="1002">
        <v>6792</v>
      </c>
    </row>
    <row r="373" spans="1:9" s="94" customFormat="1" ht="25.5">
      <c r="A373" s="863"/>
      <c r="B373" s="863"/>
      <c r="C373" s="33">
        <v>2580</v>
      </c>
      <c r="D373" s="127" t="s">
        <v>755</v>
      </c>
      <c r="E373" s="148"/>
      <c r="F373" s="148"/>
      <c r="G373" s="148"/>
      <c r="H373" s="148">
        <f>H372</f>
        <v>6792</v>
      </c>
      <c r="I373" s="991"/>
    </row>
    <row r="374" spans="1:8" s="50" customFormat="1" ht="18" customHeight="1" thickBot="1">
      <c r="A374" s="35"/>
      <c r="B374" s="37"/>
      <c r="C374" s="35"/>
      <c r="D374" s="332" t="s">
        <v>614</v>
      </c>
      <c r="E374" s="1290"/>
      <c r="F374" s="1290"/>
      <c r="G374" s="1290"/>
      <c r="H374" s="1290">
        <f>H375</f>
        <v>23600</v>
      </c>
    </row>
    <row r="375" spans="1:8" s="42" customFormat="1" ht="18" customHeight="1" thickBot="1" thickTop="1">
      <c r="A375" s="29">
        <v>852</v>
      </c>
      <c r="B375" s="29"/>
      <c r="C375" s="29"/>
      <c r="D375" s="28" t="s">
        <v>324</v>
      </c>
      <c r="E375" s="1291"/>
      <c r="F375" s="1291"/>
      <c r="G375" s="1291"/>
      <c r="H375" s="1291">
        <f>H376</f>
        <v>23600</v>
      </c>
    </row>
    <row r="376" spans="1:8" s="42" customFormat="1" ht="18" customHeight="1">
      <c r="A376" s="13"/>
      <c r="B376" s="14">
        <v>85278</v>
      </c>
      <c r="C376" s="14"/>
      <c r="D376" s="792" t="s">
        <v>157</v>
      </c>
      <c r="E376" s="43"/>
      <c r="F376" s="43"/>
      <c r="G376" s="43"/>
      <c r="H376" s="43">
        <f>H377</f>
        <v>23600</v>
      </c>
    </row>
    <row r="377" spans="1:8" s="42" customFormat="1" ht="18" customHeight="1">
      <c r="A377" s="161"/>
      <c r="B377" s="161"/>
      <c r="C377" s="161"/>
      <c r="D377" s="1144" t="s">
        <v>544</v>
      </c>
      <c r="E377" s="1292"/>
      <c r="F377" s="1292"/>
      <c r="G377" s="1292"/>
      <c r="H377" s="1292">
        <f>H378</f>
        <v>23600</v>
      </c>
    </row>
    <row r="378" spans="1:8" s="42" customFormat="1" ht="18" customHeight="1">
      <c r="A378" s="985"/>
      <c r="B378" s="33"/>
      <c r="C378" s="33">
        <v>3110</v>
      </c>
      <c r="D378" s="127" t="s">
        <v>725</v>
      </c>
      <c r="E378" s="754"/>
      <c r="F378" s="754"/>
      <c r="G378" s="755"/>
      <c r="H378" s="754">
        <v>23600</v>
      </c>
    </row>
    <row r="379" spans="1:8" s="1445" customFormat="1" ht="32.25" customHeight="1">
      <c r="A379" s="1456"/>
      <c r="B379" s="458"/>
      <c r="C379" s="458"/>
      <c r="D379" s="1443"/>
      <c r="E379" s="1457"/>
      <c r="F379" s="1457"/>
      <c r="G379" s="1457"/>
      <c r="H379" s="1457"/>
    </row>
    <row r="380" spans="1:8" s="409" customFormat="1" ht="26.25" thickBot="1">
      <c r="A380" s="210"/>
      <c r="B380" s="210"/>
      <c r="C380" s="38"/>
      <c r="D380" s="129" t="s">
        <v>308</v>
      </c>
      <c r="E380" s="844"/>
      <c r="F380" s="844"/>
      <c r="G380" s="844">
        <f aca="true" t="shared" si="4" ref="G380:H382">G381</f>
        <v>20000</v>
      </c>
      <c r="H380" s="844">
        <f t="shared" si="4"/>
        <v>20000</v>
      </c>
    </row>
    <row r="381" spans="1:8" s="57" customFormat="1" ht="18" customHeight="1" thickBot="1" thickTop="1">
      <c r="A381" s="325">
        <v>852</v>
      </c>
      <c r="B381" s="325"/>
      <c r="C381" s="325"/>
      <c r="D381" s="820" t="s">
        <v>324</v>
      </c>
      <c r="E381" s="845"/>
      <c r="F381" s="845"/>
      <c r="G381" s="845">
        <f t="shared" si="4"/>
        <v>20000</v>
      </c>
      <c r="H381" s="845">
        <f t="shared" si="4"/>
        <v>20000</v>
      </c>
    </row>
    <row r="382" spans="1:10" s="57" customFormat="1" ht="18" customHeight="1" thickBot="1">
      <c r="A382" s="846"/>
      <c r="B382" s="847">
        <v>85203</v>
      </c>
      <c r="C382" s="847"/>
      <c r="D382" s="44" t="s">
        <v>390</v>
      </c>
      <c r="E382" s="848"/>
      <c r="F382" s="848"/>
      <c r="G382" s="848">
        <f t="shared" si="4"/>
        <v>20000</v>
      </c>
      <c r="H382" s="848">
        <f t="shared" si="4"/>
        <v>20000</v>
      </c>
      <c r="J382" s="845"/>
    </row>
    <row r="383" spans="1:8" s="57" customFormat="1" ht="38.25">
      <c r="A383" s="846"/>
      <c r="B383" s="846"/>
      <c r="C383" s="846"/>
      <c r="D383" s="834" t="s">
        <v>238</v>
      </c>
      <c r="E383" s="849"/>
      <c r="F383" s="849"/>
      <c r="G383" s="850">
        <f>G386</f>
        <v>20000</v>
      </c>
      <c r="H383" s="850">
        <f>H386</f>
        <v>20000</v>
      </c>
    </row>
    <row r="384" spans="1:8" s="57" customFormat="1" ht="38.25">
      <c r="A384" s="846"/>
      <c r="B384" s="846"/>
      <c r="C384" s="846"/>
      <c r="D384" s="836" t="s">
        <v>648</v>
      </c>
      <c r="E384" s="851"/>
      <c r="F384" s="851"/>
      <c r="G384" s="851"/>
      <c r="H384" s="851">
        <v>20000</v>
      </c>
    </row>
    <row r="385" spans="1:8" s="57" customFormat="1" ht="38.25">
      <c r="A385" s="846"/>
      <c r="B385" s="846"/>
      <c r="C385" s="846"/>
      <c r="D385" s="799" t="s">
        <v>269</v>
      </c>
      <c r="E385" s="852"/>
      <c r="F385" s="852"/>
      <c r="G385" s="852">
        <v>20000</v>
      </c>
      <c r="H385" s="852"/>
    </row>
    <row r="386" spans="1:8" s="57" customFormat="1" ht="25.5">
      <c r="A386" s="846"/>
      <c r="B386" s="846"/>
      <c r="C386" s="38">
        <v>2820</v>
      </c>
      <c r="D386" s="39" t="s">
        <v>402</v>
      </c>
      <c r="E386" s="853"/>
      <c r="F386" s="853"/>
      <c r="G386" s="854">
        <f>SUM(G384:G385)</f>
        <v>20000</v>
      </c>
      <c r="H386" s="854">
        <f>SUM(H384:H385)</f>
        <v>20000</v>
      </c>
    </row>
    <row r="387" spans="1:8" s="61" customFormat="1" ht="21" customHeight="1">
      <c r="A387" s="209"/>
      <c r="B387" s="209"/>
      <c r="C387" s="209"/>
      <c r="D387" s="753" t="s">
        <v>643</v>
      </c>
      <c r="E387" s="64"/>
      <c r="F387" s="64"/>
      <c r="G387" s="64"/>
      <c r="H387" s="64">
        <f>H388</f>
        <v>1010100</v>
      </c>
    </row>
    <row r="388" spans="1:8" s="57" customFormat="1" ht="26.25" thickBot="1">
      <c r="A388" s="73"/>
      <c r="B388" s="73"/>
      <c r="C388" s="73"/>
      <c r="D388" s="129" t="s">
        <v>308</v>
      </c>
      <c r="E388" s="56"/>
      <c r="F388" s="56"/>
      <c r="G388" s="56"/>
      <c r="H388" s="56">
        <f>H389</f>
        <v>1010100</v>
      </c>
    </row>
    <row r="389" spans="1:8" s="57" customFormat="1" ht="18" customHeight="1" thickBot="1" thickTop="1">
      <c r="A389" s="325">
        <v>754</v>
      </c>
      <c r="B389" s="325"/>
      <c r="C389" s="325"/>
      <c r="D389" s="326" t="s">
        <v>309</v>
      </c>
      <c r="E389" s="48"/>
      <c r="F389" s="48"/>
      <c r="G389" s="48"/>
      <c r="H389" s="48">
        <f>H390</f>
        <v>1010100</v>
      </c>
    </row>
    <row r="390" spans="1:8" s="57" customFormat="1" ht="18" customHeight="1">
      <c r="A390" s="40"/>
      <c r="B390" s="536">
        <v>75411</v>
      </c>
      <c r="C390" s="536"/>
      <c r="D390" s="537" t="s">
        <v>360</v>
      </c>
      <c r="E390" s="43"/>
      <c r="F390" s="43"/>
      <c r="G390" s="43"/>
      <c r="H390" s="43">
        <f>H391</f>
        <v>1010100</v>
      </c>
    </row>
    <row r="391" spans="1:8" s="57" customFormat="1" ht="25.5">
      <c r="A391" s="68"/>
      <c r="B391" s="68"/>
      <c r="C391" s="68"/>
      <c r="D391" s="72" t="s">
        <v>713</v>
      </c>
      <c r="E391" s="215"/>
      <c r="F391" s="215"/>
      <c r="G391" s="215"/>
      <c r="H391" s="215">
        <f>SUM(H392:H397)</f>
        <v>1010100</v>
      </c>
    </row>
    <row r="392" spans="1:8" s="57" customFormat="1" ht="18" customHeight="1">
      <c r="A392" s="35"/>
      <c r="B392" s="49"/>
      <c r="C392" s="38">
        <v>4050</v>
      </c>
      <c r="D392" s="39" t="s">
        <v>5</v>
      </c>
      <c r="E392" s="754"/>
      <c r="F392" s="754"/>
      <c r="G392" s="755"/>
      <c r="H392" s="754">
        <v>701000</v>
      </c>
    </row>
    <row r="393" spans="1:8" s="57" customFormat="1" ht="25.5">
      <c r="A393" s="35"/>
      <c r="B393" s="49"/>
      <c r="C393" s="812">
        <v>4060</v>
      </c>
      <c r="D393" s="813" t="s">
        <v>6</v>
      </c>
      <c r="E393" s="34"/>
      <c r="F393" s="34"/>
      <c r="G393" s="34"/>
      <c r="H393" s="34">
        <v>77000</v>
      </c>
    </row>
    <row r="394" spans="1:8" s="57" customFormat="1" ht="25.5">
      <c r="A394" s="35"/>
      <c r="B394" s="49"/>
      <c r="C394" s="812">
        <v>4070</v>
      </c>
      <c r="D394" s="813" t="s">
        <v>7</v>
      </c>
      <c r="E394" s="34"/>
      <c r="F394" s="34"/>
      <c r="G394" s="34"/>
      <c r="H394" s="34">
        <v>53000</v>
      </c>
    </row>
    <row r="395" spans="1:8" s="57" customFormat="1" ht="25.5">
      <c r="A395" s="35"/>
      <c r="B395" s="49"/>
      <c r="C395" s="812">
        <v>4080</v>
      </c>
      <c r="D395" s="813" t="s">
        <v>689</v>
      </c>
      <c r="E395" s="34"/>
      <c r="F395" s="34"/>
      <c r="G395" s="34"/>
      <c r="H395" s="34">
        <v>17000</v>
      </c>
    </row>
    <row r="396" spans="1:8" s="57" customFormat="1" ht="18" customHeight="1">
      <c r="A396" s="35"/>
      <c r="B396" s="49"/>
      <c r="C396" s="812">
        <v>4210</v>
      </c>
      <c r="D396" s="813" t="s">
        <v>321</v>
      </c>
      <c r="E396" s="34"/>
      <c r="F396" s="34"/>
      <c r="G396" s="34"/>
      <c r="H396" s="34">
        <v>62100</v>
      </c>
    </row>
    <row r="397" spans="1:8" s="57" customFormat="1" ht="18" customHeight="1">
      <c r="A397" s="35"/>
      <c r="B397" s="49"/>
      <c r="C397" s="814"/>
      <c r="D397" s="810" t="s">
        <v>714</v>
      </c>
      <c r="E397" s="811"/>
      <c r="F397" s="811"/>
      <c r="G397" s="811"/>
      <c r="H397" s="811">
        <v>100000</v>
      </c>
    </row>
    <row r="398" spans="1:8" s="57" customFormat="1" ht="18" customHeight="1">
      <c r="A398" s="35"/>
      <c r="B398" s="49"/>
      <c r="C398" s="751">
        <v>6050</v>
      </c>
      <c r="D398" s="763" t="s">
        <v>723</v>
      </c>
      <c r="E398" s="815"/>
      <c r="F398" s="815"/>
      <c r="G398" s="815"/>
      <c r="H398" s="815">
        <f>H397</f>
        <v>100000</v>
      </c>
    </row>
    <row r="399" spans="1:10" s="61" customFormat="1" ht="21" customHeight="1">
      <c r="A399" s="209"/>
      <c r="B399" s="209"/>
      <c r="C399" s="209"/>
      <c r="D399" s="63" t="s">
        <v>644</v>
      </c>
      <c r="E399" s="64"/>
      <c r="F399" s="64"/>
      <c r="G399" s="64">
        <f>G400</f>
        <v>13600</v>
      </c>
      <c r="H399" s="64">
        <f>H400+H411</f>
        <v>603942</v>
      </c>
      <c r="J399" s="76"/>
    </row>
    <row r="400" spans="1:10" s="57" customFormat="1" ht="18" customHeight="1" thickBot="1">
      <c r="A400" s="73"/>
      <c r="B400" s="73"/>
      <c r="C400" s="73"/>
      <c r="D400" s="129" t="s">
        <v>192</v>
      </c>
      <c r="E400" s="56"/>
      <c r="F400" s="56"/>
      <c r="G400" s="56">
        <f>SUM(G406:G410)+G401</f>
        <v>13600</v>
      </c>
      <c r="H400" s="56">
        <f>H406+H408+H410</f>
        <v>602692</v>
      </c>
      <c r="J400" s="383"/>
    </row>
    <row r="401" spans="1:8" s="57" customFormat="1" ht="18" customHeight="1" thickBot="1" thickTop="1">
      <c r="A401" s="325">
        <v>801</v>
      </c>
      <c r="B401" s="325"/>
      <c r="C401" s="325"/>
      <c r="D401" s="326" t="s">
        <v>395</v>
      </c>
      <c r="E401" s="48"/>
      <c r="F401" s="48"/>
      <c r="G401" s="48">
        <f>G402</f>
        <v>350</v>
      </c>
      <c r="H401" s="48"/>
    </row>
    <row r="402" spans="1:8" s="57" customFormat="1" ht="18" customHeight="1">
      <c r="A402" s="1471"/>
      <c r="B402" s="536">
        <v>80101</v>
      </c>
      <c r="C402" s="536"/>
      <c r="D402" s="537" t="s">
        <v>396</v>
      </c>
      <c r="E402" s="43"/>
      <c r="F402" s="43"/>
      <c r="G402" s="43">
        <f>G403</f>
        <v>350</v>
      </c>
      <c r="H402" s="43"/>
    </row>
    <row r="403" spans="1:8" s="57" customFormat="1" ht="18" customHeight="1">
      <c r="A403" s="68"/>
      <c r="B403" s="68"/>
      <c r="C403" s="68"/>
      <c r="D403" s="72" t="s">
        <v>577</v>
      </c>
      <c r="E403" s="215"/>
      <c r="F403" s="215"/>
      <c r="G403" s="215">
        <f>G404</f>
        <v>350</v>
      </c>
      <c r="H403" s="215"/>
    </row>
    <row r="404" spans="1:8" s="57" customFormat="1" ht="18" customHeight="1">
      <c r="A404" s="68"/>
      <c r="B404" s="68"/>
      <c r="C404" s="68"/>
      <c r="D404" s="1467" t="s">
        <v>397</v>
      </c>
      <c r="E404" s="641"/>
      <c r="F404" s="641"/>
      <c r="G404" s="641">
        <f>G405</f>
        <v>350</v>
      </c>
      <c r="H404" s="641"/>
    </row>
    <row r="405" spans="1:10" s="50" customFormat="1" ht="18" customHeight="1">
      <c r="A405" s="38"/>
      <c r="B405" s="38"/>
      <c r="C405" s="38">
        <v>4427</v>
      </c>
      <c r="D405" s="39" t="s">
        <v>576</v>
      </c>
      <c r="E405" s="45"/>
      <c r="F405" s="45"/>
      <c r="G405" s="45">
        <v>350</v>
      </c>
      <c r="H405" s="45"/>
      <c r="J405" s="1468"/>
    </row>
    <row r="406" spans="1:11" s="57" customFormat="1" ht="18" customHeight="1" thickBot="1">
      <c r="A406" s="654">
        <v>801</v>
      </c>
      <c r="B406" s="655"/>
      <c r="C406" s="655"/>
      <c r="D406" s="656" t="s">
        <v>395</v>
      </c>
      <c r="E406" s="464"/>
      <c r="F406" s="464"/>
      <c r="G406" s="464"/>
      <c r="H406" s="464">
        <v>365040</v>
      </c>
      <c r="K406" s="383"/>
    </row>
    <row r="407" spans="1:8" s="57" customFormat="1" ht="18" customHeight="1" thickBot="1">
      <c r="A407" s="325">
        <v>851</v>
      </c>
      <c r="B407" s="325"/>
      <c r="C407" s="325"/>
      <c r="D407" s="326" t="s">
        <v>323</v>
      </c>
      <c r="E407" s="48"/>
      <c r="F407" s="48"/>
      <c r="G407" s="48">
        <v>12000</v>
      </c>
      <c r="H407" s="48"/>
    </row>
    <row r="408" spans="1:9" s="57" customFormat="1" ht="18" customHeight="1" thickBot="1">
      <c r="A408" s="249">
        <v>852</v>
      </c>
      <c r="B408" s="249"/>
      <c r="C408" s="249"/>
      <c r="D408" s="320" t="s">
        <v>324</v>
      </c>
      <c r="E408" s="48"/>
      <c r="F408" s="48"/>
      <c r="G408" s="48"/>
      <c r="H408" s="48">
        <v>25313</v>
      </c>
      <c r="I408" s="42"/>
    </row>
    <row r="409" spans="1:9" s="57" customFormat="1" ht="18" customHeight="1" thickBot="1">
      <c r="A409" s="249">
        <v>853</v>
      </c>
      <c r="B409" s="249"/>
      <c r="C409" s="249"/>
      <c r="D409" s="320" t="s">
        <v>389</v>
      </c>
      <c r="E409" s="48"/>
      <c r="F409" s="48"/>
      <c r="G409" s="48">
        <v>1250</v>
      </c>
      <c r="H409" s="48"/>
      <c r="I409" s="42"/>
    </row>
    <row r="410" spans="1:8" s="57" customFormat="1" ht="18" customHeight="1" thickBot="1">
      <c r="A410" s="654">
        <v>854</v>
      </c>
      <c r="B410" s="655"/>
      <c r="C410" s="655"/>
      <c r="D410" s="656" t="s">
        <v>403</v>
      </c>
      <c r="E410" s="48"/>
      <c r="F410" s="48"/>
      <c r="G410" s="48"/>
      <c r="H410" s="48">
        <v>212339</v>
      </c>
    </row>
    <row r="411" spans="1:10" s="57" customFormat="1" ht="18" customHeight="1" thickBot="1">
      <c r="A411" s="73"/>
      <c r="B411" s="73"/>
      <c r="C411" s="73"/>
      <c r="D411" s="129" t="s">
        <v>195</v>
      </c>
      <c r="E411" s="56"/>
      <c r="F411" s="56"/>
      <c r="G411" s="56"/>
      <c r="H411" s="56">
        <f>H412</f>
        <v>1250</v>
      </c>
      <c r="J411" s="383"/>
    </row>
    <row r="412" spans="1:8" s="57" customFormat="1" ht="18" customHeight="1" thickTop="1">
      <c r="A412" s="1096">
        <v>853</v>
      </c>
      <c r="B412" s="44"/>
      <c r="C412" s="44"/>
      <c r="D412" s="887" t="s">
        <v>389</v>
      </c>
      <c r="E412" s="43"/>
      <c r="F412" s="43"/>
      <c r="G412" s="43"/>
      <c r="H412" s="43">
        <v>1250</v>
      </c>
    </row>
  </sheetData>
  <mergeCells count="6">
    <mergeCell ref="A7:A8"/>
    <mergeCell ref="E7:F7"/>
    <mergeCell ref="G7:H7"/>
    <mergeCell ref="D7:D8"/>
    <mergeCell ref="B7:B8"/>
    <mergeCell ref="C7:C8"/>
  </mergeCells>
  <printOptions horizontalCentered="1"/>
  <pageMargins left="0.7874015748031497" right="0.7874015748031497" top="0.54" bottom="0.45" header="0.44" footer="0.28"/>
  <pageSetup firstPageNumber="24" useFirstPageNumber="1" horizontalDpi="300" verticalDpi="300" orientation="landscape" paperSize="9" scale="9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N740"/>
  <sheetViews>
    <sheetView workbookViewId="0" topLeftCell="H4">
      <pane ySplit="1860" topLeftCell="BM160" activePane="bottomLeft" state="split"/>
      <selection pane="topLeft" activeCell="AA4" sqref="AA1:AA16384"/>
      <selection pane="bottomLeft" activeCell="W182" sqref="W182:W183"/>
    </sheetView>
  </sheetViews>
  <sheetFormatPr defaultColWidth="9.00390625" defaultRowHeight="12.75"/>
  <cols>
    <col min="1" max="1" width="50.00390625" style="644" customWidth="1"/>
    <col min="2" max="2" width="9.75390625" style="644" customWidth="1"/>
    <col min="3" max="3" width="9.125" style="644" customWidth="1"/>
    <col min="4" max="4" width="8.125" style="644" customWidth="1"/>
    <col min="5" max="5" width="9.125" style="644" customWidth="1"/>
    <col min="6" max="6" width="8.125" style="644" customWidth="1"/>
    <col min="7" max="7" width="9.875" style="644" customWidth="1"/>
    <col min="8" max="8" width="8.375" style="644" customWidth="1"/>
    <col min="9" max="9" width="9.375" style="644" customWidth="1"/>
    <col min="10" max="10" width="9.125" style="644" customWidth="1"/>
    <col min="11" max="11" width="8.875" style="644" customWidth="1"/>
    <col min="12" max="12" width="7.375" style="644" customWidth="1"/>
    <col min="13" max="13" width="8.25390625" style="644" customWidth="1"/>
    <col min="14" max="15" width="9.25390625" style="644" bestFit="1" customWidth="1"/>
    <col min="16" max="16" width="9.375" style="644" customWidth="1"/>
    <col min="17" max="17" width="7.625" style="644" customWidth="1"/>
    <col min="18" max="18" width="8.00390625" style="644" customWidth="1"/>
    <col min="19" max="19" width="7.375" style="644" customWidth="1"/>
    <col min="20" max="20" width="9.375" style="644" customWidth="1"/>
    <col min="21" max="21" width="10.625" style="644" customWidth="1"/>
    <col min="22" max="22" width="9.75390625" style="644" customWidth="1"/>
    <col min="23" max="23" width="10.875" style="644" customWidth="1"/>
    <col min="24" max="24" width="9.125" style="653" customWidth="1"/>
    <col min="25" max="25" width="9.375" style="644" customWidth="1"/>
    <col min="26" max="26" width="11.125" style="649" customWidth="1"/>
    <col min="27" max="27" width="0.74609375" style="647" customWidth="1"/>
    <col min="28" max="28" width="1.875" style="646" customWidth="1"/>
    <col min="29" max="29" width="11.875" style="646" customWidth="1"/>
    <col min="30" max="30" width="10.875" style="646" customWidth="1"/>
    <col min="31" max="31" width="11.875" style="646" customWidth="1"/>
    <col min="32" max="16384" width="9.125" style="646" customWidth="1"/>
  </cols>
  <sheetData>
    <row r="1" spans="1:26" s="221" customFormat="1" ht="15.75">
      <c r="A1" s="216" t="s">
        <v>411</v>
      </c>
      <c r="B1" s="217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4"/>
    </row>
    <row r="2" spans="1:26" s="221" customFormat="1" ht="18" customHeight="1">
      <c r="A2" s="214"/>
      <c r="B2" s="217"/>
      <c r="C2" s="218"/>
      <c r="D2" s="217"/>
      <c r="E2" s="217"/>
      <c r="F2" s="217"/>
      <c r="G2" s="217"/>
      <c r="H2" s="219"/>
      <c r="I2" s="219"/>
      <c r="J2" s="218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4"/>
    </row>
    <row r="3" spans="1:26" s="221" customFormat="1" ht="18.75" customHeight="1" thickBot="1">
      <c r="A3" s="220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449" t="s">
        <v>184</v>
      </c>
    </row>
    <row r="4" spans="1:26" s="221" customFormat="1" ht="13.5" customHeight="1">
      <c r="A4" s="222"/>
      <c r="B4" s="1473" t="s">
        <v>665</v>
      </c>
      <c r="C4" s="1181" t="s">
        <v>671</v>
      </c>
      <c r="D4" s="395"/>
      <c r="E4" s="382"/>
      <c r="F4" s="382"/>
      <c r="G4" s="382"/>
      <c r="H4" s="224"/>
      <c r="I4" s="224"/>
      <c r="J4" s="224"/>
      <c r="K4" s="224"/>
      <c r="L4" s="224"/>
      <c r="M4" s="224" t="s">
        <v>484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3" t="s">
        <v>404</v>
      </c>
      <c r="Y4" s="224"/>
      <c r="Z4" s="1183"/>
    </row>
    <row r="5" spans="1:26" s="228" customFormat="1" ht="12.75">
      <c r="A5" s="225" t="s">
        <v>405</v>
      </c>
      <c r="B5" s="226" t="s">
        <v>406</v>
      </c>
      <c r="C5" s="226" t="s">
        <v>407</v>
      </c>
      <c r="D5" s="226" t="s">
        <v>408</v>
      </c>
      <c r="E5" s="226" t="s">
        <v>741</v>
      </c>
      <c r="F5" s="226" t="s">
        <v>243</v>
      </c>
      <c r="G5" s="226" t="s">
        <v>268</v>
      </c>
      <c r="H5" s="226" t="s">
        <v>409</v>
      </c>
      <c r="I5" s="381" t="s">
        <v>47</v>
      </c>
      <c r="J5" s="657" t="s">
        <v>410</v>
      </c>
      <c r="K5" s="657" t="s">
        <v>413</v>
      </c>
      <c r="L5" s="658" t="s">
        <v>264</v>
      </c>
      <c r="M5" s="658" t="s">
        <v>609</v>
      </c>
      <c r="N5" s="658" t="s">
        <v>239</v>
      </c>
      <c r="O5" s="657" t="s">
        <v>414</v>
      </c>
      <c r="P5" s="657" t="s">
        <v>744</v>
      </c>
      <c r="Q5" s="657" t="s">
        <v>256</v>
      </c>
      <c r="R5" s="657" t="s">
        <v>145</v>
      </c>
      <c r="S5" s="658" t="s">
        <v>415</v>
      </c>
      <c r="T5" s="658" t="s">
        <v>240</v>
      </c>
      <c r="U5" s="658" t="s">
        <v>727</v>
      </c>
      <c r="V5" s="659" t="s">
        <v>224</v>
      </c>
      <c r="W5" s="659" t="s">
        <v>416</v>
      </c>
      <c r="X5" s="658" t="s">
        <v>44</v>
      </c>
      <c r="Y5" s="658" t="s">
        <v>417</v>
      </c>
      <c r="Z5" s="1184"/>
    </row>
    <row r="6" spans="1:26" s="228" customFormat="1" ht="12.75">
      <c r="A6" s="229" t="s">
        <v>418</v>
      </c>
      <c r="B6" s="394" t="s">
        <v>665</v>
      </c>
      <c r="C6" s="657" t="s">
        <v>419</v>
      </c>
      <c r="D6" s="657" t="s">
        <v>420</v>
      </c>
      <c r="E6" s="657" t="s">
        <v>742</v>
      </c>
      <c r="F6" s="394" t="s">
        <v>278</v>
      </c>
      <c r="G6" s="394" t="s">
        <v>656</v>
      </c>
      <c r="H6" s="657" t="s">
        <v>421</v>
      </c>
      <c r="I6" s="394" t="s">
        <v>738</v>
      </c>
      <c r="J6" s="448" t="s">
        <v>422</v>
      </c>
      <c r="K6" s="397" t="s">
        <v>423</v>
      </c>
      <c r="L6" s="394" t="s">
        <v>424</v>
      </c>
      <c r="M6" s="232" t="s">
        <v>424</v>
      </c>
      <c r="N6" s="1180" t="s">
        <v>423</v>
      </c>
      <c r="O6" s="394" t="s">
        <v>423</v>
      </c>
      <c r="P6" s="230" t="s">
        <v>149</v>
      </c>
      <c r="Q6" s="394" t="s">
        <v>660</v>
      </c>
      <c r="R6" s="226" t="s">
        <v>425</v>
      </c>
      <c r="S6" s="227" t="s">
        <v>426</v>
      </c>
      <c r="T6" s="230" t="s">
        <v>649</v>
      </c>
      <c r="U6" s="397" t="s">
        <v>728</v>
      </c>
      <c r="V6" s="397" t="s">
        <v>672</v>
      </c>
      <c r="W6" s="396" t="s">
        <v>423</v>
      </c>
      <c r="X6" s="1182" t="s">
        <v>45</v>
      </c>
      <c r="Y6" s="1182" t="s">
        <v>427</v>
      </c>
      <c r="Z6" s="1184"/>
    </row>
    <row r="7" spans="1:26" s="228" customFormat="1" ht="12.75">
      <c r="A7" s="229"/>
      <c r="B7" s="394" t="s">
        <v>429</v>
      </c>
      <c r="C7" s="657" t="s">
        <v>430</v>
      </c>
      <c r="D7" s="657" t="s">
        <v>431</v>
      </c>
      <c r="E7" s="657" t="s">
        <v>743</v>
      </c>
      <c r="F7" s="394" t="s">
        <v>428</v>
      </c>
      <c r="G7" s="394" t="s">
        <v>442</v>
      </c>
      <c r="H7" s="657" t="s">
        <v>432</v>
      </c>
      <c r="I7" s="394" t="s">
        <v>739</v>
      </c>
      <c r="J7" s="394" t="s">
        <v>434</v>
      </c>
      <c r="K7" s="397" t="s">
        <v>433</v>
      </c>
      <c r="L7" s="394" t="s">
        <v>658</v>
      </c>
      <c r="M7" s="232" t="s">
        <v>435</v>
      </c>
      <c r="N7" s="1180" t="s">
        <v>436</v>
      </c>
      <c r="O7" s="394" t="s">
        <v>436</v>
      </c>
      <c r="P7" s="230" t="s">
        <v>150</v>
      </c>
      <c r="Q7" s="394" t="s">
        <v>437</v>
      </c>
      <c r="R7" s="226" t="s">
        <v>437</v>
      </c>
      <c r="S7" s="227" t="s">
        <v>438</v>
      </c>
      <c r="T7" s="230" t="s">
        <v>650</v>
      </c>
      <c r="U7" s="397" t="s">
        <v>729</v>
      </c>
      <c r="V7" s="397" t="s">
        <v>666</v>
      </c>
      <c r="W7" s="396" t="s">
        <v>439</v>
      </c>
      <c r="X7" s="1182" t="s">
        <v>448</v>
      </c>
      <c r="Y7" s="1182" t="s">
        <v>440</v>
      </c>
      <c r="Z7" s="1184" t="s">
        <v>441</v>
      </c>
    </row>
    <row r="8" spans="1:26" s="228" customFormat="1" ht="12.75" customHeight="1">
      <c r="A8" s="229"/>
      <c r="B8" s="657"/>
      <c r="C8" s="657" t="s">
        <v>442</v>
      </c>
      <c r="D8" s="657" t="s">
        <v>443</v>
      </c>
      <c r="E8" s="657"/>
      <c r="F8" s="394" t="s">
        <v>654</v>
      </c>
      <c r="G8" s="657"/>
      <c r="H8" s="658" t="s">
        <v>444</v>
      </c>
      <c r="I8" s="394" t="s">
        <v>740</v>
      </c>
      <c r="J8" s="394" t="s">
        <v>664</v>
      </c>
      <c r="K8" s="397" t="s">
        <v>445</v>
      </c>
      <c r="L8" s="394"/>
      <c r="M8" s="232" t="s">
        <v>674</v>
      </c>
      <c r="N8" s="230" t="s">
        <v>659</v>
      </c>
      <c r="O8" s="394" t="s">
        <v>446</v>
      </c>
      <c r="P8" s="230" t="s">
        <v>152</v>
      </c>
      <c r="Q8" s="394" t="s">
        <v>661</v>
      </c>
      <c r="R8" s="226" t="s">
        <v>146</v>
      </c>
      <c r="S8" s="227" t="s">
        <v>447</v>
      </c>
      <c r="T8" s="230" t="s">
        <v>651</v>
      </c>
      <c r="U8" s="397" t="s">
        <v>731</v>
      </c>
      <c r="V8" s="397" t="s">
        <v>673</v>
      </c>
      <c r="W8" s="396" t="s">
        <v>663</v>
      </c>
      <c r="X8" s="231" t="s">
        <v>46</v>
      </c>
      <c r="Y8" s="231" t="s">
        <v>448</v>
      </c>
      <c r="Z8" s="1184"/>
    </row>
    <row r="9" spans="1:26" s="228" customFormat="1" ht="12.75" customHeight="1">
      <c r="A9" s="229"/>
      <c r="B9" s="230"/>
      <c r="C9" s="226"/>
      <c r="D9" s="226" t="s">
        <v>449</v>
      </c>
      <c r="E9" s="226"/>
      <c r="F9" s="394" t="s">
        <v>655</v>
      </c>
      <c r="G9" s="226"/>
      <c r="H9" s="231"/>
      <c r="I9" s="230"/>
      <c r="J9" s="394"/>
      <c r="K9" s="397" t="s">
        <v>670</v>
      </c>
      <c r="L9" s="394"/>
      <c r="M9" s="657"/>
      <c r="N9" s="657"/>
      <c r="O9" s="657"/>
      <c r="P9" s="230" t="s">
        <v>151</v>
      </c>
      <c r="Q9" s="230"/>
      <c r="R9" s="226"/>
      <c r="S9" s="227"/>
      <c r="T9" s="230" t="s">
        <v>653</v>
      </c>
      <c r="U9" s="397" t="s">
        <v>732</v>
      </c>
      <c r="V9" s="397" t="s">
        <v>668</v>
      </c>
      <c r="W9" s="396" t="s">
        <v>662</v>
      </c>
      <c r="X9" s="231" t="s">
        <v>454</v>
      </c>
      <c r="Y9" s="231" t="s">
        <v>450</v>
      </c>
      <c r="Z9" s="1184"/>
    </row>
    <row r="10" spans="1:26" s="228" customFormat="1" ht="12.75" customHeight="1">
      <c r="A10" s="660" t="s">
        <v>405</v>
      </c>
      <c r="B10" s="230"/>
      <c r="C10" s="226"/>
      <c r="D10" s="226"/>
      <c r="E10" s="226"/>
      <c r="F10" s="394" t="s">
        <v>657</v>
      </c>
      <c r="G10" s="226"/>
      <c r="H10" s="231"/>
      <c r="I10" s="230"/>
      <c r="J10" s="394"/>
      <c r="K10" s="397" t="s">
        <v>452</v>
      </c>
      <c r="L10" s="394"/>
      <c r="M10" s="657"/>
      <c r="N10" s="657"/>
      <c r="O10" s="657"/>
      <c r="P10" s="230"/>
      <c r="Q10" s="230"/>
      <c r="R10" s="226"/>
      <c r="S10" s="227"/>
      <c r="T10" s="230" t="s">
        <v>652</v>
      </c>
      <c r="U10" s="397" t="s">
        <v>730</v>
      </c>
      <c r="V10" s="397" t="s">
        <v>667</v>
      </c>
      <c r="W10" s="396" t="s">
        <v>453</v>
      </c>
      <c r="X10" s="232"/>
      <c r="Y10" s="231" t="s">
        <v>454</v>
      </c>
      <c r="Z10" s="1184"/>
    </row>
    <row r="11" spans="1:26" s="228" customFormat="1" ht="12" customHeight="1">
      <c r="A11" s="1197" t="s">
        <v>451</v>
      </c>
      <c r="B11" s="233"/>
      <c r="C11" s="234"/>
      <c r="D11" s="234"/>
      <c r="E11" s="234"/>
      <c r="F11" s="236"/>
      <c r="G11" s="236"/>
      <c r="H11" s="235"/>
      <c r="I11" s="235"/>
      <c r="J11" s="236"/>
      <c r="K11" s="236"/>
      <c r="L11" s="234"/>
      <c r="M11" s="234"/>
      <c r="N11" s="234"/>
      <c r="O11" s="234"/>
      <c r="P11" s="234"/>
      <c r="Q11" s="234"/>
      <c r="R11" s="234"/>
      <c r="S11" s="236"/>
      <c r="U11" s="236"/>
      <c r="V11" s="397" t="s">
        <v>669</v>
      </c>
      <c r="W11" s="236"/>
      <c r="X11" s="396"/>
      <c r="Y11" s="236"/>
      <c r="Z11" s="1185"/>
    </row>
    <row r="12" spans="1:26" s="239" customFormat="1" ht="11.25">
      <c r="A12" s="237">
        <v>1</v>
      </c>
      <c r="B12" s="238">
        <v>2</v>
      </c>
      <c r="C12" s="238">
        <v>3</v>
      </c>
      <c r="D12" s="238">
        <v>4</v>
      </c>
      <c r="E12" s="238">
        <v>5</v>
      </c>
      <c r="F12" s="238">
        <v>6</v>
      </c>
      <c r="G12" s="238">
        <v>7</v>
      </c>
      <c r="H12" s="238">
        <v>8</v>
      </c>
      <c r="I12" s="238">
        <v>9</v>
      </c>
      <c r="J12" s="238">
        <v>10</v>
      </c>
      <c r="K12" s="238">
        <v>11</v>
      </c>
      <c r="L12" s="238">
        <v>12</v>
      </c>
      <c r="M12" s="238">
        <v>13</v>
      </c>
      <c r="N12" s="238">
        <v>14</v>
      </c>
      <c r="O12" s="238">
        <v>15</v>
      </c>
      <c r="P12" s="238">
        <v>16</v>
      </c>
      <c r="Q12" s="238">
        <v>17</v>
      </c>
      <c r="R12" s="238">
        <v>18</v>
      </c>
      <c r="S12" s="238">
        <v>19</v>
      </c>
      <c r="T12" s="238">
        <v>20</v>
      </c>
      <c r="U12" s="238">
        <v>21</v>
      </c>
      <c r="V12" s="238">
        <v>22</v>
      </c>
      <c r="W12" s="238">
        <v>23</v>
      </c>
      <c r="X12" s="238">
        <v>24</v>
      </c>
      <c r="Y12" s="238">
        <v>25</v>
      </c>
      <c r="Z12" s="1186">
        <v>26</v>
      </c>
    </row>
    <row r="13" spans="1:31" s="242" customFormat="1" ht="19.5" customHeight="1">
      <c r="A13" s="240" t="s">
        <v>455</v>
      </c>
      <c r="B13" s="241">
        <f aca="true" t="shared" si="0" ref="B13:Y13">B14+B175</f>
        <v>1699</v>
      </c>
      <c r="C13" s="241">
        <f t="shared" si="0"/>
        <v>-550</v>
      </c>
      <c r="D13" s="241">
        <f t="shared" si="0"/>
        <v>4</v>
      </c>
      <c r="E13" s="241">
        <f t="shared" si="0"/>
        <v>7900</v>
      </c>
      <c r="F13" s="241">
        <f t="shared" si="0"/>
        <v>2450</v>
      </c>
      <c r="G13" s="241">
        <f t="shared" si="0"/>
        <v>14817</v>
      </c>
      <c r="H13" s="241">
        <f t="shared" si="0"/>
        <v>13648</v>
      </c>
      <c r="I13" s="241">
        <f t="shared" si="0"/>
        <v>2432</v>
      </c>
      <c r="J13" s="241">
        <f t="shared" si="0"/>
        <v>71089</v>
      </c>
      <c r="K13" s="241">
        <f t="shared" si="0"/>
        <v>12000</v>
      </c>
      <c r="L13" s="241">
        <f t="shared" si="0"/>
        <v>3000</v>
      </c>
      <c r="M13" s="241">
        <f t="shared" si="0"/>
        <v>168314</v>
      </c>
      <c r="N13" s="241">
        <f t="shared" si="0"/>
        <v>1706</v>
      </c>
      <c r="O13" s="241">
        <f t="shared" si="0"/>
        <v>35235</v>
      </c>
      <c r="P13" s="241">
        <f t="shared" si="0"/>
        <v>2500</v>
      </c>
      <c r="Q13" s="241">
        <f t="shared" si="0"/>
        <v>2000</v>
      </c>
      <c r="R13" s="241">
        <f t="shared" si="0"/>
        <v>550</v>
      </c>
      <c r="S13" s="241">
        <f t="shared" si="0"/>
        <v>1500</v>
      </c>
      <c r="T13" s="241">
        <f t="shared" si="0"/>
        <v>79548</v>
      </c>
      <c r="U13" s="241">
        <f t="shared" si="0"/>
        <v>1700</v>
      </c>
      <c r="V13" s="241">
        <f t="shared" si="0"/>
        <v>3500</v>
      </c>
      <c r="W13" s="241">
        <f t="shared" si="0"/>
        <v>4750</v>
      </c>
      <c r="X13" s="241">
        <f t="shared" si="0"/>
        <v>151100</v>
      </c>
      <c r="Y13" s="241">
        <f t="shared" si="0"/>
        <v>9800</v>
      </c>
      <c r="Z13" s="1080">
        <f aca="true" t="shared" si="1" ref="Z13:Z44">SUM(B13:Y13)</f>
        <v>590692</v>
      </c>
      <c r="AC13" s="243"/>
      <c r="AD13" s="243"/>
      <c r="AE13" s="243"/>
    </row>
    <row r="14" spans="1:31" s="246" customFormat="1" ht="19.5" customHeight="1" thickBot="1">
      <c r="A14" s="244" t="s">
        <v>192</v>
      </c>
      <c r="B14" s="245">
        <f aca="true" t="shared" si="2" ref="B14:Y14">B15+B83+B108+B91+B103+B168</f>
        <v>1699</v>
      </c>
      <c r="C14" s="245">
        <f t="shared" si="2"/>
        <v>-550</v>
      </c>
      <c r="D14" s="245">
        <f t="shared" si="2"/>
        <v>4</v>
      </c>
      <c r="E14" s="245">
        <f t="shared" si="2"/>
        <v>7900</v>
      </c>
      <c r="F14" s="245">
        <f t="shared" si="2"/>
        <v>2450</v>
      </c>
      <c r="G14" s="245">
        <f t="shared" si="2"/>
        <v>14817</v>
      </c>
      <c r="H14" s="245">
        <f t="shared" si="2"/>
        <v>13648</v>
      </c>
      <c r="I14" s="245">
        <f t="shared" si="2"/>
        <v>2432</v>
      </c>
      <c r="J14" s="245">
        <f t="shared" si="2"/>
        <v>69939</v>
      </c>
      <c r="K14" s="245">
        <f t="shared" si="2"/>
        <v>12000</v>
      </c>
      <c r="L14" s="245">
        <f t="shared" si="2"/>
        <v>3000</v>
      </c>
      <c r="M14" s="245">
        <f t="shared" si="2"/>
        <v>168314</v>
      </c>
      <c r="N14" s="245">
        <f t="shared" si="2"/>
        <v>1706</v>
      </c>
      <c r="O14" s="245">
        <f t="shared" si="2"/>
        <v>35205</v>
      </c>
      <c r="P14" s="245">
        <f t="shared" si="2"/>
        <v>2500</v>
      </c>
      <c r="Q14" s="245">
        <f t="shared" si="2"/>
        <v>2000</v>
      </c>
      <c r="R14" s="245">
        <f t="shared" si="2"/>
        <v>550</v>
      </c>
      <c r="S14" s="245">
        <f t="shared" si="2"/>
        <v>1500</v>
      </c>
      <c r="T14" s="245">
        <f t="shared" si="2"/>
        <v>79548</v>
      </c>
      <c r="U14" s="245">
        <f t="shared" si="2"/>
        <v>1700</v>
      </c>
      <c r="V14" s="245">
        <f t="shared" si="2"/>
        <v>3430</v>
      </c>
      <c r="W14" s="245">
        <f t="shared" si="2"/>
        <v>4750</v>
      </c>
      <c r="X14" s="245">
        <f t="shared" si="2"/>
        <v>151100</v>
      </c>
      <c r="Y14" s="245">
        <f t="shared" si="2"/>
        <v>9800</v>
      </c>
      <c r="Z14" s="1187">
        <f t="shared" si="1"/>
        <v>589442</v>
      </c>
      <c r="AC14" s="247"/>
      <c r="AD14" s="247"/>
      <c r="AE14" s="247"/>
    </row>
    <row r="15" spans="1:29" s="866" customFormat="1" ht="22.5" customHeight="1" thickBot="1" thickTop="1">
      <c r="A15" s="865" t="s">
        <v>456</v>
      </c>
      <c r="B15" s="178">
        <f>B16+B26+B29+B31+B37+B48+B55+B61+B35+B44+B46+B67</f>
        <v>4835</v>
      </c>
      <c r="C15" s="178">
        <f>C16+C26+C29+C31+C37+C48+C55+C61+C35+C44+C46+C67</f>
        <v>335</v>
      </c>
      <c r="D15" s="178">
        <f>D16+D26+D29+D31+D37+D48+D55+D61+D35+D44+D46+D67</f>
        <v>45</v>
      </c>
      <c r="E15" s="178">
        <f>E16+E26+E29+E31+E37+E48+E55+E61+E35+E44+E46+E67</f>
        <v>7900</v>
      </c>
      <c r="F15" s="178">
        <f>F16+F26+F29+F31+F37+F48+F55+F61+F35+F44+F46+F67</f>
        <v>2450</v>
      </c>
      <c r="G15" s="178"/>
      <c r="H15" s="178"/>
      <c r="I15" s="178"/>
      <c r="J15" s="178">
        <f>J16+J26+J29+J31+J37+J48+J55+J61+J35+J44+J46+J67</f>
        <v>47593</v>
      </c>
      <c r="K15" s="178"/>
      <c r="L15" s="178"/>
      <c r="M15" s="178">
        <f>M16+M26+M29+M31+M37+M48+M55+M61+M35+M44+M46+M67</f>
        <v>164314</v>
      </c>
      <c r="N15" s="178">
        <f>N16+N26+N29+N31+N37+N48+N55+N61+N35+N44+N46+N67</f>
        <v>1706</v>
      </c>
      <c r="O15" s="178">
        <f>O16+O26+O29+O31+O37+O48+O55+O61+O35+O44+O46+O67</f>
        <v>36173</v>
      </c>
      <c r="P15" s="178"/>
      <c r="Q15" s="178">
        <f aca="true" t="shared" si="3" ref="Q15:Y15">Q16+Q26+Q29+Q31+Q37+Q48+Q55+Q61+Q35+Q44+Q46+Q67</f>
        <v>2000</v>
      </c>
      <c r="R15" s="178">
        <f t="shared" si="3"/>
        <v>550</v>
      </c>
      <c r="S15" s="178">
        <f t="shared" si="3"/>
        <v>1500</v>
      </c>
      <c r="T15" s="178">
        <f t="shared" si="3"/>
        <v>74789</v>
      </c>
      <c r="U15" s="178">
        <f t="shared" si="3"/>
        <v>1700</v>
      </c>
      <c r="V15" s="178">
        <f t="shared" si="3"/>
        <v>3500</v>
      </c>
      <c r="W15" s="178">
        <f t="shared" si="3"/>
        <v>1750</v>
      </c>
      <c r="X15" s="178">
        <f t="shared" si="3"/>
        <v>4100</v>
      </c>
      <c r="Y15" s="178">
        <f t="shared" si="3"/>
        <v>9800</v>
      </c>
      <c r="Z15" s="1188">
        <f t="shared" si="1"/>
        <v>365040</v>
      </c>
      <c r="AC15" s="867"/>
    </row>
    <row r="16" spans="1:26" s="179" customFormat="1" ht="18" customHeight="1" thickBot="1">
      <c r="A16" s="868" t="s">
        <v>459</v>
      </c>
      <c r="B16" s="441"/>
      <c r="C16" s="441"/>
      <c r="D16" s="441"/>
      <c r="E16" s="441"/>
      <c r="F16" s="441"/>
      <c r="G16" s="441"/>
      <c r="H16" s="441"/>
      <c r="I16" s="441"/>
      <c r="J16" s="441">
        <f>SUM(J17:J25)</f>
        <v>13193</v>
      </c>
      <c r="K16" s="441"/>
      <c r="L16" s="441"/>
      <c r="M16" s="441">
        <f>SUM(M17:M25)</f>
        <v>23701</v>
      </c>
      <c r="N16" s="441">
        <f>SUM(N17:N25)</f>
        <v>1206</v>
      </c>
      <c r="O16" s="441">
        <f>SUM(O17:O25)</f>
        <v>6500</v>
      </c>
      <c r="P16" s="441"/>
      <c r="Q16" s="441"/>
      <c r="R16" s="441"/>
      <c r="S16" s="441">
        <f>SUM(S17:S25)</f>
        <v>1500</v>
      </c>
      <c r="T16" s="441">
        <f>SUM(T17:T25)</f>
        <v>34325</v>
      </c>
      <c r="U16" s="441">
        <f>SUM(U17:U25)</f>
        <v>-2600</v>
      </c>
      <c r="V16" s="441"/>
      <c r="W16" s="441"/>
      <c r="X16" s="441"/>
      <c r="Y16" s="441"/>
      <c r="Z16" s="1189">
        <f t="shared" si="1"/>
        <v>77825</v>
      </c>
    </row>
    <row r="17" spans="1:26" s="184" customFormat="1" ht="18" customHeight="1">
      <c r="A17" s="869" t="s">
        <v>463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>
        <v>5394</v>
      </c>
      <c r="N17" s="181">
        <v>-1294</v>
      </c>
      <c r="O17" s="181">
        <v>-1500</v>
      </c>
      <c r="P17" s="181"/>
      <c r="Q17" s="181"/>
      <c r="R17" s="181"/>
      <c r="S17" s="181"/>
      <c r="T17" s="181"/>
      <c r="U17" s="181">
        <v>-2600</v>
      </c>
      <c r="V17" s="181"/>
      <c r="W17" s="181"/>
      <c r="X17" s="181"/>
      <c r="Y17" s="181"/>
      <c r="Z17" s="1080">
        <f t="shared" si="1"/>
        <v>0</v>
      </c>
    </row>
    <row r="18" spans="1:26" s="184" customFormat="1" ht="18" customHeight="1">
      <c r="A18" s="869" t="s">
        <v>465</v>
      </c>
      <c r="B18" s="181"/>
      <c r="C18" s="181"/>
      <c r="D18" s="181"/>
      <c r="E18" s="181"/>
      <c r="F18" s="181"/>
      <c r="G18" s="181"/>
      <c r="H18" s="181"/>
      <c r="I18" s="181"/>
      <c r="J18" s="181">
        <v>5000</v>
      </c>
      <c r="K18" s="181"/>
      <c r="L18" s="181"/>
      <c r="M18" s="181"/>
      <c r="N18" s="181">
        <v>2000</v>
      </c>
      <c r="O18" s="181">
        <v>10000</v>
      </c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080">
        <f t="shared" si="1"/>
        <v>17000</v>
      </c>
    </row>
    <row r="19" spans="1:26" s="184" customFormat="1" ht="18" customHeight="1">
      <c r="A19" s="1015" t="s">
        <v>618</v>
      </c>
      <c r="B19" s="181"/>
      <c r="C19" s="181"/>
      <c r="D19" s="181"/>
      <c r="E19" s="181"/>
      <c r="F19" s="181"/>
      <c r="G19" s="181"/>
      <c r="H19" s="181"/>
      <c r="I19" s="181"/>
      <c r="J19" s="181">
        <v>1000</v>
      </c>
      <c r="K19" s="181"/>
      <c r="L19" s="181"/>
      <c r="M19" s="181"/>
      <c r="N19" s="181"/>
      <c r="O19" s="181">
        <v>1000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080">
        <f t="shared" si="1"/>
        <v>2000</v>
      </c>
    </row>
    <row r="20" spans="1:26" s="184" customFormat="1" ht="18" customHeight="1">
      <c r="A20" s="1014" t="s">
        <v>619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>
        <v>34325</v>
      </c>
      <c r="U20" s="181"/>
      <c r="V20" s="181"/>
      <c r="W20" s="181"/>
      <c r="X20" s="181"/>
      <c r="Y20" s="181"/>
      <c r="Z20" s="1080">
        <f t="shared" si="1"/>
        <v>34325</v>
      </c>
    </row>
    <row r="21" spans="1:26" s="184" customFormat="1" ht="18" customHeight="1">
      <c r="A21" s="870" t="s">
        <v>469</v>
      </c>
      <c r="B21" s="181"/>
      <c r="C21" s="181"/>
      <c r="D21" s="181"/>
      <c r="E21" s="181"/>
      <c r="F21" s="181"/>
      <c r="G21" s="181"/>
      <c r="H21" s="181"/>
      <c r="I21" s="181"/>
      <c r="J21" s="181">
        <v>1693</v>
      </c>
      <c r="K21" s="181"/>
      <c r="L21" s="181"/>
      <c r="M21" s="181">
        <v>-1693</v>
      </c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080">
        <f t="shared" si="1"/>
        <v>0</v>
      </c>
    </row>
    <row r="22" spans="1:26" s="184" customFormat="1" ht="18" customHeight="1">
      <c r="A22" s="869" t="s">
        <v>471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>
        <v>2000</v>
      </c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080">
        <f t="shared" si="1"/>
        <v>2000</v>
      </c>
    </row>
    <row r="23" spans="1:26" s="184" customFormat="1" ht="18" customHeight="1">
      <c r="A23" s="870" t="s">
        <v>475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>
        <f>15000+3000</f>
        <v>18000</v>
      </c>
      <c r="N23" s="181"/>
      <c r="O23" s="181">
        <v>-3000</v>
      </c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080">
        <f t="shared" si="1"/>
        <v>15000</v>
      </c>
    </row>
    <row r="24" spans="1:26" s="184" customFormat="1" ht="18" customHeight="1">
      <c r="A24" s="869" t="s">
        <v>476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>
        <v>1500</v>
      </c>
      <c r="T24" s="181"/>
      <c r="U24" s="181"/>
      <c r="V24" s="181"/>
      <c r="W24" s="181"/>
      <c r="X24" s="181"/>
      <c r="Y24" s="181"/>
      <c r="Z24" s="1080">
        <f t="shared" si="1"/>
        <v>1500</v>
      </c>
    </row>
    <row r="25" spans="1:26" s="184" customFormat="1" ht="18" customHeight="1" thickBot="1">
      <c r="A25" s="1017" t="s">
        <v>241</v>
      </c>
      <c r="B25" s="392"/>
      <c r="C25" s="392"/>
      <c r="D25" s="392"/>
      <c r="E25" s="392"/>
      <c r="F25" s="392"/>
      <c r="G25" s="392"/>
      <c r="H25" s="392"/>
      <c r="I25" s="392"/>
      <c r="J25" s="392">
        <v>5500</v>
      </c>
      <c r="K25" s="392"/>
      <c r="L25" s="392"/>
      <c r="M25" s="392"/>
      <c r="N25" s="392">
        <v>500</v>
      </c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1080">
        <f t="shared" si="1"/>
        <v>6000</v>
      </c>
    </row>
    <row r="26" spans="1:26" s="179" customFormat="1" ht="26.25" thickBot="1">
      <c r="A26" s="871" t="s">
        <v>258</v>
      </c>
      <c r="B26" s="441"/>
      <c r="C26" s="441"/>
      <c r="D26" s="441"/>
      <c r="E26" s="441"/>
      <c r="F26" s="441">
        <f>SUM(F27:F28)</f>
        <v>2450</v>
      </c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1189">
        <f t="shared" si="1"/>
        <v>2450</v>
      </c>
    </row>
    <row r="27" spans="1:26" s="184" customFormat="1" ht="18" customHeight="1">
      <c r="A27" s="869" t="s">
        <v>461</v>
      </c>
      <c r="B27" s="181"/>
      <c r="C27" s="181"/>
      <c r="D27" s="181"/>
      <c r="E27" s="181"/>
      <c r="F27" s="181">
        <v>950</v>
      </c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080">
        <f t="shared" si="1"/>
        <v>950</v>
      </c>
    </row>
    <row r="28" spans="1:26" s="184" customFormat="1" ht="18" customHeight="1" thickBot="1">
      <c r="A28" s="1019" t="s">
        <v>242</v>
      </c>
      <c r="B28" s="181"/>
      <c r="C28" s="181"/>
      <c r="D28" s="181"/>
      <c r="E28" s="181"/>
      <c r="F28" s="181">
        <v>1500</v>
      </c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080">
        <f t="shared" si="1"/>
        <v>1500</v>
      </c>
    </row>
    <row r="29" spans="1:26" s="179" customFormat="1" ht="18" customHeight="1" thickBot="1">
      <c r="A29" s="871" t="s">
        <v>244</v>
      </c>
      <c r="B29" s="441"/>
      <c r="C29" s="441"/>
      <c r="D29" s="441"/>
      <c r="E29" s="441"/>
      <c r="F29" s="441"/>
      <c r="G29" s="441"/>
      <c r="H29" s="441"/>
      <c r="I29" s="441"/>
      <c r="J29" s="441">
        <f>J30</f>
        <v>7500</v>
      </c>
      <c r="K29" s="441"/>
      <c r="L29" s="441"/>
      <c r="M29" s="441"/>
      <c r="N29" s="441">
        <f>N30</f>
        <v>500</v>
      </c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1189">
        <f t="shared" si="1"/>
        <v>8000</v>
      </c>
    </row>
    <row r="30" spans="1:50" s="1022" customFormat="1" ht="18" customHeight="1" thickBot="1">
      <c r="A30" s="1020" t="s">
        <v>245</v>
      </c>
      <c r="B30" s="393"/>
      <c r="C30" s="393"/>
      <c r="D30" s="393"/>
      <c r="E30" s="393"/>
      <c r="F30" s="393"/>
      <c r="G30" s="393"/>
      <c r="H30" s="393"/>
      <c r="I30" s="393"/>
      <c r="J30" s="393">
        <v>7500</v>
      </c>
      <c r="K30" s="393"/>
      <c r="L30" s="393"/>
      <c r="M30" s="393"/>
      <c r="N30" s="393">
        <v>500</v>
      </c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1021">
        <f t="shared" si="1"/>
        <v>8000</v>
      </c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</row>
    <row r="31" spans="1:26" s="184" customFormat="1" ht="18" customHeight="1" thickBot="1">
      <c r="A31" s="868" t="s">
        <v>483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>
        <f>SUM(M32:M34)</f>
        <v>40000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>
        <f>SUM(W32:W34)</f>
        <v>1750</v>
      </c>
      <c r="X31" s="180"/>
      <c r="Y31" s="180"/>
      <c r="Z31" s="938">
        <f t="shared" si="1"/>
        <v>41750</v>
      </c>
    </row>
    <row r="32" spans="1:30" s="873" customFormat="1" ht="18" customHeight="1">
      <c r="A32" s="1062" t="s">
        <v>490</v>
      </c>
      <c r="B32" s="181"/>
      <c r="C32" s="1063"/>
      <c r="D32" s="1063"/>
      <c r="E32" s="1063"/>
      <c r="F32" s="1063"/>
      <c r="G32" s="1063"/>
      <c r="H32" s="181"/>
      <c r="I32" s="181"/>
      <c r="J32" s="1063"/>
      <c r="K32" s="1063"/>
      <c r="L32" s="1063"/>
      <c r="M32" s="1064"/>
      <c r="N32" s="1064"/>
      <c r="O32" s="1063"/>
      <c r="P32" s="1063"/>
      <c r="Q32" s="1063"/>
      <c r="R32" s="1063"/>
      <c r="S32" s="181"/>
      <c r="T32" s="181"/>
      <c r="U32" s="1063"/>
      <c r="V32" s="1063"/>
      <c r="W32" s="181">
        <v>750</v>
      </c>
      <c r="X32" s="181"/>
      <c r="Y32" s="1063"/>
      <c r="Z32" s="1190">
        <f t="shared" si="1"/>
        <v>750</v>
      </c>
      <c r="AD32" s="1065"/>
    </row>
    <row r="33" spans="1:30" s="873" customFormat="1" ht="18" customHeight="1">
      <c r="A33" s="1062" t="s">
        <v>494</v>
      </c>
      <c r="B33" s="181"/>
      <c r="C33" s="1063"/>
      <c r="D33" s="1063"/>
      <c r="E33" s="1063"/>
      <c r="F33" s="1063"/>
      <c r="G33" s="1063"/>
      <c r="H33" s="181"/>
      <c r="I33" s="181"/>
      <c r="J33" s="1063"/>
      <c r="K33" s="1063"/>
      <c r="L33" s="1063"/>
      <c r="M33" s="1064"/>
      <c r="N33" s="1064"/>
      <c r="O33" s="1063"/>
      <c r="P33" s="1063"/>
      <c r="Q33" s="1063"/>
      <c r="R33" s="1063"/>
      <c r="S33" s="181"/>
      <c r="T33" s="181"/>
      <c r="U33" s="1063"/>
      <c r="V33" s="1063"/>
      <c r="W33" s="181">
        <v>1000</v>
      </c>
      <c r="X33" s="181"/>
      <c r="Y33" s="1063"/>
      <c r="Z33" s="1190">
        <f t="shared" si="1"/>
        <v>1000</v>
      </c>
      <c r="AD33" s="1065"/>
    </row>
    <row r="34" spans="1:30" s="873" customFormat="1" ht="18" customHeight="1" thickBot="1">
      <c r="A34" s="1066" t="s">
        <v>496</v>
      </c>
      <c r="B34" s="181"/>
      <c r="C34" s="1063"/>
      <c r="D34" s="1063"/>
      <c r="E34" s="1063"/>
      <c r="F34" s="1063"/>
      <c r="G34" s="1063"/>
      <c r="H34" s="181"/>
      <c r="I34" s="181"/>
      <c r="J34" s="1063"/>
      <c r="K34" s="1063"/>
      <c r="L34" s="1063"/>
      <c r="M34" s="1064">
        <v>40000</v>
      </c>
      <c r="N34" s="1064"/>
      <c r="O34" s="1063"/>
      <c r="P34" s="1063"/>
      <c r="Q34" s="1063"/>
      <c r="R34" s="1063"/>
      <c r="S34" s="181"/>
      <c r="T34" s="181"/>
      <c r="U34" s="1063"/>
      <c r="V34" s="1063"/>
      <c r="W34" s="181"/>
      <c r="X34" s="181"/>
      <c r="Y34" s="1063"/>
      <c r="Z34" s="1191">
        <f t="shared" si="1"/>
        <v>40000</v>
      </c>
      <c r="AD34" s="1065"/>
    </row>
    <row r="35" spans="1:26" s="179" customFormat="1" ht="18" customHeight="1" thickBot="1">
      <c r="A35" s="871" t="s">
        <v>248</v>
      </c>
      <c r="B35" s="441"/>
      <c r="C35" s="441"/>
      <c r="D35" s="441"/>
      <c r="E35" s="441"/>
      <c r="F35" s="441"/>
      <c r="G35" s="441"/>
      <c r="H35" s="441"/>
      <c r="I35" s="441"/>
      <c r="J35" s="441">
        <f>J36</f>
        <v>3500</v>
      </c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>
        <f>V36</f>
        <v>3500</v>
      </c>
      <c r="W35" s="441"/>
      <c r="X35" s="441"/>
      <c r="Y35" s="441"/>
      <c r="Z35" s="1147">
        <f t="shared" si="1"/>
        <v>7000</v>
      </c>
    </row>
    <row r="36" spans="1:26" s="184" customFormat="1" ht="18" customHeight="1" thickBot="1">
      <c r="A36" s="872" t="s">
        <v>497</v>
      </c>
      <c r="B36" s="393"/>
      <c r="C36" s="393"/>
      <c r="D36" s="393"/>
      <c r="E36" s="393"/>
      <c r="F36" s="393"/>
      <c r="G36" s="393"/>
      <c r="H36" s="393"/>
      <c r="I36" s="393"/>
      <c r="J36" s="393">
        <v>3500</v>
      </c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>
        <v>3500</v>
      </c>
      <c r="W36" s="393"/>
      <c r="X36" s="393"/>
      <c r="Y36" s="393"/>
      <c r="Z36" s="1192">
        <f t="shared" si="1"/>
        <v>7000</v>
      </c>
    </row>
    <row r="37" spans="1:26" s="179" customFormat="1" ht="18" customHeight="1" thickBot="1">
      <c r="A37" s="871" t="s">
        <v>140</v>
      </c>
      <c r="B37" s="441"/>
      <c r="C37" s="441"/>
      <c r="D37" s="441"/>
      <c r="E37" s="441">
        <f>SUM(E38:E43)</f>
        <v>7900</v>
      </c>
      <c r="F37" s="441"/>
      <c r="G37" s="441"/>
      <c r="H37" s="441"/>
      <c r="I37" s="441"/>
      <c r="J37" s="441">
        <f>SUM(J38:J43)</f>
        <v>10700</v>
      </c>
      <c r="K37" s="441"/>
      <c r="L37" s="441"/>
      <c r="M37" s="441">
        <f>SUM(M38:M43)</f>
        <v>52620</v>
      </c>
      <c r="N37" s="441"/>
      <c r="O37" s="441"/>
      <c r="P37" s="441"/>
      <c r="Q37" s="441"/>
      <c r="R37" s="441"/>
      <c r="S37" s="441"/>
      <c r="T37" s="441">
        <f>SUM(T38:T43)</f>
        <v>14464</v>
      </c>
      <c r="U37" s="441"/>
      <c r="V37" s="441"/>
      <c r="W37" s="441"/>
      <c r="X37" s="441">
        <f>SUM(X38:X43)</f>
        <v>4100</v>
      </c>
      <c r="Y37" s="441"/>
      <c r="Z37" s="1189">
        <f t="shared" si="1"/>
        <v>89784</v>
      </c>
    </row>
    <row r="38" spans="1:26" s="184" customFormat="1" ht="18" customHeight="1">
      <c r="A38" s="872" t="s">
        <v>499</v>
      </c>
      <c r="B38" s="393"/>
      <c r="C38" s="393"/>
      <c r="D38" s="393"/>
      <c r="E38" s="393">
        <v>7900</v>
      </c>
      <c r="F38" s="393"/>
      <c r="G38" s="393"/>
      <c r="H38" s="393"/>
      <c r="I38" s="393"/>
      <c r="J38" s="393">
        <v>4700</v>
      </c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1193">
        <f t="shared" si="1"/>
        <v>12600</v>
      </c>
    </row>
    <row r="39" spans="1:26" s="184" customFormat="1" ht="18" customHeight="1">
      <c r="A39" s="1024" t="s">
        <v>501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>
        <v>50720</v>
      </c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1080">
        <f t="shared" si="1"/>
        <v>50720</v>
      </c>
    </row>
    <row r="40" spans="1:26" s="184" customFormat="1" ht="18" customHeight="1">
      <c r="A40" s="1025" t="s">
        <v>504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>
        <v>-4100</v>
      </c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>
        <v>4100</v>
      </c>
      <c r="Y40" s="392"/>
      <c r="Z40" s="1167">
        <f t="shared" si="1"/>
        <v>0</v>
      </c>
    </row>
    <row r="41" spans="1:26" s="184" customFormat="1" ht="18" customHeight="1">
      <c r="A41" s="1016" t="s">
        <v>509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>
        <v>6000</v>
      </c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080">
        <f t="shared" si="1"/>
        <v>6000</v>
      </c>
    </row>
    <row r="42" spans="1:26" s="184" customFormat="1" ht="18" customHeight="1">
      <c r="A42" s="1016" t="s">
        <v>513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>
        <v>14464</v>
      </c>
      <c r="U42" s="181"/>
      <c r="V42" s="181"/>
      <c r="W42" s="181"/>
      <c r="X42" s="181"/>
      <c r="Y42" s="181"/>
      <c r="Z42" s="1080">
        <f t="shared" si="1"/>
        <v>14464</v>
      </c>
    </row>
    <row r="43" spans="1:26" s="184" customFormat="1" ht="18" customHeight="1" thickBot="1">
      <c r="A43" s="410" t="s">
        <v>516</v>
      </c>
      <c r="B43" s="392"/>
      <c r="C43" s="392"/>
      <c r="D43" s="392"/>
      <c r="E43" s="392"/>
      <c r="F43" s="392"/>
      <c r="G43" s="392"/>
      <c r="H43" s="392"/>
      <c r="I43" s="392"/>
      <c r="J43" s="392">
        <v>6000</v>
      </c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1167">
        <f t="shared" si="1"/>
        <v>6000</v>
      </c>
    </row>
    <row r="44" spans="1:26" s="179" customFormat="1" ht="18" customHeight="1" thickBot="1">
      <c r="A44" s="871" t="s">
        <v>249</v>
      </c>
      <c r="B44" s="441"/>
      <c r="C44" s="441"/>
      <c r="D44" s="441"/>
      <c r="E44" s="441"/>
      <c r="F44" s="441"/>
      <c r="G44" s="441"/>
      <c r="H44" s="441"/>
      <c r="I44" s="441"/>
      <c r="J44" s="441">
        <f>J45</f>
        <v>2000</v>
      </c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1150">
        <f t="shared" si="1"/>
        <v>2000</v>
      </c>
    </row>
    <row r="45" spans="1:26" s="184" customFormat="1" ht="18" customHeight="1" thickBot="1">
      <c r="A45" s="1020" t="s">
        <v>250</v>
      </c>
      <c r="B45" s="393"/>
      <c r="C45" s="393"/>
      <c r="D45" s="393"/>
      <c r="E45" s="393"/>
      <c r="F45" s="393"/>
      <c r="G45" s="393"/>
      <c r="H45" s="393"/>
      <c r="I45" s="393"/>
      <c r="J45" s="393">
        <v>2000</v>
      </c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938">
        <f aca="true" t="shared" si="4" ref="Z45:Z76">SUM(B45:Y45)</f>
        <v>2000</v>
      </c>
    </row>
    <row r="46" spans="1:26" s="179" customFormat="1" ht="18" customHeight="1" thickBot="1">
      <c r="A46" s="871" t="s">
        <v>251</v>
      </c>
      <c r="B46" s="441"/>
      <c r="C46" s="441"/>
      <c r="D46" s="441"/>
      <c r="E46" s="441"/>
      <c r="F46" s="441"/>
      <c r="G46" s="441"/>
      <c r="H46" s="441"/>
      <c r="I46" s="441"/>
      <c r="J46" s="441">
        <f>J47</f>
        <v>1700</v>
      </c>
      <c r="K46" s="441"/>
      <c r="L46" s="441"/>
      <c r="M46" s="441"/>
      <c r="N46" s="441"/>
      <c r="O46" s="441">
        <f>O47</f>
        <v>17673</v>
      </c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1149">
        <f t="shared" si="4"/>
        <v>19373</v>
      </c>
    </row>
    <row r="47" spans="1:26" s="184" customFormat="1" ht="18" customHeight="1" thickBot="1">
      <c r="A47" s="1020" t="s">
        <v>647</v>
      </c>
      <c r="B47" s="393"/>
      <c r="C47" s="393"/>
      <c r="D47" s="393"/>
      <c r="E47" s="393"/>
      <c r="F47" s="393"/>
      <c r="G47" s="393"/>
      <c r="H47" s="393"/>
      <c r="I47" s="393"/>
      <c r="J47" s="393">
        <v>1700</v>
      </c>
      <c r="K47" s="393"/>
      <c r="L47" s="393"/>
      <c r="M47" s="393"/>
      <c r="N47" s="393"/>
      <c r="O47" s="393">
        <v>17673</v>
      </c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1148">
        <f t="shared" si="4"/>
        <v>19373</v>
      </c>
    </row>
    <row r="48" spans="1:26" s="179" customFormat="1" ht="18" customHeight="1" thickBot="1">
      <c r="A48" s="871" t="s">
        <v>517</v>
      </c>
      <c r="B48" s="441">
        <f>SUM(B49:B54)</f>
        <v>5007</v>
      </c>
      <c r="C48" s="441"/>
      <c r="D48" s="441"/>
      <c r="E48" s="441"/>
      <c r="F48" s="441"/>
      <c r="G48" s="441"/>
      <c r="H48" s="441"/>
      <c r="I48" s="441"/>
      <c r="J48" s="441">
        <f>SUM(J49:J54)</f>
        <v>9000</v>
      </c>
      <c r="K48" s="441"/>
      <c r="L48" s="441"/>
      <c r="M48" s="441">
        <f>SUM(M49:M54)</f>
        <v>24993</v>
      </c>
      <c r="N48" s="441"/>
      <c r="O48" s="441">
        <f>SUM(O49:O54)</f>
        <v>3500</v>
      </c>
      <c r="P48" s="441"/>
      <c r="Q48" s="441"/>
      <c r="R48" s="441"/>
      <c r="S48" s="441"/>
      <c r="T48" s="441">
        <f>SUM(T49:T54)</f>
        <v>26000</v>
      </c>
      <c r="U48" s="441"/>
      <c r="V48" s="441"/>
      <c r="W48" s="441"/>
      <c r="X48" s="441"/>
      <c r="Y48" s="441">
        <f>SUM(Y49:Y54)</f>
        <v>1800</v>
      </c>
      <c r="Z48" s="1189">
        <f t="shared" si="4"/>
        <v>70300</v>
      </c>
    </row>
    <row r="49" spans="1:26" s="184" customFormat="1" ht="18" customHeight="1">
      <c r="A49" s="1032" t="s">
        <v>518</v>
      </c>
      <c r="B49" s="1033">
        <v>5007</v>
      </c>
      <c r="C49" s="1033"/>
      <c r="D49" s="1033"/>
      <c r="E49" s="1033"/>
      <c r="F49" s="1033"/>
      <c r="G49" s="1033"/>
      <c r="H49" s="1033"/>
      <c r="I49" s="1033"/>
      <c r="J49" s="1033"/>
      <c r="K49" s="1033"/>
      <c r="L49" s="1033"/>
      <c r="M49" s="1033">
        <v>-5007</v>
      </c>
      <c r="N49" s="1033"/>
      <c r="O49" s="1033"/>
      <c r="P49" s="1033"/>
      <c r="Q49" s="1033"/>
      <c r="R49" s="1033"/>
      <c r="S49" s="1033"/>
      <c r="T49" s="1033"/>
      <c r="U49" s="1033"/>
      <c r="V49" s="1033"/>
      <c r="W49" s="1033"/>
      <c r="X49" s="1033"/>
      <c r="Y49" s="1033"/>
      <c r="Z49" s="1193">
        <f t="shared" si="4"/>
        <v>0</v>
      </c>
    </row>
    <row r="50" spans="1:26" s="184" customFormat="1" ht="18" customHeight="1">
      <c r="A50" s="1031" t="s">
        <v>520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>
        <v>30000</v>
      </c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152">
        <f t="shared" si="4"/>
        <v>30000</v>
      </c>
    </row>
    <row r="51" spans="1:26" s="184" customFormat="1" ht="18" customHeight="1">
      <c r="A51" s="1153" t="s">
        <v>521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>
        <v>1800</v>
      </c>
      <c r="Z51" s="1152">
        <f t="shared" si="4"/>
        <v>1800</v>
      </c>
    </row>
    <row r="52" spans="1:26" s="184" customFormat="1" ht="18" customHeight="1">
      <c r="A52" s="1034" t="s">
        <v>253</v>
      </c>
      <c r="B52" s="181"/>
      <c r="C52" s="181"/>
      <c r="D52" s="181"/>
      <c r="E52" s="181"/>
      <c r="F52" s="181"/>
      <c r="G52" s="181"/>
      <c r="H52" s="181"/>
      <c r="I52" s="181"/>
      <c r="J52" s="181">
        <v>8000</v>
      </c>
      <c r="K52" s="181"/>
      <c r="L52" s="181"/>
      <c r="M52" s="181"/>
      <c r="N52" s="181"/>
      <c r="O52" s="181">
        <v>2500</v>
      </c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152">
        <f t="shared" si="4"/>
        <v>10500</v>
      </c>
    </row>
    <row r="53" spans="1:26" s="184" customFormat="1" ht="18" customHeight="1">
      <c r="A53" s="1019" t="s">
        <v>254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>
        <v>20000</v>
      </c>
      <c r="U53" s="181"/>
      <c r="V53" s="181"/>
      <c r="W53" s="181"/>
      <c r="X53" s="181"/>
      <c r="Y53" s="181"/>
      <c r="Z53" s="1152">
        <f t="shared" si="4"/>
        <v>20000</v>
      </c>
    </row>
    <row r="54" spans="1:26" s="184" customFormat="1" ht="18" customHeight="1" thickBot="1">
      <c r="A54" s="1151" t="s">
        <v>255</v>
      </c>
      <c r="B54" s="392"/>
      <c r="C54" s="392"/>
      <c r="D54" s="392"/>
      <c r="E54" s="392"/>
      <c r="F54" s="392"/>
      <c r="G54" s="392"/>
      <c r="H54" s="392"/>
      <c r="I54" s="392"/>
      <c r="J54" s="392">
        <v>1000</v>
      </c>
      <c r="K54" s="392"/>
      <c r="L54" s="392"/>
      <c r="M54" s="392"/>
      <c r="N54" s="392"/>
      <c r="O54" s="392">
        <v>1000</v>
      </c>
      <c r="P54" s="392"/>
      <c r="Q54" s="392"/>
      <c r="R54" s="392"/>
      <c r="S54" s="392"/>
      <c r="T54" s="392">
        <v>6000</v>
      </c>
      <c r="U54" s="392"/>
      <c r="V54" s="392"/>
      <c r="W54" s="392"/>
      <c r="X54" s="392"/>
      <c r="Y54" s="392"/>
      <c r="Z54" s="1167">
        <f t="shared" si="4"/>
        <v>8000</v>
      </c>
    </row>
    <row r="55" spans="1:29" s="873" customFormat="1" ht="18" customHeight="1" thickBot="1">
      <c r="A55" s="868" t="s">
        <v>526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>
        <f>SUM(M56:M60)</f>
        <v>23000</v>
      </c>
      <c r="N55" s="442"/>
      <c r="O55" s="442">
        <f>SUM(O56:O60)</f>
        <v>8500</v>
      </c>
      <c r="P55" s="442"/>
      <c r="Q55" s="442">
        <f>SUM(Q56:Q60)</f>
        <v>2000</v>
      </c>
      <c r="R55" s="442"/>
      <c r="S55" s="442"/>
      <c r="T55" s="442"/>
      <c r="U55" s="442"/>
      <c r="V55" s="442"/>
      <c r="W55" s="442"/>
      <c r="X55" s="442"/>
      <c r="Y55" s="442">
        <f>SUM(Y56:Y60)</f>
        <v>8000</v>
      </c>
      <c r="Z55" s="1156">
        <f t="shared" si="4"/>
        <v>41500</v>
      </c>
      <c r="AA55" s="184"/>
      <c r="AB55" s="184"/>
      <c r="AC55" s="184"/>
    </row>
    <row r="56" spans="1:26" s="873" customFormat="1" ht="18" customHeight="1">
      <c r="A56" s="1015" t="s">
        <v>529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>
        <v>23000</v>
      </c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1194">
        <f t="shared" si="4"/>
        <v>23000</v>
      </c>
    </row>
    <row r="57" spans="1:26" s="873" customFormat="1" ht="18" customHeight="1">
      <c r="A57" s="1034" t="s">
        <v>143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>
        <v>8000</v>
      </c>
      <c r="Z57" s="650">
        <f t="shared" si="4"/>
        <v>8000</v>
      </c>
    </row>
    <row r="58" spans="1:26" s="184" customFormat="1" ht="18" customHeight="1">
      <c r="A58" s="1154" t="s">
        <v>528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>
        <v>6000</v>
      </c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650">
        <f t="shared" si="4"/>
        <v>6000</v>
      </c>
    </row>
    <row r="59" spans="1:26" s="184" customFormat="1" ht="18" customHeight="1">
      <c r="A59" s="1016" t="s">
        <v>144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>
        <v>2000</v>
      </c>
      <c r="R59" s="181"/>
      <c r="S59" s="181"/>
      <c r="T59" s="181"/>
      <c r="U59" s="181"/>
      <c r="V59" s="181"/>
      <c r="W59" s="181"/>
      <c r="X59" s="181"/>
      <c r="Y59" s="181"/>
      <c r="Z59" s="650">
        <f t="shared" si="4"/>
        <v>2000</v>
      </c>
    </row>
    <row r="60" spans="1:26" s="184" customFormat="1" ht="18" customHeight="1" thickBot="1">
      <c r="A60" s="870" t="s">
        <v>736</v>
      </c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>
        <v>2500</v>
      </c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1194">
        <f t="shared" si="4"/>
        <v>2500</v>
      </c>
    </row>
    <row r="61" spans="1:132" s="1035" customFormat="1" ht="26.25" thickBot="1">
      <c r="A61" s="434" t="s">
        <v>726</v>
      </c>
      <c r="B61" s="180">
        <f>SUM(B62:B66)</f>
        <v>-2150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>
        <f>SUM(R62:R66)</f>
        <v>550</v>
      </c>
      <c r="S61" s="180"/>
      <c r="T61" s="180"/>
      <c r="U61" s="180">
        <f>SUM(U62:U66)</f>
        <v>4300</v>
      </c>
      <c r="V61" s="180"/>
      <c r="W61" s="180"/>
      <c r="X61" s="180"/>
      <c r="Y61" s="180"/>
      <c r="Z61" s="1156">
        <f t="shared" si="4"/>
        <v>2700</v>
      </c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</row>
    <row r="62" spans="1:132" s="444" customFormat="1" ht="18" customHeight="1">
      <c r="A62" s="1019" t="s">
        <v>733</v>
      </c>
      <c r="B62" s="181">
        <v>-550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>
        <v>550</v>
      </c>
      <c r="V62" s="181"/>
      <c r="W62" s="181"/>
      <c r="X62" s="181"/>
      <c r="Y62" s="181"/>
      <c r="Z62" s="650">
        <f t="shared" si="4"/>
        <v>0</v>
      </c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</row>
    <row r="63" spans="1:132" s="444" customFormat="1" ht="18" customHeight="1">
      <c r="A63" s="1019" t="s">
        <v>735</v>
      </c>
      <c r="B63" s="181">
        <v>-550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>
        <v>550</v>
      </c>
      <c r="V63" s="181"/>
      <c r="W63" s="181"/>
      <c r="X63" s="181"/>
      <c r="Y63" s="181"/>
      <c r="Z63" s="650">
        <f t="shared" si="4"/>
        <v>0</v>
      </c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</row>
    <row r="64" spans="1:26" s="184" customFormat="1" ht="18" customHeight="1">
      <c r="A64" s="1062" t="s">
        <v>492</v>
      </c>
      <c r="B64" s="181">
        <v>50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>
        <v>-50</v>
      </c>
      <c r="V64" s="181"/>
      <c r="W64" s="181"/>
      <c r="X64" s="181"/>
      <c r="Y64" s="181"/>
      <c r="Z64" s="650">
        <f t="shared" si="4"/>
        <v>0</v>
      </c>
    </row>
    <row r="65" spans="1:26" s="184" customFormat="1" ht="18" customHeight="1">
      <c r="A65" s="1034" t="s">
        <v>498</v>
      </c>
      <c r="B65" s="181">
        <v>-550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>
        <v>550</v>
      </c>
      <c r="S65" s="181"/>
      <c r="T65" s="181"/>
      <c r="U65" s="181">
        <v>2700</v>
      </c>
      <c r="V65" s="181"/>
      <c r="W65" s="181"/>
      <c r="X65" s="181"/>
      <c r="Y65" s="181"/>
      <c r="Z65" s="650">
        <f t="shared" si="4"/>
        <v>2700</v>
      </c>
    </row>
    <row r="66" spans="1:26" s="184" customFormat="1" ht="18" customHeight="1" thickBot="1">
      <c r="A66" s="1034" t="s">
        <v>499</v>
      </c>
      <c r="B66" s="1155">
        <v>-550</v>
      </c>
      <c r="C66" s="1155"/>
      <c r="D66" s="1155"/>
      <c r="E66" s="1155"/>
      <c r="F66" s="1155"/>
      <c r="G66" s="1155"/>
      <c r="H66" s="1155"/>
      <c r="I66" s="1155"/>
      <c r="J66" s="1155"/>
      <c r="K66" s="1155"/>
      <c r="L66" s="1155"/>
      <c r="M66" s="1155"/>
      <c r="N66" s="1155"/>
      <c r="O66" s="1155"/>
      <c r="P66" s="1155"/>
      <c r="Q66" s="1155"/>
      <c r="R66" s="1155"/>
      <c r="S66" s="1155"/>
      <c r="T66" s="1155"/>
      <c r="U66" s="1155">
        <v>550</v>
      </c>
      <c r="V66" s="1155"/>
      <c r="W66" s="1155"/>
      <c r="X66" s="1155"/>
      <c r="Y66" s="1155"/>
      <c r="Z66" s="1195">
        <f t="shared" si="4"/>
        <v>0</v>
      </c>
    </row>
    <row r="67" spans="1:26" s="179" customFormat="1" ht="39" thickBot="1">
      <c r="A67" s="434" t="s">
        <v>257</v>
      </c>
      <c r="B67" s="180">
        <f>SUM(B68:B82)</f>
        <v>1978</v>
      </c>
      <c r="C67" s="180">
        <f>SUM(C68:C82)</f>
        <v>335</v>
      </c>
      <c r="D67" s="180">
        <f>SUM(D68:D82)</f>
        <v>45</v>
      </c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156">
        <f t="shared" si="4"/>
        <v>2358</v>
      </c>
    </row>
    <row r="68" spans="1:26" s="184" customFormat="1" ht="18" customHeight="1">
      <c r="A68" s="874" t="s">
        <v>463</v>
      </c>
      <c r="B68" s="213">
        <v>129</v>
      </c>
      <c r="C68" s="213">
        <v>23</v>
      </c>
      <c r="D68" s="213">
        <v>3</v>
      </c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1194">
        <f t="shared" si="4"/>
        <v>155</v>
      </c>
    </row>
    <row r="69" spans="1:26" s="184" customFormat="1" ht="18" customHeight="1">
      <c r="A69" s="1019" t="s">
        <v>465</v>
      </c>
      <c r="B69" s="181">
        <v>128</v>
      </c>
      <c r="C69" s="181">
        <v>22</v>
      </c>
      <c r="D69" s="181">
        <v>3</v>
      </c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650">
        <f t="shared" si="4"/>
        <v>153</v>
      </c>
    </row>
    <row r="70" spans="1:26" s="184" customFormat="1" ht="18" customHeight="1">
      <c r="A70" s="1019" t="s">
        <v>466</v>
      </c>
      <c r="B70" s="181">
        <v>128</v>
      </c>
      <c r="C70" s="181">
        <v>22</v>
      </c>
      <c r="D70" s="181">
        <v>3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650">
        <f t="shared" si="4"/>
        <v>153</v>
      </c>
    </row>
    <row r="71" spans="1:26" s="184" customFormat="1" ht="18" customHeight="1">
      <c r="A71" s="1019" t="s">
        <v>472</v>
      </c>
      <c r="B71" s="181">
        <v>130</v>
      </c>
      <c r="C71" s="181">
        <v>21</v>
      </c>
      <c r="D71" s="181">
        <v>3</v>
      </c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650">
        <f t="shared" si="4"/>
        <v>154</v>
      </c>
    </row>
    <row r="72" spans="1:26" s="184" customFormat="1" ht="18" customHeight="1">
      <c r="A72" s="1019" t="s">
        <v>476</v>
      </c>
      <c r="B72" s="181">
        <v>128</v>
      </c>
      <c r="C72" s="181">
        <v>21</v>
      </c>
      <c r="D72" s="181">
        <v>3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650">
        <f t="shared" si="4"/>
        <v>152</v>
      </c>
    </row>
    <row r="73" spans="1:26" s="184" customFormat="1" ht="18" customHeight="1">
      <c r="A73" s="1019" t="s">
        <v>479</v>
      </c>
      <c r="B73" s="181">
        <v>129</v>
      </c>
      <c r="C73" s="181">
        <v>22</v>
      </c>
      <c r="D73" s="181">
        <v>3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650">
        <f t="shared" si="4"/>
        <v>154</v>
      </c>
    </row>
    <row r="74" spans="1:26" s="184" customFormat="1" ht="18" customHeight="1">
      <c r="A74" s="1019" t="s">
        <v>481</v>
      </c>
      <c r="B74" s="181">
        <v>129</v>
      </c>
      <c r="C74" s="181">
        <v>22</v>
      </c>
      <c r="D74" s="181">
        <v>3</v>
      </c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650">
        <f t="shared" si="4"/>
        <v>154</v>
      </c>
    </row>
    <row r="75" spans="1:26" s="184" customFormat="1" ht="18" customHeight="1">
      <c r="A75" s="1019" t="s">
        <v>142</v>
      </c>
      <c r="B75" s="181">
        <v>128</v>
      </c>
      <c r="C75" s="181">
        <v>21</v>
      </c>
      <c r="D75" s="181">
        <v>3</v>
      </c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650">
        <f t="shared" si="4"/>
        <v>152</v>
      </c>
    </row>
    <row r="76" spans="1:26" s="184" customFormat="1" ht="18" customHeight="1">
      <c r="A76" s="1036" t="s">
        <v>498</v>
      </c>
      <c r="B76" s="181">
        <v>128</v>
      </c>
      <c r="C76" s="181">
        <v>22</v>
      </c>
      <c r="D76" s="181">
        <v>3</v>
      </c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650">
        <f t="shared" si="4"/>
        <v>153</v>
      </c>
    </row>
    <row r="77" spans="1:26" s="184" customFormat="1" ht="18" customHeight="1">
      <c r="A77" s="1037" t="s">
        <v>500</v>
      </c>
      <c r="B77" s="181">
        <v>128</v>
      </c>
      <c r="C77" s="181">
        <v>22</v>
      </c>
      <c r="D77" s="181">
        <v>3</v>
      </c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650">
        <f aca="true" t="shared" si="5" ref="Z77:Z88">SUM(B77:Y77)</f>
        <v>153</v>
      </c>
    </row>
    <row r="78" spans="1:26" s="184" customFormat="1" ht="18" customHeight="1">
      <c r="A78" s="1034" t="s">
        <v>503</v>
      </c>
      <c r="B78" s="181">
        <v>131</v>
      </c>
      <c r="C78" s="181">
        <v>19</v>
      </c>
      <c r="D78" s="181">
        <v>3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650">
        <f t="shared" si="5"/>
        <v>153</v>
      </c>
    </row>
    <row r="79" spans="1:26" s="184" customFormat="1" ht="18" customHeight="1">
      <c r="A79" s="1034" t="s">
        <v>509</v>
      </c>
      <c r="B79" s="181">
        <v>128</v>
      </c>
      <c r="C79" s="181">
        <v>23</v>
      </c>
      <c r="D79" s="181">
        <v>3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650">
        <f t="shared" si="5"/>
        <v>154</v>
      </c>
    </row>
    <row r="80" spans="1:26" s="184" customFormat="1" ht="18" customHeight="1">
      <c r="A80" s="1034" t="s">
        <v>516</v>
      </c>
      <c r="B80" s="181">
        <v>130</v>
      </c>
      <c r="C80" s="181">
        <v>22</v>
      </c>
      <c r="D80" s="181">
        <v>2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650">
        <f t="shared" si="5"/>
        <v>154</v>
      </c>
    </row>
    <row r="81" spans="1:26" s="184" customFormat="1" ht="18" customHeight="1">
      <c r="A81" s="967" t="s">
        <v>525</v>
      </c>
      <c r="B81" s="181">
        <v>174</v>
      </c>
      <c r="C81" s="181">
        <v>30</v>
      </c>
      <c r="D81" s="181">
        <v>4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650">
        <f t="shared" si="5"/>
        <v>208</v>
      </c>
    </row>
    <row r="82" spans="1:26" s="184" customFormat="1" ht="26.25" thickBot="1">
      <c r="A82" s="1038" t="s">
        <v>485</v>
      </c>
      <c r="B82" s="181">
        <v>130</v>
      </c>
      <c r="C82" s="181">
        <v>23</v>
      </c>
      <c r="D82" s="181">
        <v>3</v>
      </c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650">
        <f t="shared" si="5"/>
        <v>156</v>
      </c>
    </row>
    <row r="83" spans="1:26" s="183" customFormat="1" ht="22.5" customHeight="1" thickBot="1">
      <c r="A83" s="966" t="s">
        <v>591</v>
      </c>
      <c r="B83" s="442">
        <f aca="true" t="shared" si="6" ref="B83:D85">B84</f>
        <v>-3727</v>
      </c>
      <c r="C83" s="442">
        <f t="shared" si="6"/>
        <v>-294</v>
      </c>
      <c r="D83" s="442">
        <f t="shared" si="6"/>
        <v>-41</v>
      </c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>
        <f>O84</f>
        <v>-7938</v>
      </c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1156">
        <f t="shared" si="5"/>
        <v>-12000</v>
      </c>
    </row>
    <row r="84" spans="1:26" s="184" customFormat="1" ht="18" customHeight="1" thickBot="1">
      <c r="A84" s="871" t="s">
        <v>592</v>
      </c>
      <c r="B84" s="442">
        <f t="shared" si="6"/>
        <v>-3727</v>
      </c>
      <c r="C84" s="442">
        <f t="shared" si="6"/>
        <v>-294</v>
      </c>
      <c r="D84" s="442">
        <f t="shared" si="6"/>
        <v>-41</v>
      </c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>
        <f>O85</f>
        <v>-7938</v>
      </c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1156">
        <f t="shared" si="5"/>
        <v>-12000</v>
      </c>
    </row>
    <row r="85" spans="1:26" s="935" customFormat="1" ht="25.5">
      <c r="A85" s="934" t="s">
        <v>335</v>
      </c>
      <c r="B85" s="445">
        <f t="shared" si="6"/>
        <v>-3727</v>
      </c>
      <c r="C85" s="445">
        <f t="shared" si="6"/>
        <v>-294</v>
      </c>
      <c r="D85" s="445">
        <f t="shared" si="6"/>
        <v>-41</v>
      </c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>
        <f>O86</f>
        <v>-7938</v>
      </c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1196">
        <f t="shared" si="5"/>
        <v>-12000</v>
      </c>
    </row>
    <row r="86" spans="1:26" s="873" customFormat="1" ht="102">
      <c r="A86" s="1157" t="s">
        <v>676</v>
      </c>
      <c r="B86" s="1158">
        <f>SUM(B87:B90)</f>
        <v>-3727</v>
      </c>
      <c r="C86" s="1158">
        <f>SUM(C87:C90)</f>
        <v>-294</v>
      </c>
      <c r="D86" s="1158">
        <f>SUM(D87:D90)</f>
        <v>-41</v>
      </c>
      <c r="E86" s="1158"/>
      <c r="F86" s="1158"/>
      <c r="G86" s="1158"/>
      <c r="H86" s="1158"/>
      <c r="I86" s="1158"/>
      <c r="J86" s="1158"/>
      <c r="K86" s="1158"/>
      <c r="L86" s="1158"/>
      <c r="M86" s="1158"/>
      <c r="N86" s="1158"/>
      <c r="O86" s="1158">
        <f>SUM(O87:O90)</f>
        <v>-7938</v>
      </c>
      <c r="P86" s="1158"/>
      <c r="Q86" s="1158"/>
      <c r="R86" s="1158"/>
      <c r="S86" s="1158"/>
      <c r="T86" s="1158"/>
      <c r="U86" s="1158"/>
      <c r="V86" s="1158"/>
      <c r="W86" s="1158"/>
      <c r="X86" s="1158"/>
      <c r="Y86" s="1158"/>
      <c r="Z86" s="1159">
        <f t="shared" si="5"/>
        <v>-12000</v>
      </c>
    </row>
    <row r="87" spans="1:26" s="184" customFormat="1" ht="18" customHeight="1">
      <c r="A87" s="1036" t="s">
        <v>471</v>
      </c>
      <c r="B87" s="213">
        <v>7</v>
      </c>
      <c r="C87" s="213">
        <v>-7</v>
      </c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1148">
        <f t="shared" si="5"/>
        <v>0</v>
      </c>
    </row>
    <row r="88" spans="1:26" s="184" customFormat="1" ht="18" customHeight="1">
      <c r="A88" s="967" t="s">
        <v>500</v>
      </c>
      <c r="B88" s="181">
        <v>-1652</v>
      </c>
      <c r="C88" s="181">
        <v>-287</v>
      </c>
      <c r="D88" s="181">
        <v>-41</v>
      </c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>
        <v>-10020</v>
      </c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080">
        <f t="shared" si="5"/>
        <v>-12000</v>
      </c>
    </row>
    <row r="89" spans="1:26" s="184" customFormat="1" ht="18" customHeight="1">
      <c r="A89" s="967" t="s">
        <v>523</v>
      </c>
      <c r="B89" s="181">
        <v>-834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>
        <v>834</v>
      </c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080"/>
    </row>
    <row r="90" spans="1:26" s="184" customFormat="1" ht="18" customHeight="1" thickBot="1">
      <c r="A90" s="967" t="s">
        <v>590</v>
      </c>
      <c r="B90" s="181">
        <v>-1248</v>
      </c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>
        <v>1248</v>
      </c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080">
        <f aca="true" t="shared" si="7" ref="Z90:Z121">SUM(B90:Y90)</f>
        <v>0</v>
      </c>
    </row>
    <row r="91" spans="1:26" s="183" customFormat="1" ht="18" customHeight="1" thickBot="1">
      <c r="A91" s="446" t="s">
        <v>532</v>
      </c>
      <c r="B91" s="442"/>
      <c r="C91" s="442"/>
      <c r="D91" s="442"/>
      <c r="E91" s="442"/>
      <c r="F91" s="442"/>
      <c r="G91" s="442">
        <f>G92</f>
        <v>14817</v>
      </c>
      <c r="H91" s="442"/>
      <c r="I91" s="442"/>
      <c r="J91" s="442">
        <f>J92</f>
        <v>10496</v>
      </c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938">
        <f t="shared" si="7"/>
        <v>25313</v>
      </c>
    </row>
    <row r="92" spans="1:29" s="179" customFormat="1" ht="18" customHeight="1" thickBot="1">
      <c r="A92" s="434" t="s">
        <v>533</v>
      </c>
      <c r="B92" s="442"/>
      <c r="C92" s="442"/>
      <c r="D92" s="442"/>
      <c r="E92" s="442"/>
      <c r="F92" s="442"/>
      <c r="G92" s="442">
        <f>G93+G95</f>
        <v>14817</v>
      </c>
      <c r="H92" s="442"/>
      <c r="I92" s="442"/>
      <c r="J92" s="442">
        <f>J93+J95</f>
        <v>10496</v>
      </c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938">
        <f t="shared" si="7"/>
        <v>25313</v>
      </c>
      <c r="AA92" s="184"/>
      <c r="AB92" s="184"/>
      <c r="AC92" s="184"/>
    </row>
    <row r="93" spans="1:26" s="935" customFormat="1" ht="25.5">
      <c r="A93" s="1198" t="s">
        <v>531</v>
      </c>
      <c r="B93" s="936"/>
      <c r="C93" s="936"/>
      <c r="D93" s="936"/>
      <c r="E93" s="936"/>
      <c r="F93" s="936"/>
      <c r="G93" s="936"/>
      <c r="H93" s="936"/>
      <c r="I93" s="936"/>
      <c r="J93" s="936">
        <f>J94</f>
        <v>10496</v>
      </c>
      <c r="K93" s="936"/>
      <c r="L93" s="936"/>
      <c r="M93" s="936"/>
      <c r="N93" s="936"/>
      <c r="O93" s="936"/>
      <c r="P93" s="936"/>
      <c r="Q93" s="936"/>
      <c r="R93" s="936"/>
      <c r="S93" s="936"/>
      <c r="T93" s="936"/>
      <c r="U93" s="936"/>
      <c r="V93" s="936"/>
      <c r="W93" s="936"/>
      <c r="X93" s="936"/>
      <c r="Y93" s="936"/>
      <c r="Z93" s="939">
        <f t="shared" si="7"/>
        <v>10496</v>
      </c>
    </row>
    <row r="94" spans="1:26" s="184" customFormat="1" ht="18" customHeight="1">
      <c r="A94" s="1060" t="s">
        <v>476</v>
      </c>
      <c r="B94" s="1061"/>
      <c r="C94" s="1061"/>
      <c r="D94" s="1061"/>
      <c r="E94" s="1061"/>
      <c r="F94" s="1061"/>
      <c r="G94" s="1061"/>
      <c r="H94" s="1061"/>
      <c r="I94" s="1061"/>
      <c r="J94" s="1061">
        <v>10496</v>
      </c>
      <c r="K94" s="1061"/>
      <c r="L94" s="1061"/>
      <c r="M94" s="1061"/>
      <c r="N94" s="1061"/>
      <c r="O94" s="1061"/>
      <c r="P94" s="1061"/>
      <c r="Q94" s="1061"/>
      <c r="R94" s="1061"/>
      <c r="S94" s="1061"/>
      <c r="T94" s="1061"/>
      <c r="U94" s="1061"/>
      <c r="V94" s="1061"/>
      <c r="W94" s="1061"/>
      <c r="X94" s="1061"/>
      <c r="Y94" s="1061"/>
      <c r="Z94" s="1165">
        <f t="shared" si="7"/>
        <v>10496</v>
      </c>
    </row>
    <row r="95" spans="1:26" s="935" customFormat="1" ht="25.5">
      <c r="A95" s="1160" t="s">
        <v>267</v>
      </c>
      <c r="B95" s="1161"/>
      <c r="C95" s="1161"/>
      <c r="D95" s="1161"/>
      <c r="E95" s="1161"/>
      <c r="F95" s="1161"/>
      <c r="G95" s="1161">
        <f>SUM(G96:G102)</f>
        <v>14817</v>
      </c>
      <c r="H95" s="1161"/>
      <c r="I95" s="1161"/>
      <c r="J95" s="1161"/>
      <c r="K95" s="1161"/>
      <c r="L95" s="1161"/>
      <c r="M95" s="1161"/>
      <c r="N95" s="1161"/>
      <c r="O95" s="1161"/>
      <c r="P95" s="1161"/>
      <c r="Q95" s="1161"/>
      <c r="R95" s="1161"/>
      <c r="S95" s="1161"/>
      <c r="T95" s="1161"/>
      <c r="U95" s="1161"/>
      <c r="V95" s="1161"/>
      <c r="W95" s="1161"/>
      <c r="X95" s="1161"/>
      <c r="Y95" s="1161"/>
      <c r="Z95" s="1164">
        <f t="shared" si="7"/>
        <v>14817</v>
      </c>
    </row>
    <row r="96" spans="1:26" s="184" customFormat="1" ht="18" customHeight="1">
      <c r="A96" s="1162" t="s">
        <v>475</v>
      </c>
      <c r="B96" s="1163"/>
      <c r="C96" s="1163"/>
      <c r="D96" s="1163"/>
      <c r="E96" s="1163"/>
      <c r="F96" s="1163"/>
      <c r="G96" s="1163">
        <v>252</v>
      </c>
      <c r="H96" s="1163"/>
      <c r="I96" s="1163"/>
      <c r="J96" s="1163"/>
      <c r="K96" s="1163"/>
      <c r="L96" s="1163"/>
      <c r="M96" s="1163"/>
      <c r="N96" s="1163"/>
      <c r="O96" s="1163"/>
      <c r="P96" s="1163"/>
      <c r="Q96" s="1163"/>
      <c r="R96" s="1163"/>
      <c r="S96" s="1163"/>
      <c r="T96" s="1163"/>
      <c r="U96" s="1163"/>
      <c r="V96" s="1163"/>
      <c r="W96" s="1163"/>
      <c r="X96" s="1163"/>
      <c r="Y96" s="1163"/>
      <c r="Z96" s="1166">
        <f t="shared" si="7"/>
        <v>252</v>
      </c>
    </row>
    <row r="97" spans="1:26" s="184" customFormat="1" ht="18" customHeight="1">
      <c r="A97" s="1060" t="s">
        <v>78</v>
      </c>
      <c r="B97" s="392"/>
      <c r="C97" s="392"/>
      <c r="D97" s="392"/>
      <c r="E97" s="392"/>
      <c r="F97" s="392"/>
      <c r="G97" s="392">
        <v>248</v>
      </c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1167">
        <f t="shared" si="7"/>
        <v>248</v>
      </c>
    </row>
    <row r="98" spans="1:26" s="184" customFormat="1" ht="18" customHeight="1">
      <c r="A98" s="1062" t="s">
        <v>488</v>
      </c>
      <c r="B98" s="181"/>
      <c r="C98" s="181"/>
      <c r="D98" s="181"/>
      <c r="E98" s="181"/>
      <c r="F98" s="181"/>
      <c r="G98" s="181">
        <v>1878</v>
      </c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080">
        <f t="shared" si="7"/>
        <v>1878</v>
      </c>
    </row>
    <row r="99" spans="1:26" s="184" customFormat="1" ht="18" customHeight="1">
      <c r="A99" s="1067" t="s">
        <v>489</v>
      </c>
      <c r="B99" s="181"/>
      <c r="C99" s="181"/>
      <c r="D99" s="181"/>
      <c r="E99" s="181"/>
      <c r="F99" s="181"/>
      <c r="G99" s="181">
        <v>2000</v>
      </c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080">
        <f t="shared" si="7"/>
        <v>2000</v>
      </c>
    </row>
    <row r="100" spans="1:26" s="184" customFormat="1" ht="18" customHeight="1">
      <c r="A100" s="1067" t="s">
        <v>490</v>
      </c>
      <c r="B100" s="181"/>
      <c r="C100" s="181"/>
      <c r="D100" s="181"/>
      <c r="E100" s="181"/>
      <c r="F100" s="181"/>
      <c r="G100" s="181">
        <v>1733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080">
        <f t="shared" si="7"/>
        <v>1733</v>
      </c>
    </row>
    <row r="101" spans="1:26" s="184" customFormat="1" ht="18" customHeight="1">
      <c r="A101" s="1067" t="s">
        <v>493</v>
      </c>
      <c r="B101" s="181"/>
      <c r="C101" s="181"/>
      <c r="D101" s="181"/>
      <c r="E101" s="181"/>
      <c r="F101" s="181"/>
      <c r="G101" s="181">
        <v>5530</v>
      </c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080">
        <f t="shared" si="7"/>
        <v>5530</v>
      </c>
    </row>
    <row r="102" spans="1:26" s="184" customFormat="1" ht="18" customHeight="1" thickBot="1">
      <c r="A102" s="1067" t="s">
        <v>495</v>
      </c>
      <c r="B102" s="181"/>
      <c r="C102" s="181"/>
      <c r="D102" s="181"/>
      <c r="E102" s="181"/>
      <c r="F102" s="181"/>
      <c r="G102" s="181">
        <v>3176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167">
        <f t="shared" si="7"/>
        <v>3176</v>
      </c>
    </row>
    <row r="103" spans="1:26" s="183" customFormat="1" ht="30.75" thickBot="1">
      <c r="A103" s="1095" t="s">
        <v>222</v>
      </c>
      <c r="B103" s="442"/>
      <c r="C103" s="442"/>
      <c r="D103" s="442"/>
      <c r="E103" s="442"/>
      <c r="F103" s="442"/>
      <c r="G103" s="442"/>
      <c r="H103" s="442"/>
      <c r="I103" s="442"/>
      <c r="J103" s="442">
        <f>J104</f>
        <v>-1150</v>
      </c>
      <c r="K103" s="442"/>
      <c r="L103" s="442"/>
      <c r="M103" s="442"/>
      <c r="N103" s="442"/>
      <c r="O103" s="442">
        <f>O104</f>
        <v>-30</v>
      </c>
      <c r="P103" s="442"/>
      <c r="Q103" s="442"/>
      <c r="R103" s="442"/>
      <c r="S103" s="442"/>
      <c r="T103" s="442"/>
      <c r="U103" s="442"/>
      <c r="V103" s="442">
        <f>V104</f>
        <v>-70</v>
      </c>
      <c r="W103" s="442"/>
      <c r="X103" s="442"/>
      <c r="Y103" s="442"/>
      <c r="Z103" s="938">
        <f t="shared" si="7"/>
        <v>-1250</v>
      </c>
    </row>
    <row r="104" spans="1:29" s="179" customFormat="1" ht="26.25" thickBot="1">
      <c r="A104" s="434" t="s">
        <v>223</v>
      </c>
      <c r="B104" s="442"/>
      <c r="C104" s="442"/>
      <c r="D104" s="442"/>
      <c r="E104" s="442"/>
      <c r="F104" s="442"/>
      <c r="G104" s="442"/>
      <c r="H104" s="442"/>
      <c r="I104" s="442"/>
      <c r="J104" s="442">
        <f>J105</f>
        <v>-1150</v>
      </c>
      <c r="K104" s="442"/>
      <c r="L104" s="442"/>
      <c r="M104" s="442"/>
      <c r="N104" s="442"/>
      <c r="O104" s="442">
        <f>O105</f>
        <v>-30</v>
      </c>
      <c r="P104" s="442"/>
      <c r="Q104" s="442"/>
      <c r="R104" s="442"/>
      <c r="S104" s="442"/>
      <c r="T104" s="442"/>
      <c r="U104" s="442"/>
      <c r="V104" s="442">
        <f>V105</f>
        <v>-70</v>
      </c>
      <c r="W104" s="442"/>
      <c r="X104" s="442"/>
      <c r="Y104" s="442"/>
      <c r="Z104" s="938">
        <f t="shared" si="7"/>
        <v>-1250</v>
      </c>
      <c r="AA104" s="184"/>
      <c r="AB104" s="184"/>
      <c r="AC104" s="184"/>
    </row>
    <row r="105" spans="1:26" s="935" customFormat="1" ht="18" customHeight="1">
      <c r="A105" s="1199" t="s">
        <v>220</v>
      </c>
      <c r="B105" s="445"/>
      <c r="C105" s="445"/>
      <c r="D105" s="445"/>
      <c r="E105" s="445"/>
      <c r="F105" s="445"/>
      <c r="G105" s="445"/>
      <c r="H105" s="445"/>
      <c r="I105" s="445"/>
      <c r="J105" s="445">
        <f>J106</f>
        <v>-1150</v>
      </c>
      <c r="K105" s="445"/>
      <c r="L105" s="445"/>
      <c r="M105" s="445"/>
      <c r="N105" s="445"/>
      <c r="O105" s="445">
        <f>O106</f>
        <v>-30</v>
      </c>
      <c r="P105" s="445"/>
      <c r="Q105" s="445"/>
      <c r="R105" s="445"/>
      <c r="S105" s="445"/>
      <c r="T105" s="445"/>
      <c r="U105" s="445"/>
      <c r="V105" s="445">
        <f>V106</f>
        <v>-70</v>
      </c>
      <c r="W105" s="445"/>
      <c r="X105" s="445"/>
      <c r="Y105" s="445"/>
      <c r="Z105" s="1167">
        <f t="shared" si="7"/>
        <v>-1250</v>
      </c>
    </row>
    <row r="106" spans="1:26" s="873" customFormat="1" ht="18" customHeight="1">
      <c r="A106" s="1200" t="s">
        <v>218</v>
      </c>
      <c r="B106" s="1158"/>
      <c r="C106" s="1158"/>
      <c r="D106" s="1158"/>
      <c r="E106" s="1158"/>
      <c r="F106" s="1158"/>
      <c r="G106" s="1158"/>
      <c r="H106" s="1158"/>
      <c r="I106" s="1158"/>
      <c r="J106" s="1158">
        <f>J107</f>
        <v>-1150</v>
      </c>
      <c r="K106" s="1158"/>
      <c r="L106" s="1158"/>
      <c r="M106" s="1158"/>
      <c r="N106" s="1158"/>
      <c r="O106" s="1158">
        <f>O107</f>
        <v>-30</v>
      </c>
      <c r="P106" s="1158"/>
      <c r="Q106" s="1158"/>
      <c r="R106" s="1158"/>
      <c r="S106" s="1158"/>
      <c r="T106" s="1158"/>
      <c r="U106" s="1158"/>
      <c r="V106" s="1158">
        <f>V107</f>
        <v>-70</v>
      </c>
      <c r="W106" s="1158"/>
      <c r="X106" s="1158"/>
      <c r="Y106" s="1158"/>
      <c r="Z106" s="1169">
        <f t="shared" si="7"/>
        <v>-1250</v>
      </c>
    </row>
    <row r="107" spans="1:26" s="184" customFormat="1" ht="18" customHeight="1" thickBot="1">
      <c r="A107" s="1168" t="s">
        <v>530</v>
      </c>
      <c r="B107" s="392"/>
      <c r="C107" s="392"/>
      <c r="D107" s="392"/>
      <c r="E107" s="392"/>
      <c r="F107" s="392"/>
      <c r="G107" s="392"/>
      <c r="H107" s="392"/>
      <c r="I107" s="392"/>
      <c r="J107" s="392">
        <v>-1150</v>
      </c>
      <c r="K107" s="392"/>
      <c r="L107" s="392"/>
      <c r="M107" s="392"/>
      <c r="N107" s="392"/>
      <c r="O107" s="392">
        <v>-30</v>
      </c>
      <c r="P107" s="392"/>
      <c r="Q107" s="392"/>
      <c r="R107" s="392"/>
      <c r="S107" s="392"/>
      <c r="T107" s="392"/>
      <c r="U107" s="392"/>
      <c r="V107" s="392">
        <v>-70</v>
      </c>
      <c r="W107" s="392"/>
      <c r="X107" s="392"/>
      <c r="Y107" s="392"/>
      <c r="Z107" s="1167">
        <f t="shared" si="7"/>
        <v>-1250</v>
      </c>
    </row>
    <row r="108" spans="1:26" s="183" customFormat="1" ht="22.5" customHeight="1" thickBot="1">
      <c r="A108" s="446" t="s">
        <v>558</v>
      </c>
      <c r="B108" s="442"/>
      <c r="C108" s="442"/>
      <c r="D108" s="442"/>
      <c r="E108" s="442"/>
      <c r="F108" s="442"/>
      <c r="G108" s="442"/>
      <c r="H108" s="442">
        <f aca="true" t="shared" si="8" ref="H108:M108">H111+H117+H165+H109+H113+H115</f>
        <v>13648</v>
      </c>
      <c r="I108" s="442">
        <f t="shared" si="8"/>
        <v>2432</v>
      </c>
      <c r="J108" s="442">
        <f t="shared" si="8"/>
        <v>13000</v>
      </c>
      <c r="K108" s="442">
        <f t="shared" si="8"/>
        <v>12000</v>
      </c>
      <c r="L108" s="442">
        <f t="shared" si="8"/>
        <v>3000</v>
      </c>
      <c r="M108" s="442">
        <f t="shared" si="8"/>
        <v>4000</v>
      </c>
      <c r="N108" s="442"/>
      <c r="O108" s="442">
        <f>O111+O117+O165+O109+O113+O115</f>
        <v>7000</v>
      </c>
      <c r="P108" s="442">
        <f>P111+P117+P165+P109+P113+P115</f>
        <v>2500</v>
      </c>
      <c r="Q108" s="442"/>
      <c r="R108" s="442"/>
      <c r="S108" s="442"/>
      <c r="T108" s="442">
        <f>T111+T117+T165+T109+T113+T115</f>
        <v>4759</v>
      </c>
      <c r="U108" s="442"/>
      <c r="V108" s="442"/>
      <c r="W108" s="442">
        <f>W111+W117+W165+W109+W113+W115</f>
        <v>3000</v>
      </c>
      <c r="X108" s="442">
        <f>X111+X117+X165+X109+X113+X115</f>
        <v>147000</v>
      </c>
      <c r="Y108" s="442"/>
      <c r="Z108" s="1156">
        <f t="shared" si="7"/>
        <v>212339</v>
      </c>
    </row>
    <row r="109" spans="1:29" s="179" customFormat="1" ht="18" customHeight="1" thickBot="1">
      <c r="A109" s="434" t="s">
        <v>259</v>
      </c>
      <c r="B109" s="442"/>
      <c r="C109" s="442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>
        <f>T110</f>
        <v>4759</v>
      </c>
      <c r="U109" s="442"/>
      <c r="V109" s="442"/>
      <c r="W109" s="442"/>
      <c r="X109" s="442"/>
      <c r="Y109" s="442"/>
      <c r="Z109" s="1156">
        <f t="shared" si="7"/>
        <v>4759</v>
      </c>
      <c r="AA109" s="184"/>
      <c r="AB109" s="184"/>
      <c r="AC109" s="184"/>
    </row>
    <row r="110" spans="1:26" s="184" customFormat="1" ht="18" customHeight="1" thickBot="1">
      <c r="A110" s="874" t="s">
        <v>142</v>
      </c>
      <c r="B110" s="875"/>
      <c r="C110" s="875"/>
      <c r="D110" s="875"/>
      <c r="E110" s="875"/>
      <c r="F110" s="875"/>
      <c r="G110" s="875"/>
      <c r="H110" s="875"/>
      <c r="I110" s="875"/>
      <c r="J110" s="875"/>
      <c r="K110" s="875"/>
      <c r="L110" s="875"/>
      <c r="M110" s="875"/>
      <c r="N110" s="875"/>
      <c r="O110" s="875"/>
      <c r="P110" s="875"/>
      <c r="Q110" s="875"/>
      <c r="R110" s="875"/>
      <c r="S110" s="875"/>
      <c r="T110" s="875">
        <v>4759</v>
      </c>
      <c r="U110" s="875"/>
      <c r="V110" s="875"/>
      <c r="W110" s="875"/>
      <c r="X110" s="875"/>
      <c r="Y110" s="875"/>
      <c r="Z110" s="1156">
        <f t="shared" si="7"/>
        <v>4759</v>
      </c>
    </row>
    <row r="111" spans="1:29" s="179" customFormat="1" ht="18" customHeight="1" thickBot="1">
      <c r="A111" s="434" t="s">
        <v>559</v>
      </c>
      <c r="B111" s="442"/>
      <c r="C111" s="442"/>
      <c r="D111" s="442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>
        <f>X112</f>
        <v>147000</v>
      </c>
      <c r="Y111" s="442"/>
      <c r="Z111" s="1156">
        <f t="shared" si="7"/>
        <v>147000</v>
      </c>
      <c r="AA111" s="184"/>
      <c r="AB111" s="184"/>
      <c r="AC111" s="184"/>
    </row>
    <row r="112" spans="1:26" s="184" customFormat="1" ht="18" customHeight="1" thickBot="1">
      <c r="A112" s="1015" t="s">
        <v>43</v>
      </c>
      <c r="B112" s="651"/>
      <c r="C112" s="651"/>
      <c r="D112" s="651"/>
      <c r="E112" s="651"/>
      <c r="F112" s="651"/>
      <c r="G112" s="651"/>
      <c r="H112" s="651"/>
      <c r="I112" s="651"/>
      <c r="J112" s="651"/>
      <c r="K112" s="651"/>
      <c r="L112" s="651"/>
      <c r="M112" s="651"/>
      <c r="N112" s="651"/>
      <c r="O112" s="651"/>
      <c r="P112" s="651"/>
      <c r="Q112" s="651"/>
      <c r="R112" s="651"/>
      <c r="S112" s="651"/>
      <c r="T112" s="651"/>
      <c r="U112" s="651"/>
      <c r="V112" s="651"/>
      <c r="W112" s="651"/>
      <c r="X112" s="651">
        <v>147000</v>
      </c>
      <c r="Y112" s="651"/>
      <c r="Z112" s="650">
        <f t="shared" si="7"/>
        <v>147000</v>
      </c>
    </row>
    <row r="113" spans="1:29" s="179" customFormat="1" ht="18" customHeight="1" thickBot="1">
      <c r="A113" s="434" t="s">
        <v>125</v>
      </c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>
        <f>M114</f>
        <v>4000</v>
      </c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1156">
        <f t="shared" si="7"/>
        <v>4000</v>
      </c>
      <c r="AA113" s="184"/>
      <c r="AB113" s="184"/>
      <c r="AC113" s="184"/>
    </row>
    <row r="114" spans="1:26" s="184" customFormat="1" ht="18" customHeight="1" thickBot="1">
      <c r="A114" s="874" t="s">
        <v>148</v>
      </c>
      <c r="B114" s="875"/>
      <c r="C114" s="875"/>
      <c r="D114" s="875"/>
      <c r="E114" s="875"/>
      <c r="F114" s="875"/>
      <c r="G114" s="875"/>
      <c r="H114" s="875"/>
      <c r="I114" s="875"/>
      <c r="J114" s="875"/>
      <c r="K114" s="875"/>
      <c r="L114" s="875"/>
      <c r="M114" s="875">
        <v>4000</v>
      </c>
      <c r="N114" s="875"/>
      <c r="O114" s="875"/>
      <c r="P114" s="875"/>
      <c r="Q114" s="875"/>
      <c r="R114" s="875"/>
      <c r="S114" s="875"/>
      <c r="T114" s="875"/>
      <c r="U114" s="875"/>
      <c r="V114" s="875"/>
      <c r="W114" s="875"/>
      <c r="X114" s="875"/>
      <c r="Y114" s="875"/>
      <c r="Z114" s="1010">
        <f t="shared" si="7"/>
        <v>4000</v>
      </c>
    </row>
    <row r="115" spans="1:29" s="179" customFormat="1" ht="18" customHeight="1" thickBot="1">
      <c r="A115" s="434" t="s">
        <v>261</v>
      </c>
      <c r="B115" s="442"/>
      <c r="C115" s="442"/>
      <c r="D115" s="442"/>
      <c r="E115" s="442"/>
      <c r="F115" s="442"/>
      <c r="G115" s="442"/>
      <c r="H115" s="442"/>
      <c r="I115" s="442"/>
      <c r="J115" s="442">
        <f>J116</f>
        <v>10000</v>
      </c>
      <c r="K115" s="442">
        <f>K116</f>
        <v>12000</v>
      </c>
      <c r="L115" s="442"/>
      <c r="M115" s="442"/>
      <c r="N115" s="442"/>
      <c r="O115" s="442">
        <f>O116</f>
        <v>7000</v>
      </c>
      <c r="P115" s="442">
        <f>P116</f>
        <v>2500</v>
      </c>
      <c r="Q115" s="442"/>
      <c r="R115" s="442"/>
      <c r="S115" s="442"/>
      <c r="T115" s="442"/>
      <c r="U115" s="442"/>
      <c r="V115" s="442"/>
      <c r="W115" s="442">
        <f>W116</f>
        <v>3000</v>
      </c>
      <c r="X115" s="442"/>
      <c r="Y115" s="442"/>
      <c r="Z115" s="938">
        <f t="shared" si="7"/>
        <v>34500</v>
      </c>
      <c r="AA115" s="184"/>
      <c r="AB115" s="184"/>
      <c r="AC115" s="184"/>
    </row>
    <row r="116" spans="1:26" s="184" customFormat="1" ht="18" customHeight="1" thickBot="1">
      <c r="A116" s="1039" t="s">
        <v>147</v>
      </c>
      <c r="B116" s="1040"/>
      <c r="C116" s="1040"/>
      <c r="D116" s="1040"/>
      <c r="E116" s="1040"/>
      <c r="F116" s="1040"/>
      <c r="G116" s="1040"/>
      <c r="H116" s="1040"/>
      <c r="I116" s="1040"/>
      <c r="J116" s="1040">
        <v>10000</v>
      </c>
      <c r="K116" s="1040">
        <v>12000</v>
      </c>
      <c r="L116" s="1040"/>
      <c r="M116" s="1040"/>
      <c r="N116" s="1040"/>
      <c r="O116" s="1040">
        <v>7000</v>
      </c>
      <c r="P116" s="1040">
        <v>2500</v>
      </c>
      <c r="Q116" s="1040"/>
      <c r="R116" s="1040"/>
      <c r="S116" s="1040"/>
      <c r="T116" s="1040"/>
      <c r="U116" s="1040"/>
      <c r="V116" s="1040"/>
      <c r="W116" s="1040">
        <v>3000</v>
      </c>
      <c r="X116" s="1040"/>
      <c r="Y116" s="1040"/>
      <c r="Z116" s="938">
        <f t="shared" si="7"/>
        <v>34500</v>
      </c>
    </row>
    <row r="117" spans="1:66" s="1043" customFormat="1" ht="18" customHeight="1" thickBot="1">
      <c r="A117" s="1041" t="s">
        <v>66</v>
      </c>
      <c r="B117" s="180"/>
      <c r="C117" s="180"/>
      <c r="D117" s="180"/>
      <c r="E117" s="180"/>
      <c r="F117" s="180"/>
      <c r="G117" s="180"/>
      <c r="H117" s="180">
        <f>H118+H155</f>
        <v>13648</v>
      </c>
      <c r="I117" s="180">
        <f>I118+I155</f>
        <v>2432</v>
      </c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938">
        <f t="shared" si="7"/>
        <v>16080</v>
      </c>
      <c r="AA117" s="873"/>
      <c r="AB117" s="873"/>
      <c r="AC117" s="873"/>
      <c r="AD117" s="873"/>
      <c r="AE117" s="873"/>
      <c r="AF117" s="873"/>
      <c r="AG117" s="873"/>
      <c r="AH117" s="873"/>
      <c r="AI117" s="873"/>
      <c r="AJ117" s="873"/>
      <c r="AK117" s="873"/>
      <c r="AL117" s="873"/>
      <c r="AM117" s="873"/>
      <c r="AN117" s="873"/>
      <c r="AO117" s="873"/>
      <c r="AP117" s="873"/>
      <c r="AQ117" s="873"/>
      <c r="AR117" s="873"/>
      <c r="AS117" s="873"/>
      <c r="AT117" s="873"/>
      <c r="AU117" s="873"/>
      <c r="AV117" s="873"/>
      <c r="AW117" s="873"/>
      <c r="AX117" s="873"/>
      <c r="AY117" s="873"/>
      <c r="AZ117" s="873"/>
      <c r="BA117" s="873"/>
      <c r="BB117" s="873"/>
      <c r="BC117" s="873"/>
      <c r="BD117" s="873"/>
      <c r="BE117" s="873"/>
      <c r="BF117" s="873"/>
      <c r="BG117" s="873"/>
      <c r="BH117" s="873"/>
      <c r="BI117" s="873"/>
      <c r="BJ117" s="873"/>
      <c r="BK117" s="873"/>
      <c r="BL117" s="873"/>
      <c r="BM117" s="873"/>
      <c r="BN117" s="1042"/>
    </row>
    <row r="118" spans="1:66" s="1045" customFormat="1" ht="18" customHeight="1">
      <c r="A118" s="1171" t="s">
        <v>262</v>
      </c>
      <c r="B118" s="1172"/>
      <c r="C118" s="1172"/>
      <c r="D118" s="1172"/>
      <c r="E118" s="1172"/>
      <c r="F118" s="1172"/>
      <c r="G118" s="1172"/>
      <c r="H118" s="1172">
        <f>SUM(H119:H154)</f>
        <v>13392</v>
      </c>
      <c r="I118" s="1172"/>
      <c r="J118" s="1172"/>
      <c r="K118" s="1172"/>
      <c r="L118" s="1172"/>
      <c r="M118" s="1172"/>
      <c r="N118" s="1172"/>
      <c r="O118" s="1172"/>
      <c r="P118" s="1172"/>
      <c r="Q118" s="1172"/>
      <c r="R118" s="1172"/>
      <c r="S118" s="1172"/>
      <c r="T118" s="1172"/>
      <c r="U118" s="1172"/>
      <c r="V118" s="1172"/>
      <c r="W118" s="1172"/>
      <c r="X118" s="1172"/>
      <c r="Y118" s="1172"/>
      <c r="Z118" s="1173">
        <f t="shared" si="7"/>
        <v>13392</v>
      </c>
      <c r="AA118" s="935"/>
      <c r="AB118" s="935"/>
      <c r="AC118" s="935"/>
      <c r="AD118" s="935"/>
      <c r="AE118" s="935"/>
      <c r="AF118" s="935"/>
      <c r="AG118" s="935"/>
      <c r="AH118" s="935"/>
      <c r="AI118" s="935"/>
      <c r="AJ118" s="935"/>
      <c r="AK118" s="935"/>
      <c r="AL118" s="935"/>
      <c r="AM118" s="935"/>
      <c r="AN118" s="935"/>
      <c r="AO118" s="935"/>
      <c r="AP118" s="935"/>
      <c r="AQ118" s="935"/>
      <c r="AR118" s="935"/>
      <c r="AS118" s="935"/>
      <c r="AT118" s="935"/>
      <c r="AU118" s="935"/>
      <c r="AV118" s="935"/>
      <c r="AW118" s="935"/>
      <c r="AX118" s="935"/>
      <c r="AY118" s="935"/>
      <c r="AZ118" s="935"/>
      <c r="BA118" s="935"/>
      <c r="BB118" s="935"/>
      <c r="BC118" s="935"/>
      <c r="BD118" s="935"/>
      <c r="BE118" s="935"/>
      <c r="BF118" s="935"/>
      <c r="BG118" s="935"/>
      <c r="BH118" s="935"/>
      <c r="BI118" s="935"/>
      <c r="BJ118" s="935"/>
      <c r="BK118" s="935"/>
      <c r="BL118" s="935"/>
      <c r="BM118" s="935"/>
      <c r="BN118" s="1044"/>
    </row>
    <row r="119" spans="1:66" s="1047" customFormat="1" ht="18" customHeight="1">
      <c r="A119" s="1170" t="s">
        <v>460</v>
      </c>
      <c r="B119" s="213"/>
      <c r="C119" s="213"/>
      <c r="D119" s="213"/>
      <c r="E119" s="213"/>
      <c r="F119" s="213"/>
      <c r="G119" s="213"/>
      <c r="H119" s="213">
        <v>384</v>
      </c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1148">
        <f t="shared" si="7"/>
        <v>384</v>
      </c>
      <c r="AA119" s="873"/>
      <c r="AB119" s="873"/>
      <c r="AC119" s="873"/>
      <c r="AD119" s="873"/>
      <c r="AE119" s="873"/>
      <c r="AF119" s="873"/>
      <c r="AG119" s="873"/>
      <c r="AH119" s="873"/>
      <c r="AI119" s="873"/>
      <c r="AJ119" s="873"/>
      <c r="AK119" s="873"/>
      <c r="AL119" s="873"/>
      <c r="AM119" s="873"/>
      <c r="AN119" s="873"/>
      <c r="AO119" s="873"/>
      <c r="AP119" s="873"/>
      <c r="AQ119" s="873"/>
      <c r="AR119" s="873"/>
      <c r="AS119" s="873"/>
      <c r="AT119" s="873"/>
      <c r="AU119" s="873"/>
      <c r="AV119" s="873"/>
      <c r="AW119" s="873"/>
      <c r="AX119" s="873"/>
      <c r="AY119" s="873"/>
      <c r="AZ119" s="873"/>
      <c r="BA119" s="873"/>
      <c r="BB119" s="873"/>
      <c r="BC119" s="873"/>
      <c r="BD119" s="873"/>
      <c r="BE119" s="873"/>
      <c r="BF119" s="873"/>
      <c r="BG119" s="873"/>
      <c r="BH119" s="873"/>
      <c r="BI119" s="873"/>
      <c r="BJ119" s="873"/>
      <c r="BK119" s="873"/>
      <c r="BL119" s="873"/>
      <c r="BM119" s="873"/>
      <c r="BN119" s="1046"/>
    </row>
    <row r="120" spans="1:66" s="1047" customFormat="1" ht="18" customHeight="1">
      <c r="A120" s="1015" t="s">
        <v>462</v>
      </c>
      <c r="B120" s="181"/>
      <c r="C120" s="181"/>
      <c r="D120" s="181"/>
      <c r="E120" s="181"/>
      <c r="F120" s="181"/>
      <c r="G120" s="181"/>
      <c r="H120" s="181">
        <v>192</v>
      </c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080">
        <f t="shared" si="7"/>
        <v>192</v>
      </c>
      <c r="AA120" s="873"/>
      <c r="AB120" s="873"/>
      <c r="AC120" s="873"/>
      <c r="AD120" s="873"/>
      <c r="AE120" s="873"/>
      <c r="AF120" s="873"/>
      <c r="AG120" s="873"/>
      <c r="AH120" s="873"/>
      <c r="AI120" s="873"/>
      <c r="AJ120" s="873"/>
      <c r="AK120" s="873"/>
      <c r="AL120" s="873"/>
      <c r="AM120" s="873"/>
      <c r="AN120" s="873"/>
      <c r="AO120" s="873"/>
      <c r="AP120" s="873"/>
      <c r="AQ120" s="873"/>
      <c r="AR120" s="873"/>
      <c r="AS120" s="873"/>
      <c r="AT120" s="873"/>
      <c r="AU120" s="873"/>
      <c r="AV120" s="873"/>
      <c r="AW120" s="873"/>
      <c r="AX120" s="873"/>
      <c r="AY120" s="873"/>
      <c r="AZ120" s="873"/>
      <c r="BA120" s="873"/>
      <c r="BB120" s="873"/>
      <c r="BC120" s="873"/>
      <c r="BD120" s="873"/>
      <c r="BE120" s="873"/>
      <c r="BF120" s="873"/>
      <c r="BG120" s="873"/>
      <c r="BH120" s="873"/>
      <c r="BI120" s="873"/>
      <c r="BJ120" s="873"/>
      <c r="BK120" s="873"/>
      <c r="BL120" s="873"/>
      <c r="BM120" s="873"/>
      <c r="BN120" s="1046"/>
    </row>
    <row r="121" spans="1:66" s="1047" customFormat="1" ht="18" customHeight="1">
      <c r="A121" s="1031" t="s">
        <v>463</v>
      </c>
      <c r="B121" s="181"/>
      <c r="C121" s="181"/>
      <c r="D121" s="181"/>
      <c r="E121" s="181"/>
      <c r="F121" s="181"/>
      <c r="G121" s="181"/>
      <c r="H121" s="181">
        <v>672</v>
      </c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080">
        <f t="shared" si="7"/>
        <v>672</v>
      </c>
      <c r="AA121" s="873"/>
      <c r="AB121" s="873"/>
      <c r="AC121" s="873"/>
      <c r="AD121" s="873"/>
      <c r="AE121" s="873"/>
      <c r="AF121" s="873"/>
      <c r="AG121" s="873"/>
      <c r="AH121" s="873"/>
      <c r="AI121" s="873"/>
      <c r="AJ121" s="873"/>
      <c r="AK121" s="873"/>
      <c r="AL121" s="873"/>
      <c r="AM121" s="873"/>
      <c r="AN121" s="873"/>
      <c r="AO121" s="873"/>
      <c r="AP121" s="873"/>
      <c r="AQ121" s="873"/>
      <c r="AR121" s="873"/>
      <c r="AS121" s="873"/>
      <c r="AT121" s="873"/>
      <c r="AU121" s="873"/>
      <c r="AV121" s="873"/>
      <c r="AW121" s="873"/>
      <c r="AX121" s="873"/>
      <c r="AY121" s="873"/>
      <c r="AZ121" s="873"/>
      <c r="BA121" s="873"/>
      <c r="BB121" s="873"/>
      <c r="BC121" s="873"/>
      <c r="BD121" s="873"/>
      <c r="BE121" s="873"/>
      <c r="BF121" s="873"/>
      <c r="BG121" s="873"/>
      <c r="BH121" s="873"/>
      <c r="BI121" s="873"/>
      <c r="BJ121" s="873"/>
      <c r="BK121" s="873"/>
      <c r="BL121" s="873"/>
      <c r="BM121" s="873"/>
      <c r="BN121" s="1046"/>
    </row>
    <row r="122" spans="1:66" s="1047" customFormat="1" ht="18" customHeight="1">
      <c r="A122" s="1031" t="s">
        <v>464</v>
      </c>
      <c r="B122" s="181"/>
      <c r="C122" s="181"/>
      <c r="D122" s="181"/>
      <c r="E122" s="181"/>
      <c r="F122" s="181"/>
      <c r="G122" s="181"/>
      <c r="H122" s="181">
        <v>192</v>
      </c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080">
        <f aca="true" t="shared" si="9" ref="Z122:Z153">SUM(B122:Y122)</f>
        <v>192</v>
      </c>
      <c r="AA122" s="873"/>
      <c r="AB122" s="873"/>
      <c r="AC122" s="873"/>
      <c r="AD122" s="873"/>
      <c r="AE122" s="873"/>
      <c r="AF122" s="873"/>
      <c r="AG122" s="873"/>
      <c r="AH122" s="873"/>
      <c r="AI122" s="873"/>
      <c r="AJ122" s="873"/>
      <c r="AK122" s="873"/>
      <c r="AL122" s="873"/>
      <c r="AM122" s="873"/>
      <c r="AN122" s="873"/>
      <c r="AO122" s="873"/>
      <c r="AP122" s="873"/>
      <c r="AQ122" s="873"/>
      <c r="AR122" s="873"/>
      <c r="AS122" s="873"/>
      <c r="AT122" s="873"/>
      <c r="AU122" s="873"/>
      <c r="AV122" s="873"/>
      <c r="AW122" s="873"/>
      <c r="AX122" s="873"/>
      <c r="AY122" s="873"/>
      <c r="AZ122" s="873"/>
      <c r="BA122" s="873"/>
      <c r="BB122" s="873"/>
      <c r="BC122" s="873"/>
      <c r="BD122" s="873"/>
      <c r="BE122" s="873"/>
      <c r="BF122" s="873"/>
      <c r="BG122" s="873"/>
      <c r="BH122" s="873"/>
      <c r="BI122" s="873"/>
      <c r="BJ122" s="873"/>
      <c r="BK122" s="873"/>
      <c r="BL122" s="873"/>
      <c r="BM122" s="873"/>
      <c r="BN122" s="1046"/>
    </row>
    <row r="123" spans="1:66" s="1047" customFormat="1" ht="18" customHeight="1">
      <c r="A123" s="1019" t="s">
        <v>397</v>
      </c>
      <c r="B123" s="181"/>
      <c r="C123" s="181"/>
      <c r="D123" s="181"/>
      <c r="E123" s="181"/>
      <c r="F123" s="181"/>
      <c r="G123" s="181"/>
      <c r="H123" s="181">
        <v>96</v>
      </c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080">
        <f t="shared" si="9"/>
        <v>96</v>
      </c>
      <c r="AA123" s="873"/>
      <c r="AB123" s="873"/>
      <c r="AC123" s="873"/>
      <c r="AD123" s="873"/>
      <c r="AE123" s="873"/>
      <c r="AF123" s="873"/>
      <c r="AG123" s="873"/>
      <c r="AH123" s="873"/>
      <c r="AI123" s="873"/>
      <c r="AJ123" s="873"/>
      <c r="AK123" s="873"/>
      <c r="AL123" s="873"/>
      <c r="AM123" s="873"/>
      <c r="AN123" s="873"/>
      <c r="AO123" s="873"/>
      <c r="AP123" s="873"/>
      <c r="AQ123" s="873"/>
      <c r="AR123" s="873"/>
      <c r="AS123" s="873"/>
      <c r="AT123" s="873"/>
      <c r="AU123" s="873"/>
      <c r="AV123" s="873"/>
      <c r="AW123" s="873"/>
      <c r="AX123" s="873"/>
      <c r="AY123" s="873"/>
      <c r="AZ123" s="873"/>
      <c r="BA123" s="873"/>
      <c r="BB123" s="873"/>
      <c r="BC123" s="873"/>
      <c r="BD123" s="873"/>
      <c r="BE123" s="873"/>
      <c r="BF123" s="873"/>
      <c r="BG123" s="873"/>
      <c r="BH123" s="873"/>
      <c r="BI123" s="873"/>
      <c r="BJ123" s="873"/>
      <c r="BK123" s="873"/>
      <c r="BL123" s="873"/>
      <c r="BM123" s="873"/>
      <c r="BN123" s="1046"/>
    </row>
    <row r="124" spans="1:66" s="1047" customFormat="1" ht="18" customHeight="1">
      <c r="A124" s="1048" t="s">
        <v>467</v>
      </c>
      <c r="B124" s="181"/>
      <c r="C124" s="181"/>
      <c r="D124" s="181"/>
      <c r="E124" s="181"/>
      <c r="F124" s="181"/>
      <c r="G124" s="181"/>
      <c r="H124" s="181">
        <v>480</v>
      </c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080">
        <f t="shared" si="9"/>
        <v>480</v>
      </c>
      <c r="AA124" s="873"/>
      <c r="AB124" s="873"/>
      <c r="AC124" s="873"/>
      <c r="AD124" s="873"/>
      <c r="AE124" s="873"/>
      <c r="AF124" s="873"/>
      <c r="AG124" s="873"/>
      <c r="AH124" s="873"/>
      <c r="AI124" s="873"/>
      <c r="AJ124" s="873"/>
      <c r="AK124" s="873"/>
      <c r="AL124" s="873"/>
      <c r="AM124" s="873"/>
      <c r="AN124" s="873"/>
      <c r="AO124" s="873"/>
      <c r="AP124" s="873"/>
      <c r="AQ124" s="873"/>
      <c r="AR124" s="873"/>
      <c r="AS124" s="873"/>
      <c r="AT124" s="873"/>
      <c r="AU124" s="873"/>
      <c r="AV124" s="873"/>
      <c r="AW124" s="873"/>
      <c r="AX124" s="873"/>
      <c r="AY124" s="873"/>
      <c r="AZ124" s="873"/>
      <c r="BA124" s="873"/>
      <c r="BB124" s="873"/>
      <c r="BC124" s="873"/>
      <c r="BD124" s="873"/>
      <c r="BE124" s="873"/>
      <c r="BF124" s="873"/>
      <c r="BG124" s="873"/>
      <c r="BH124" s="873"/>
      <c r="BI124" s="873"/>
      <c r="BJ124" s="873"/>
      <c r="BK124" s="873"/>
      <c r="BL124" s="873"/>
      <c r="BM124" s="873"/>
      <c r="BN124" s="1046"/>
    </row>
    <row r="125" spans="1:66" s="1047" customFormat="1" ht="18" customHeight="1">
      <c r="A125" s="1019" t="s">
        <v>470</v>
      </c>
      <c r="B125" s="181"/>
      <c r="C125" s="181"/>
      <c r="D125" s="181"/>
      <c r="E125" s="181"/>
      <c r="F125" s="181"/>
      <c r="G125" s="181"/>
      <c r="H125" s="181">
        <v>192</v>
      </c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080">
        <f t="shared" si="9"/>
        <v>192</v>
      </c>
      <c r="AA125" s="873"/>
      <c r="AB125" s="873"/>
      <c r="AC125" s="873"/>
      <c r="AD125" s="873"/>
      <c r="AE125" s="873"/>
      <c r="AF125" s="873"/>
      <c r="AG125" s="873"/>
      <c r="AH125" s="873"/>
      <c r="AI125" s="873"/>
      <c r="AJ125" s="873"/>
      <c r="AK125" s="873"/>
      <c r="AL125" s="873"/>
      <c r="AM125" s="873"/>
      <c r="AN125" s="873"/>
      <c r="AO125" s="873"/>
      <c r="AP125" s="873"/>
      <c r="AQ125" s="873"/>
      <c r="AR125" s="873"/>
      <c r="AS125" s="873"/>
      <c r="AT125" s="873"/>
      <c r="AU125" s="873"/>
      <c r="AV125" s="873"/>
      <c r="AW125" s="873"/>
      <c r="AX125" s="873"/>
      <c r="AY125" s="873"/>
      <c r="AZ125" s="873"/>
      <c r="BA125" s="873"/>
      <c r="BB125" s="873"/>
      <c r="BC125" s="873"/>
      <c r="BD125" s="873"/>
      <c r="BE125" s="873"/>
      <c r="BF125" s="873"/>
      <c r="BG125" s="873"/>
      <c r="BH125" s="873"/>
      <c r="BI125" s="873"/>
      <c r="BJ125" s="873"/>
      <c r="BK125" s="873"/>
      <c r="BL125" s="873"/>
      <c r="BM125" s="873"/>
      <c r="BN125" s="1046"/>
    </row>
    <row r="126" spans="1:66" s="1047" customFormat="1" ht="18" customHeight="1">
      <c r="A126" s="1048" t="s">
        <v>471</v>
      </c>
      <c r="B126" s="181"/>
      <c r="C126" s="181"/>
      <c r="D126" s="181"/>
      <c r="E126" s="181"/>
      <c r="F126" s="181"/>
      <c r="G126" s="181"/>
      <c r="H126" s="181">
        <v>96</v>
      </c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080">
        <f t="shared" si="9"/>
        <v>96</v>
      </c>
      <c r="AA126" s="873"/>
      <c r="AB126" s="873"/>
      <c r="AC126" s="873"/>
      <c r="AD126" s="873"/>
      <c r="AE126" s="873"/>
      <c r="AF126" s="873"/>
      <c r="AG126" s="873"/>
      <c r="AH126" s="873"/>
      <c r="AI126" s="873"/>
      <c r="AJ126" s="873"/>
      <c r="AK126" s="873"/>
      <c r="AL126" s="873"/>
      <c r="AM126" s="873"/>
      <c r="AN126" s="873"/>
      <c r="AO126" s="873"/>
      <c r="AP126" s="873"/>
      <c r="AQ126" s="873"/>
      <c r="AR126" s="873"/>
      <c r="AS126" s="873"/>
      <c r="AT126" s="873"/>
      <c r="AU126" s="873"/>
      <c r="AV126" s="873"/>
      <c r="AW126" s="873"/>
      <c r="AX126" s="873"/>
      <c r="AY126" s="873"/>
      <c r="AZ126" s="873"/>
      <c r="BA126" s="873"/>
      <c r="BB126" s="873"/>
      <c r="BC126" s="873"/>
      <c r="BD126" s="873"/>
      <c r="BE126" s="873"/>
      <c r="BF126" s="873"/>
      <c r="BG126" s="873"/>
      <c r="BH126" s="873"/>
      <c r="BI126" s="873"/>
      <c r="BJ126" s="873"/>
      <c r="BK126" s="873"/>
      <c r="BL126" s="873"/>
      <c r="BM126" s="873"/>
      <c r="BN126" s="1046"/>
    </row>
    <row r="127" spans="1:66" s="1047" customFormat="1" ht="18" customHeight="1">
      <c r="A127" s="1015" t="s">
        <v>473</v>
      </c>
      <c r="B127" s="181"/>
      <c r="C127" s="181"/>
      <c r="D127" s="181"/>
      <c r="E127" s="181"/>
      <c r="F127" s="181"/>
      <c r="G127" s="181"/>
      <c r="H127" s="181">
        <v>192</v>
      </c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080">
        <f t="shared" si="9"/>
        <v>192</v>
      </c>
      <c r="AA127" s="873"/>
      <c r="AB127" s="873"/>
      <c r="AC127" s="873"/>
      <c r="AD127" s="873"/>
      <c r="AE127" s="873"/>
      <c r="AF127" s="873"/>
      <c r="AG127" s="873"/>
      <c r="AH127" s="873"/>
      <c r="AI127" s="873"/>
      <c r="AJ127" s="873"/>
      <c r="AK127" s="873"/>
      <c r="AL127" s="873"/>
      <c r="AM127" s="873"/>
      <c r="AN127" s="873"/>
      <c r="AO127" s="873"/>
      <c r="AP127" s="873"/>
      <c r="AQ127" s="873"/>
      <c r="AR127" s="873"/>
      <c r="AS127" s="873"/>
      <c r="AT127" s="873"/>
      <c r="AU127" s="873"/>
      <c r="AV127" s="873"/>
      <c r="AW127" s="873"/>
      <c r="AX127" s="873"/>
      <c r="AY127" s="873"/>
      <c r="AZ127" s="873"/>
      <c r="BA127" s="873"/>
      <c r="BB127" s="873"/>
      <c r="BC127" s="873"/>
      <c r="BD127" s="873"/>
      <c r="BE127" s="873"/>
      <c r="BF127" s="873"/>
      <c r="BG127" s="873"/>
      <c r="BH127" s="873"/>
      <c r="BI127" s="873"/>
      <c r="BJ127" s="873"/>
      <c r="BK127" s="873"/>
      <c r="BL127" s="873"/>
      <c r="BM127" s="873"/>
      <c r="BN127" s="1046"/>
    </row>
    <row r="128" spans="1:66" s="1047" customFormat="1" ht="18" customHeight="1">
      <c r="A128" s="1031" t="s">
        <v>474</v>
      </c>
      <c r="B128" s="181"/>
      <c r="C128" s="181"/>
      <c r="D128" s="181"/>
      <c r="E128" s="181"/>
      <c r="F128" s="181"/>
      <c r="G128" s="181"/>
      <c r="H128" s="181">
        <v>288</v>
      </c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080">
        <f t="shared" si="9"/>
        <v>288</v>
      </c>
      <c r="AA128" s="873"/>
      <c r="AB128" s="873"/>
      <c r="AC128" s="873"/>
      <c r="AD128" s="873"/>
      <c r="AE128" s="873"/>
      <c r="AF128" s="873"/>
      <c r="AG128" s="873"/>
      <c r="AH128" s="873"/>
      <c r="AI128" s="873"/>
      <c r="AJ128" s="873"/>
      <c r="AK128" s="873"/>
      <c r="AL128" s="873"/>
      <c r="AM128" s="873"/>
      <c r="AN128" s="873"/>
      <c r="AO128" s="873"/>
      <c r="AP128" s="873"/>
      <c r="AQ128" s="873"/>
      <c r="AR128" s="873"/>
      <c r="AS128" s="873"/>
      <c r="AT128" s="873"/>
      <c r="AU128" s="873"/>
      <c r="AV128" s="873"/>
      <c r="AW128" s="873"/>
      <c r="AX128" s="873"/>
      <c r="AY128" s="873"/>
      <c r="AZ128" s="873"/>
      <c r="BA128" s="873"/>
      <c r="BB128" s="873"/>
      <c r="BC128" s="873"/>
      <c r="BD128" s="873"/>
      <c r="BE128" s="873"/>
      <c r="BF128" s="873"/>
      <c r="BG128" s="873"/>
      <c r="BH128" s="873"/>
      <c r="BI128" s="873"/>
      <c r="BJ128" s="873"/>
      <c r="BK128" s="873"/>
      <c r="BL128" s="873"/>
      <c r="BM128" s="873"/>
      <c r="BN128" s="1046"/>
    </row>
    <row r="129" spans="1:66" s="1047" customFormat="1" ht="18" customHeight="1">
      <c r="A129" s="1031" t="s">
        <v>475</v>
      </c>
      <c r="B129" s="181"/>
      <c r="C129" s="181"/>
      <c r="D129" s="181"/>
      <c r="E129" s="181"/>
      <c r="F129" s="181"/>
      <c r="G129" s="181"/>
      <c r="H129" s="181">
        <v>96</v>
      </c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080">
        <f t="shared" si="9"/>
        <v>96</v>
      </c>
      <c r="AA129" s="873"/>
      <c r="AB129" s="873"/>
      <c r="AC129" s="873"/>
      <c r="AD129" s="873"/>
      <c r="AE129" s="873"/>
      <c r="AF129" s="873"/>
      <c r="AG129" s="873"/>
      <c r="AH129" s="873"/>
      <c r="AI129" s="873"/>
      <c r="AJ129" s="873"/>
      <c r="AK129" s="873"/>
      <c r="AL129" s="873"/>
      <c r="AM129" s="873"/>
      <c r="AN129" s="873"/>
      <c r="AO129" s="873"/>
      <c r="AP129" s="873"/>
      <c r="AQ129" s="873"/>
      <c r="AR129" s="873"/>
      <c r="AS129" s="873"/>
      <c r="AT129" s="873"/>
      <c r="AU129" s="873"/>
      <c r="AV129" s="873"/>
      <c r="AW129" s="873"/>
      <c r="AX129" s="873"/>
      <c r="AY129" s="873"/>
      <c r="AZ129" s="873"/>
      <c r="BA129" s="873"/>
      <c r="BB129" s="873"/>
      <c r="BC129" s="873"/>
      <c r="BD129" s="873"/>
      <c r="BE129" s="873"/>
      <c r="BF129" s="873"/>
      <c r="BG129" s="873"/>
      <c r="BH129" s="873"/>
      <c r="BI129" s="873"/>
      <c r="BJ129" s="873"/>
      <c r="BK129" s="873"/>
      <c r="BL129" s="873"/>
      <c r="BM129" s="873"/>
      <c r="BN129" s="1046"/>
    </row>
    <row r="130" spans="1:144" s="1047" customFormat="1" ht="18" customHeight="1">
      <c r="A130" s="1015" t="s">
        <v>477</v>
      </c>
      <c r="B130" s="181"/>
      <c r="C130" s="181"/>
      <c r="D130" s="181"/>
      <c r="E130" s="181"/>
      <c r="F130" s="181"/>
      <c r="G130" s="181"/>
      <c r="H130" s="181">
        <v>96</v>
      </c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080">
        <f t="shared" si="9"/>
        <v>96</v>
      </c>
      <c r="AA130" s="873"/>
      <c r="AB130" s="873"/>
      <c r="AC130" s="873"/>
      <c r="AD130" s="873"/>
      <c r="AE130" s="873"/>
      <c r="AF130" s="873"/>
      <c r="AG130" s="873"/>
      <c r="AH130" s="873"/>
      <c r="AI130" s="873"/>
      <c r="AJ130" s="873"/>
      <c r="AK130" s="873"/>
      <c r="AL130" s="873"/>
      <c r="AM130" s="873"/>
      <c r="AN130" s="873"/>
      <c r="AO130" s="873"/>
      <c r="AP130" s="873"/>
      <c r="AQ130" s="873"/>
      <c r="AR130" s="873"/>
      <c r="AS130" s="873"/>
      <c r="AT130" s="873"/>
      <c r="AU130" s="873"/>
      <c r="AV130" s="873"/>
      <c r="AW130" s="873"/>
      <c r="AX130" s="873"/>
      <c r="AY130" s="873"/>
      <c r="AZ130" s="873"/>
      <c r="BA130" s="873"/>
      <c r="BB130" s="873"/>
      <c r="BC130" s="873"/>
      <c r="BD130" s="873"/>
      <c r="BE130" s="873"/>
      <c r="BF130" s="873"/>
      <c r="BG130" s="873"/>
      <c r="BH130" s="873"/>
      <c r="BI130" s="873"/>
      <c r="BJ130" s="873"/>
      <c r="BK130" s="873"/>
      <c r="BL130" s="873"/>
      <c r="BM130" s="873"/>
      <c r="BN130" s="873"/>
      <c r="BO130" s="873"/>
      <c r="BP130" s="873"/>
      <c r="BQ130" s="873"/>
      <c r="BR130" s="873"/>
      <c r="BS130" s="873"/>
      <c r="BT130" s="873"/>
      <c r="BU130" s="873"/>
      <c r="BV130" s="873"/>
      <c r="BW130" s="873"/>
      <c r="BX130" s="873"/>
      <c r="BY130" s="873"/>
      <c r="BZ130" s="873"/>
      <c r="CA130" s="873"/>
      <c r="CB130" s="873"/>
      <c r="CC130" s="873"/>
      <c r="CD130" s="873"/>
      <c r="CE130" s="873"/>
      <c r="CF130" s="873"/>
      <c r="CG130" s="873"/>
      <c r="CH130" s="873"/>
      <c r="CI130" s="873"/>
      <c r="CJ130" s="873"/>
      <c r="CK130" s="873"/>
      <c r="CL130" s="873"/>
      <c r="CM130" s="873"/>
      <c r="CN130" s="873"/>
      <c r="CO130" s="873"/>
      <c r="CP130" s="873"/>
      <c r="CQ130" s="873"/>
      <c r="CR130" s="873"/>
      <c r="CS130" s="873"/>
      <c r="CT130" s="873"/>
      <c r="CU130" s="873"/>
      <c r="CV130" s="873"/>
      <c r="CW130" s="873"/>
      <c r="CX130" s="873"/>
      <c r="CY130" s="873"/>
      <c r="CZ130" s="873"/>
      <c r="DA130" s="873"/>
      <c r="DB130" s="873"/>
      <c r="DC130" s="873"/>
      <c r="DD130" s="873"/>
      <c r="DE130" s="873"/>
      <c r="DF130" s="873"/>
      <c r="DG130" s="873"/>
      <c r="DH130" s="873"/>
      <c r="DI130" s="873"/>
      <c r="DJ130" s="873"/>
      <c r="DK130" s="873"/>
      <c r="DL130" s="873"/>
      <c r="DM130" s="873"/>
      <c r="DN130" s="873"/>
      <c r="DO130" s="873"/>
      <c r="DP130" s="873"/>
      <c r="DQ130" s="873"/>
      <c r="DR130" s="873"/>
      <c r="DS130" s="873"/>
      <c r="DT130" s="873"/>
      <c r="DU130" s="873"/>
      <c r="DV130" s="873"/>
      <c r="DW130" s="873"/>
      <c r="DX130" s="873"/>
      <c r="DY130" s="873"/>
      <c r="DZ130" s="873"/>
      <c r="EA130" s="873"/>
      <c r="EB130" s="873"/>
      <c r="EC130" s="873"/>
      <c r="ED130" s="873"/>
      <c r="EE130" s="873"/>
      <c r="EF130" s="873"/>
      <c r="EG130" s="873"/>
      <c r="EH130" s="873"/>
      <c r="EI130" s="873"/>
      <c r="EJ130" s="873"/>
      <c r="EK130" s="873"/>
      <c r="EL130" s="873"/>
      <c r="EM130" s="873"/>
      <c r="EN130" s="873"/>
    </row>
    <row r="131" spans="1:144" s="1047" customFormat="1" ht="18" customHeight="1">
      <c r="A131" s="1031" t="s">
        <v>478</v>
      </c>
      <c r="B131" s="181"/>
      <c r="C131" s="181"/>
      <c r="D131" s="181"/>
      <c r="E131" s="181"/>
      <c r="F131" s="181"/>
      <c r="G131" s="181"/>
      <c r="H131" s="181">
        <v>96</v>
      </c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080">
        <f t="shared" si="9"/>
        <v>96</v>
      </c>
      <c r="AA131" s="873"/>
      <c r="AB131" s="873"/>
      <c r="AC131" s="873"/>
      <c r="AD131" s="873"/>
      <c r="AE131" s="873"/>
      <c r="AF131" s="873"/>
      <c r="AG131" s="873"/>
      <c r="AH131" s="873"/>
      <c r="AI131" s="873"/>
      <c r="AJ131" s="873"/>
      <c r="AK131" s="873"/>
      <c r="AL131" s="873"/>
      <c r="AM131" s="873"/>
      <c r="AN131" s="873"/>
      <c r="AO131" s="873"/>
      <c r="AP131" s="873"/>
      <c r="AQ131" s="873"/>
      <c r="AR131" s="873"/>
      <c r="AS131" s="873"/>
      <c r="AT131" s="873"/>
      <c r="AU131" s="873"/>
      <c r="AV131" s="873"/>
      <c r="AW131" s="873"/>
      <c r="AX131" s="873"/>
      <c r="AY131" s="873"/>
      <c r="AZ131" s="873"/>
      <c r="BA131" s="873"/>
      <c r="BB131" s="873"/>
      <c r="BC131" s="873"/>
      <c r="BD131" s="873"/>
      <c r="BE131" s="873"/>
      <c r="BF131" s="873"/>
      <c r="BG131" s="873"/>
      <c r="BH131" s="873"/>
      <c r="BI131" s="873"/>
      <c r="BJ131" s="873"/>
      <c r="BK131" s="873"/>
      <c r="BL131" s="873"/>
      <c r="BM131" s="873"/>
      <c r="BN131" s="873"/>
      <c r="BO131" s="873"/>
      <c r="BP131" s="873"/>
      <c r="BQ131" s="873"/>
      <c r="BR131" s="873"/>
      <c r="BS131" s="873"/>
      <c r="BT131" s="873"/>
      <c r="BU131" s="873"/>
      <c r="BV131" s="873"/>
      <c r="BW131" s="873"/>
      <c r="BX131" s="873"/>
      <c r="BY131" s="873"/>
      <c r="BZ131" s="873"/>
      <c r="CA131" s="873"/>
      <c r="CB131" s="873"/>
      <c r="CC131" s="873"/>
      <c r="CD131" s="873"/>
      <c r="CE131" s="873"/>
      <c r="CF131" s="873"/>
      <c r="CG131" s="873"/>
      <c r="CH131" s="873"/>
      <c r="CI131" s="873"/>
      <c r="CJ131" s="873"/>
      <c r="CK131" s="873"/>
      <c r="CL131" s="873"/>
      <c r="CM131" s="873"/>
      <c r="CN131" s="873"/>
      <c r="CO131" s="873"/>
      <c r="CP131" s="873"/>
      <c r="CQ131" s="873"/>
      <c r="CR131" s="873"/>
      <c r="CS131" s="873"/>
      <c r="CT131" s="873"/>
      <c r="CU131" s="873"/>
      <c r="CV131" s="873"/>
      <c r="CW131" s="873"/>
      <c r="CX131" s="873"/>
      <c r="CY131" s="873"/>
      <c r="CZ131" s="873"/>
      <c r="DA131" s="873"/>
      <c r="DB131" s="873"/>
      <c r="DC131" s="873"/>
      <c r="DD131" s="873"/>
      <c r="DE131" s="873"/>
      <c r="DF131" s="873"/>
      <c r="DG131" s="873"/>
      <c r="DH131" s="873"/>
      <c r="DI131" s="873"/>
      <c r="DJ131" s="873"/>
      <c r="DK131" s="873"/>
      <c r="DL131" s="873"/>
      <c r="DM131" s="873"/>
      <c r="DN131" s="873"/>
      <c r="DO131" s="873"/>
      <c r="DP131" s="873"/>
      <c r="DQ131" s="873"/>
      <c r="DR131" s="873"/>
      <c r="DS131" s="873"/>
      <c r="DT131" s="873"/>
      <c r="DU131" s="873"/>
      <c r="DV131" s="873"/>
      <c r="DW131" s="873"/>
      <c r="DX131" s="873"/>
      <c r="DY131" s="873"/>
      <c r="DZ131" s="873"/>
      <c r="EA131" s="873"/>
      <c r="EB131" s="873"/>
      <c r="EC131" s="873"/>
      <c r="ED131" s="873"/>
      <c r="EE131" s="873"/>
      <c r="EF131" s="873"/>
      <c r="EG131" s="873"/>
      <c r="EH131" s="873"/>
      <c r="EI131" s="873"/>
      <c r="EJ131" s="873"/>
      <c r="EK131" s="873"/>
      <c r="EL131" s="873"/>
      <c r="EM131" s="873"/>
      <c r="EN131" s="873"/>
    </row>
    <row r="132" spans="1:144" s="1047" customFormat="1" ht="18" customHeight="1">
      <c r="A132" s="1031" t="s">
        <v>479</v>
      </c>
      <c r="B132" s="181"/>
      <c r="C132" s="181"/>
      <c r="D132" s="181"/>
      <c r="E132" s="181"/>
      <c r="F132" s="181"/>
      <c r="G132" s="181"/>
      <c r="H132" s="181">
        <v>96</v>
      </c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080">
        <f t="shared" si="9"/>
        <v>96</v>
      </c>
      <c r="AA132" s="873"/>
      <c r="AB132" s="873"/>
      <c r="AC132" s="873"/>
      <c r="AD132" s="873"/>
      <c r="AE132" s="873"/>
      <c r="AF132" s="873"/>
      <c r="AG132" s="873"/>
      <c r="AH132" s="873"/>
      <c r="AI132" s="873"/>
      <c r="AJ132" s="873"/>
      <c r="AK132" s="873"/>
      <c r="AL132" s="873"/>
      <c r="AM132" s="873"/>
      <c r="AN132" s="873"/>
      <c r="AO132" s="873"/>
      <c r="AP132" s="873"/>
      <c r="AQ132" s="873"/>
      <c r="AR132" s="873"/>
      <c r="AS132" s="873"/>
      <c r="AT132" s="873"/>
      <c r="AU132" s="873"/>
      <c r="AV132" s="873"/>
      <c r="AW132" s="873"/>
      <c r="AX132" s="873"/>
      <c r="AY132" s="873"/>
      <c r="AZ132" s="873"/>
      <c r="BA132" s="873"/>
      <c r="BB132" s="873"/>
      <c r="BC132" s="873"/>
      <c r="BD132" s="873"/>
      <c r="BE132" s="873"/>
      <c r="BF132" s="873"/>
      <c r="BG132" s="873"/>
      <c r="BH132" s="873"/>
      <c r="BI132" s="873"/>
      <c r="BJ132" s="873"/>
      <c r="BK132" s="873"/>
      <c r="BL132" s="873"/>
      <c r="BM132" s="873"/>
      <c r="BN132" s="873"/>
      <c r="BO132" s="873"/>
      <c r="BP132" s="873"/>
      <c r="BQ132" s="873"/>
      <c r="BR132" s="873"/>
      <c r="BS132" s="873"/>
      <c r="BT132" s="873"/>
      <c r="BU132" s="873"/>
      <c r="BV132" s="873"/>
      <c r="BW132" s="873"/>
      <c r="BX132" s="873"/>
      <c r="BY132" s="873"/>
      <c r="BZ132" s="873"/>
      <c r="CA132" s="873"/>
      <c r="CB132" s="873"/>
      <c r="CC132" s="873"/>
      <c r="CD132" s="873"/>
      <c r="CE132" s="873"/>
      <c r="CF132" s="873"/>
      <c r="CG132" s="873"/>
      <c r="CH132" s="873"/>
      <c r="CI132" s="873"/>
      <c r="CJ132" s="873"/>
      <c r="CK132" s="873"/>
      <c r="CL132" s="873"/>
      <c r="CM132" s="873"/>
      <c r="CN132" s="873"/>
      <c r="CO132" s="873"/>
      <c r="CP132" s="873"/>
      <c r="CQ132" s="873"/>
      <c r="CR132" s="873"/>
      <c r="CS132" s="873"/>
      <c r="CT132" s="873"/>
      <c r="CU132" s="873"/>
      <c r="CV132" s="873"/>
      <c r="CW132" s="873"/>
      <c r="CX132" s="873"/>
      <c r="CY132" s="873"/>
      <c r="CZ132" s="873"/>
      <c r="DA132" s="873"/>
      <c r="DB132" s="873"/>
      <c r="DC132" s="873"/>
      <c r="DD132" s="873"/>
      <c r="DE132" s="873"/>
      <c r="DF132" s="873"/>
      <c r="DG132" s="873"/>
      <c r="DH132" s="873"/>
      <c r="DI132" s="873"/>
      <c r="DJ132" s="873"/>
      <c r="DK132" s="873"/>
      <c r="DL132" s="873"/>
      <c r="DM132" s="873"/>
      <c r="DN132" s="873"/>
      <c r="DO132" s="873"/>
      <c r="DP132" s="873"/>
      <c r="DQ132" s="873"/>
      <c r="DR132" s="873"/>
      <c r="DS132" s="873"/>
      <c r="DT132" s="873"/>
      <c r="DU132" s="873"/>
      <c r="DV132" s="873"/>
      <c r="DW132" s="873"/>
      <c r="DX132" s="873"/>
      <c r="DY132" s="873"/>
      <c r="DZ132" s="873"/>
      <c r="EA132" s="873"/>
      <c r="EB132" s="873"/>
      <c r="EC132" s="873"/>
      <c r="ED132" s="873"/>
      <c r="EE132" s="873"/>
      <c r="EF132" s="873"/>
      <c r="EG132" s="873"/>
      <c r="EH132" s="873"/>
      <c r="EI132" s="873"/>
      <c r="EJ132" s="873"/>
      <c r="EK132" s="873"/>
      <c r="EL132" s="873"/>
      <c r="EM132" s="873"/>
      <c r="EN132" s="873"/>
    </row>
    <row r="133" spans="1:144" s="1047" customFormat="1" ht="18" customHeight="1">
      <c r="A133" s="1015" t="s">
        <v>480</v>
      </c>
      <c r="B133" s="181"/>
      <c r="C133" s="181"/>
      <c r="D133" s="181"/>
      <c r="E133" s="181"/>
      <c r="F133" s="181"/>
      <c r="G133" s="181"/>
      <c r="H133" s="181">
        <v>384</v>
      </c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080">
        <f t="shared" si="9"/>
        <v>384</v>
      </c>
      <c r="AA133" s="873"/>
      <c r="AB133" s="873"/>
      <c r="AC133" s="873"/>
      <c r="AD133" s="873"/>
      <c r="AE133" s="873"/>
      <c r="AF133" s="873"/>
      <c r="AG133" s="873"/>
      <c r="AH133" s="873"/>
      <c r="AI133" s="873"/>
      <c r="AJ133" s="873"/>
      <c r="AK133" s="873"/>
      <c r="AL133" s="873"/>
      <c r="AM133" s="873"/>
      <c r="AN133" s="873"/>
      <c r="AO133" s="873"/>
      <c r="AP133" s="873"/>
      <c r="AQ133" s="873"/>
      <c r="AR133" s="873"/>
      <c r="AS133" s="873"/>
      <c r="AT133" s="873"/>
      <c r="AU133" s="873"/>
      <c r="AV133" s="873"/>
      <c r="AW133" s="873"/>
      <c r="AX133" s="873"/>
      <c r="AY133" s="873"/>
      <c r="AZ133" s="873"/>
      <c r="BA133" s="873"/>
      <c r="BB133" s="873"/>
      <c r="BC133" s="873"/>
      <c r="BD133" s="873"/>
      <c r="BE133" s="873"/>
      <c r="BF133" s="873"/>
      <c r="BG133" s="873"/>
      <c r="BH133" s="873"/>
      <c r="BI133" s="873"/>
      <c r="BJ133" s="873"/>
      <c r="BK133" s="873"/>
      <c r="BL133" s="873"/>
      <c r="BM133" s="873"/>
      <c r="BN133" s="873"/>
      <c r="BO133" s="873"/>
      <c r="BP133" s="873"/>
      <c r="BQ133" s="873"/>
      <c r="BR133" s="873"/>
      <c r="BS133" s="873"/>
      <c r="BT133" s="873"/>
      <c r="BU133" s="873"/>
      <c r="BV133" s="873"/>
      <c r="BW133" s="873"/>
      <c r="BX133" s="873"/>
      <c r="BY133" s="873"/>
      <c r="BZ133" s="873"/>
      <c r="CA133" s="873"/>
      <c r="CB133" s="873"/>
      <c r="CC133" s="873"/>
      <c r="CD133" s="873"/>
      <c r="CE133" s="873"/>
      <c r="CF133" s="873"/>
      <c r="CG133" s="873"/>
      <c r="CH133" s="873"/>
      <c r="CI133" s="873"/>
      <c r="CJ133" s="873"/>
      <c r="CK133" s="873"/>
      <c r="CL133" s="873"/>
      <c r="CM133" s="873"/>
      <c r="CN133" s="873"/>
      <c r="CO133" s="873"/>
      <c r="CP133" s="873"/>
      <c r="CQ133" s="873"/>
      <c r="CR133" s="873"/>
      <c r="CS133" s="873"/>
      <c r="CT133" s="873"/>
      <c r="CU133" s="873"/>
      <c r="CV133" s="873"/>
      <c r="CW133" s="873"/>
      <c r="CX133" s="873"/>
      <c r="CY133" s="873"/>
      <c r="CZ133" s="873"/>
      <c r="DA133" s="873"/>
      <c r="DB133" s="873"/>
      <c r="DC133" s="873"/>
      <c r="DD133" s="873"/>
      <c r="DE133" s="873"/>
      <c r="DF133" s="873"/>
      <c r="DG133" s="873"/>
      <c r="DH133" s="873"/>
      <c r="DI133" s="873"/>
      <c r="DJ133" s="873"/>
      <c r="DK133" s="873"/>
      <c r="DL133" s="873"/>
      <c r="DM133" s="873"/>
      <c r="DN133" s="873"/>
      <c r="DO133" s="873"/>
      <c r="DP133" s="873"/>
      <c r="DQ133" s="873"/>
      <c r="DR133" s="873"/>
      <c r="DS133" s="873"/>
      <c r="DT133" s="873"/>
      <c r="DU133" s="873"/>
      <c r="DV133" s="873"/>
      <c r="DW133" s="873"/>
      <c r="DX133" s="873"/>
      <c r="DY133" s="873"/>
      <c r="DZ133" s="873"/>
      <c r="EA133" s="873"/>
      <c r="EB133" s="873"/>
      <c r="EC133" s="873"/>
      <c r="ED133" s="873"/>
      <c r="EE133" s="873"/>
      <c r="EF133" s="873"/>
      <c r="EG133" s="873"/>
      <c r="EH133" s="873"/>
      <c r="EI133" s="873"/>
      <c r="EJ133" s="873"/>
      <c r="EK133" s="873"/>
      <c r="EL133" s="873"/>
      <c r="EM133" s="873"/>
      <c r="EN133" s="873"/>
    </row>
    <row r="134" spans="1:144" s="1047" customFormat="1" ht="18" customHeight="1">
      <c r="A134" s="1031" t="s">
        <v>481</v>
      </c>
      <c r="B134" s="181"/>
      <c r="C134" s="181"/>
      <c r="D134" s="181"/>
      <c r="E134" s="181"/>
      <c r="F134" s="181"/>
      <c r="G134" s="181"/>
      <c r="H134" s="181">
        <v>96</v>
      </c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080">
        <f t="shared" si="9"/>
        <v>96</v>
      </c>
      <c r="AA134" s="873"/>
      <c r="AB134" s="873"/>
      <c r="AC134" s="873"/>
      <c r="AD134" s="873"/>
      <c r="AE134" s="873"/>
      <c r="AF134" s="873"/>
      <c r="AG134" s="873"/>
      <c r="AH134" s="873"/>
      <c r="AI134" s="873"/>
      <c r="AJ134" s="873"/>
      <c r="AK134" s="873"/>
      <c r="AL134" s="873"/>
      <c r="AM134" s="873"/>
      <c r="AN134" s="873"/>
      <c r="AO134" s="873"/>
      <c r="AP134" s="873"/>
      <c r="AQ134" s="873"/>
      <c r="AR134" s="873"/>
      <c r="AS134" s="873"/>
      <c r="AT134" s="873"/>
      <c r="AU134" s="873"/>
      <c r="AV134" s="873"/>
      <c r="AW134" s="873"/>
      <c r="AX134" s="873"/>
      <c r="AY134" s="873"/>
      <c r="AZ134" s="873"/>
      <c r="BA134" s="873"/>
      <c r="BB134" s="873"/>
      <c r="BC134" s="873"/>
      <c r="BD134" s="873"/>
      <c r="BE134" s="873"/>
      <c r="BF134" s="873"/>
      <c r="BG134" s="873"/>
      <c r="BH134" s="873"/>
      <c r="BI134" s="873"/>
      <c r="BJ134" s="873"/>
      <c r="BK134" s="873"/>
      <c r="BL134" s="873"/>
      <c r="BM134" s="873"/>
      <c r="BN134" s="873"/>
      <c r="BO134" s="873"/>
      <c r="BP134" s="873"/>
      <c r="BQ134" s="873"/>
      <c r="BR134" s="873"/>
      <c r="BS134" s="873"/>
      <c r="BT134" s="873"/>
      <c r="BU134" s="873"/>
      <c r="BV134" s="873"/>
      <c r="BW134" s="873"/>
      <c r="BX134" s="873"/>
      <c r="BY134" s="873"/>
      <c r="BZ134" s="873"/>
      <c r="CA134" s="873"/>
      <c r="CB134" s="873"/>
      <c r="CC134" s="873"/>
      <c r="CD134" s="873"/>
      <c r="CE134" s="873"/>
      <c r="CF134" s="873"/>
      <c r="CG134" s="873"/>
      <c r="CH134" s="873"/>
      <c r="CI134" s="873"/>
      <c r="CJ134" s="873"/>
      <c r="CK134" s="873"/>
      <c r="CL134" s="873"/>
      <c r="CM134" s="873"/>
      <c r="CN134" s="873"/>
      <c r="CO134" s="873"/>
      <c r="CP134" s="873"/>
      <c r="CQ134" s="873"/>
      <c r="CR134" s="873"/>
      <c r="CS134" s="873"/>
      <c r="CT134" s="873"/>
      <c r="CU134" s="873"/>
      <c r="CV134" s="873"/>
      <c r="CW134" s="873"/>
      <c r="CX134" s="873"/>
      <c r="CY134" s="873"/>
      <c r="CZ134" s="873"/>
      <c r="DA134" s="873"/>
      <c r="DB134" s="873"/>
      <c r="DC134" s="873"/>
      <c r="DD134" s="873"/>
      <c r="DE134" s="873"/>
      <c r="DF134" s="873"/>
      <c r="DG134" s="873"/>
      <c r="DH134" s="873"/>
      <c r="DI134" s="873"/>
      <c r="DJ134" s="873"/>
      <c r="DK134" s="873"/>
      <c r="DL134" s="873"/>
      <c r="DM134" s="873"/>
      <c r="DN134" s="873"/>
      <c r="DO134" s="873"/>
      <c r="DP134" s="873"/>
      <c r="DQ134" s="873"/>
      <c r="DR134" s="873"/>
      <c r="DS134" s="873"/>
      <c r="DT134" s="873"/>
      <c r="DU134" s="873"/>
      <c r="DV134" s="873"/>
      <c r="DW134" s="873"/>
      <c r="DX134" s="873"/>
      <c r="DY134" s="873"/>
      <c r="DZ134" s="873"/>
      <c r="EA134" s="873"/>
      <c r="EB134" s="873"/>
      <c r="EC134" s="873"/>
      <c r="ED134" s="873"/>
      <c r="EE134" s="873"/>
      <c r="EF134" s="873"/>
      <c r="EG134" s="873"/>
      <c r="EH134" s="873"/>
      <c r="EI134" s="873"/>
      <c r="EJ134" s="873"/>
      <c r="EK134" s="873"/>
      <c r="EL134" s="873"/>
      <c r="EM134" s="873"/>
      <c r="EN134" s="873"/>
    </row>
    <row r="135" spans="1:144" s="1047" customFormat="1" ht="18" customHeight="1">
      <c r="A135" s="1015" t="s">
        <v>499</v>
      </c>
      <c r="B135" s="181"/>
      <c r="C135" s="181"/>
      <c r="D135" s="181"/>
      <c r="E135" s="181"/>
      <c r="F135" s="181"/>
      <c r="G135" s="181"/>
      <c r="H135" s="181">
        <v>192</v>
      </c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080">
        <f t="shared" si="9"/>
        <v>192</v>
      </c>
      <c r="AA135" s="873"/>
      <c r="AB135" s="873"/>
      <c r="AC135" s="873"/>
      <c r="AD135" s="873"/>
      <c r="AE135" s="873"/>
      <c r="AF135" s="873"/>
      <c r="AG135" s="873"/>
      <c r="AH135" s="873"/>
      <c r="AI135" s="873"/>
      <c r="AJ135" s="873"/>
      <c r="AK135" s="873"/>
      <c r="AL135" s="873"/>
      <c r="AM135" s="873"/>
      <c r="AN135" s="873"/>
      <c r="AO135" s="873"/>
      <c r="AP135" s="873"/>
      <c r="AQ135" s="873"/>
      <c r="AR135" s="873"/>
      <c r="AS135" s="873"/>
      <c r="AT135" s="873"/>
      <c r="AU135" s="873"/>
      <c r="AV135" s="873"/>
      <c r="AW135" s="873"/>
      <c r="AX135" s="873"/>
      <c r="AY135" s="873"/>
      <c r="AZ135" s="873"/>
      <c r="BA135" s="873"/>
      <c r="BB135" s="873"/>
      <c r="BC135" s="873"/>
      <c r="BD135" s="873"/>
      <c r="BE135" s="873"/>
      <c r="BF135" s="873"/>
      <c r="BG135" s="873"/>
      <c r="BH135" s="873"/>
      <c r="BI135" s="873"/>
      <c r="BJ135" s="873"/>
      <c r="BK135" s="873"/>
      <c r="BL135" s="873"/>
      <c r="BM135" s="873"/>
      <c r="BN135" s="873"/>
      <c r="BO135" s="873"/>
      <c r="BP135" s="873"/>
      <c r="BQ135" s="873"/>
      <c r="BR135" s="873"/>
      <c r="BS135" s="873"/>
      <c r="BT135" s="873"/>
      <c r="BU135" s="873"/>
      <c r="BV135" s="873"/>
      <c r="BW135" s="873"/>
      <c r="BX135" s="873"/>
      <c r="BY135" s="873"/>
      <c r="BZ135" s="873"/>
      <c r="CA135" s="873"/>
      <c r="CB135" s="873"/>
      <c r="CC135" s="873"/>
      <c r="CD135" s="873"/>
      <c r="CE135" s="873"/>
      <c r="CF135" s="873"/>
      <c r="CG135" s="873"/>
      <c r="CH135" s="873"/>
      <c r="CI135" s="873"/>
      <c r="CJ135" s="873"/>
      <c r="CK135" s="873"/>
      <c r="CL135" s="873"/>
      <c r="CM135" s="873"/>
      <c r="CN135" s="873"/>
      <c r="CO135" s="873"/>
      <c r="CP135" s="873"/>
      <c r="CQ135" s="873"/>
      <c r="CR135" s="873"/>
      <c r="CS135" s="873"/>
      <c r="CT135" s="873"/>
      <c r="CU135" s="873"/>
      <c r="CV135" s="873"/>
      <c r="CW135" s="873"/>
      <c r="CX135" s="873"/>
      <c r="CY135" s="873"/>
      <c r="CZ135" s="873"/>
      <c r="DA135" s="873"/>
      <c r="DB135" s="873"/>
      <c r="DC135" s="873"/>
      <c r="DD135" s="873"/>
      <c r="DE135" s="873"/>
      <c r="DF135" s="873"/>
      <c r="DG135" s="873"/>
      <c r="DH135" s="873"/>
      <c r="DI135" s="873"/>
      <c r="DJ135" s="873"/>
      <c r="DK135" s="873"/>
      <c r="DL135" s="873"/>
      <c r="DM135" s="873"/>
      <c r="DN135" s="873"/>
      <c r="DO135" s="873"/>
      <c r="DP135" s="873"/>
      <c r="DQ135" s="873"/>
      <c r="DR135" s="873"/>
      <c r="DS135" s="873"/>
      <c r="DT135" s="873"/>
      <c r="DU135" s="873"/>
      <c r="DV135" s="873"/>
      <c r="DW135" s="873"/>
      <c r="DX135" s="873"/>
      <c r="DY135" s="873"/>
      <c r="DZ135" s="873"/>
      <c r="EA135" s="873"/>
      <c r="EB135" s="873"/>
      <c r="EC135" s="873"/>
      <c r="ED135" s="873"/>
      <c r="EE135" s="873"/>
      <c r="EF135" s="873"/>
      <c r="EG135" s="873"/>
      <c r="EH135" s="873"/>
      <c r="EI135" s="873"/>
      <c r="EJ135" s="873"/>
      <c r="EK135" s="873"/>
      <c r="EL135" s="873"/>
      <c r="EM135" s="873"/>
      <c r="EN135" s="873"/>
    </row>
    <row r="136" spans="1:144" s="1047" customFormat="1" ht="18" customHeight="1">
      <c r="A136" s="1031" t="s">
        <v>500</v>
      </c>
      <c r="B136" s="181"/>
      <c r="C136" s="181"/>
      <c r="D136" s="181"/>
      <c r="E136" s="181"/>
      <c r="F136" s="181"/>
      <c r="G136" s="181"/>
      <c r="H136" s="181">
        <v>96</v>
      </c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080">
        <f t="shared" si="9"/>
        <v>96</v>
      </c>
      <c r="AA136" s="873"/>
      <c r="AB136" s="873"/>
      <c r="AC136" s="873"/>
      <c r="AD136" s="873"/>
      <c r="AE136" s="873"/>
      <c r="AF136" s="873"/>
      <c r="AG136" s="873"/>
      <c r="AH136" s="873"/>
      <c r="AI136" s="873"/>
      <c r="AJ136" s="873"/>
      <c r="AK136" s="873"/>
      <c r="AL136" s="873"/>
      <c r="AM136" s="873"/>
      <c r="AN136" s="873"/>
      <c r="AO136" s="873"/>
      <c r="AP136" s="873"/>
      <c r="AQ136" s="873"/>
      <c r="AR136" s="873"/>
      <c r="AS136" s="873"/>
      <c r="AT136" s="873"/>
      <c r="AU136" s="873"/>
      <c r="AV136" s="873"/>
      <c r="AW136" s="873"/>
      <c r="AX136" s="873"/>
      <c r="AY136" s="873"/>
      <c r="AZ136" s="873"/>
      <c r="BA136" s="873"/>
      <c r="BB136" s="873"/>
      <c r="BC136" s="873"/>
      <c r="BD136" s="873"/>
      <c r="BE136" s="873"/>
      <c r="BF136" s="873"/>
      <c r="BG136" s="873"/>
      <c r="BH136" s="873"/>
      <c r="BI136" s="873"/>
      <c r="BJ136" s="873"/>
      <c r="BK136" s="873"/>
      <c r="BL136" s="873"/>
      <c r="BM136" s="873"/>
      <c r="BN136" s="873"/>
      <c r="BO136" s="873"/>
      <c r="BP136" s="873"/>
      <c r="BQ136" s="873"/>
      <c r="BR136" s="873"/>
      <c r="BS136" s="873"/>
      <c r="BT136" s="873"/>
      <c r="BU136" s="873"/>
      <c r="BV136" s="873"/>
      <c r="BW136" s="873"/>
      <c r="BX136" s="873"/>
      <c r="BY136" s="873"/>
      <c r="BZ136" s="873"/>
      <c r="CA136" s="873"/>
      <c r="CB136" s="873"/>
      <c r="CC136" s="873"/>
      <c r="CD136" s="873"/>
      <c r="CE136" s="873"/>
      <c r="CF136" s="873"/>
      <c r="CG136" s="873"/>
      <c r="CH136" s="873"/>
      <c r="CI136" s="873"/>
      <c r="CJ136" s="873"/>
      <c r="CK136" s="873"/>
      <c r="CL136" s="873"/>
      <c r="CM136" s="873"/>
      <c r="CN136" s="873"/>
      <c r="CO136" s="873"/>
      <c r="CP136" s="873"/>
      <c r="CQ136" s="873"/>
      <c r="CR136" s="873"/>
      <c r="CS136" s="873"/>
      <c r="CT136" s="873"/>
      <c r="CU136" s="873"/>
      <c r="CV136" s="873"/>
      <c r="CW136" s="873"/>
      <c r="CX136" s="873"/>
      <c r="CY136" s="873"/>
      <c r="CZ136" s="873"/>
      <c r="DA136" s="873"/>
      <c r="DB136" s="873"/>
      <c r="DC136" s="873"/>
      <c r="DD136" s="873"/>
      <c r="DE136" s="873"/>
      <c r="DF136" s="873"/>
      <c r="DG136" s="873"/>
      <c r="DH136" s="873"/>
      <c r="DI136" s="873"/>
      <c r="DJ136" s="873"/>
      <c r="DK136" s="873"/>
      <c r="DL136" s="873"/>
      <c r="DM136" s="873"/>
      <c r="DN136" s="873"/>
      <c r="DO136" s="873"/>
      <c r="DP136" s="873"/>
      <c r="DQ136" s="873"/>
      <c r="DR136" s="873"/>
      <c r="DS136" s="873"/>
      <c r="DT136" s="873"/>
      <c r="DU136" s="873"/>
      <c r="DV136" s="873"/>
      <c r="DW136" s="873"/>
      <c r="DX136" s="873"/>
      <c r="DY136" s="873"/>
      <c r="DZ136" s="873"/>
      <c r="EA136" s="873"/>
      <c r="EB136" s="873"/>
      <c r="EC136" s="873"/>
      <c r="ED136" s="873"/>
      <c r="EE136" s="873"/>
      <c r="EF136" s="873"/>
      <c r="EG136" s="873"/>
      <c r="EH136" s="873"/>
      <c r="EI136" s="873"/>
      <c r="EJ136" s="873"/>
      <c r="EK136" s="873"/>
      <c r="EL136" s="873"/>
      <c r="EM136" s="873"/>
      <c r="EN136" s="873"/>
    </row>
    <row r="137" spans="1:144" s="1047" customFormat="1" ht="18" customHeight="1">
      <c r="A137" s="1031" t="s">
        <v>501</v>
      </c>
      <c r="B137" s="181"/>
      <c r="C137" s="181"/>
      <c r="D137" s="181"/>
      <c r="E137" s="181"/>
      <c r="F137" s="181"/>
      <c r="G137" s="181"/>
      <c r="H137" s="181">
        <v>768</v>
      </c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080">
        <f t="shared" si="9"/>
        <v>768</v>
      </c>
      <c r="AA137" s="873"/>
      <c r="AB137" s="873"/>
      <c r="AC137" s="873"/>
      <c r="AD137" s="873"/>
      <c r="AE137" s="873"/>
      <c r="AF137" s="873"/>
      <c r="AG137" s="873"/>
      <c r="AH137" s="873"/>
      <c r="AI137" s="873"/>
      <c r="AJ137" s="873"/>
      <c r="AK137" s="873"/>
      <c r="AL137" s="873"/>
      <c r="AM137" s="873"/>
      <c r="AN137" s="873"/>
      <c r="AO137" s="873"/>
      <c r="AP137" s="873"/>
      <c r="AQ137" s="873"/>
      <c r="AR137" s="873"/>
      <c r="AS137" s="873"/>
      <c r="AT137" s="873"/>
      <c r="AU137" s="873"/>
      <c r="AV137" s="873"/>
      <c r="AW137" s="873"/>
      <c r="AX137" s="873"/>
      <c r="AY137" s="873"/>
      <c r="AZ137" s="873"/>
      <c r="BA137" s="873"/>
      <c r="BB137" s="873"/>
      <c r="BC137" s="873"/>
      <c r="BD137" s="873"/>
      <c r="BE137" s="873"/>
      <c r="BF137" s="873"/>
      <c r="BG137" s="873"/>
      <c r="BH137" s="873"/>
      <c r="BI137" s="873"/>
      <c r="BJ137" s="873"/>
      <c r="BK137" s="873"/>
      <c r="BL137" s="873"/>
      <c r="BM137" s="873"/>
      <c r="BN137" s="873"/>
      <c r="BO137" s="873"/>
      <c r="BP137" s="873"/>
      <c r="BQ137" s="873"/>
      <c r="BR137" s="873"/>
      <c r="BS137" s="873"/>
      <c r="BT137" s="873"/>
      <c r="BU137" s="873"/>
      <c r="BV137" s="873"/>
      <c r="BW137" s="873"/>
      <c r="BX137" s="873"/>
      <c r="BY137" s="873"/>
      <c r="BZ137" s="873"/>
      <c r="CA137" s="873"/>
      <c r="CB137" s="873"/>
      <c r="CC137" s="873"/>
      <c r="CD137" s="873"/>
      <c r="CE137" s="873"/>
      <c r="CF137" s="873"/>
      <c r="CG137" s="873"/>
      <c r="CH137" s="873"/>
      <c r="CI137" s="873"/>
      <c r="CJ137" s="873"/>
      <c r="CK137" s="873"/>
      <c r="CL137" s="873"/>
      <c r="CM137" s="873"/>
      <c r="CN137" s="873"/>
      <c r="CO137" s="873"/>
      <c r="CP137" s="873"/>
      <c r="CQ137" s="873"/>
      <c r="CR137" s="873"/>
      <c r="CS137" s="873"/>
      <c r="CT137" s="873"/>
      <c r="CU137" s="873"/>
      <c r="CV137" s="873"/>
      <c r="CW137" s="873"/>
      <c r="CX137" s="873"/>
      <c r="CY137" s="873"/>
      <c r="CZ137" s="873"/>
      <c r="DA137" s="873"/>
      <c r="DB137" s="873"/>
      <c r="DC137" s="873"/>
      <c r="DD137" s="873"/>
      <c r="DE137" s="873"/>
      <c r="DF137" s="873"/>
      <c r="DG137" s="873"/>
      <c r="DH137" s="873"/>
      <c r="DI137" s="873"/>
      <c r="DJ137" s="873"/>
      <c r="DK137" s="873"/>
      <c r="DL137" s="873"/>
      <c r="DM137" s="873"/>
      <c r="DN137" s="873"/>
      <c r="DO137" s="873"/>
      <c r="DP137" s="873"/>
      <c r="DQ137" s="873"/>
      <c r="DR137" s="873"/>
      <c r="DS137" s="873"/>
      <c r="DT137" s="873"/>
      <c r="DU137" s="873"/>
      <c r="DV137" s="873"/>
      <c r="DW137" s="873"/>
      <c r="DX137" s="873"/>
      <c r="DY137" s="873"/>
      <c r="DZ137" s="873"/>
      <c r="EA137" s="873"/>
      <c r="EB137" s="873"/>
      <c r="EC137" s="873"/>
      <c r="ED137" s="873"/>
      <c r="EE137" s="873"/>
      <c r="EF137" s="873"/>
      <c r="EG137" s="873"/>
      <c r="EH137" s="873"/>
      <c r="EI137" s="873"/>
      <c r="EJ137" s="873"/>
      <c r="EK137" s="873"/>
      <c r="EL137" s="873"/>
      <c r="EM137" s="873"/>
      <c r="EN137" s="873"/>
    </row>
    <row r="138" spans="1:144" s="1047" customFormat="1" ht="18" customHeight="1">
      <c r="A138" s="1031" t="s">
        <v>502</v>
      </c>
      <c r="B138" s="181"/>
      <c r="C138" s="181"/>
      <c r="D138" s="181"/>
      <c r="E138" s="181"/>
      <c r="F138" s="181"/>
      <c r="G138" s="181"/>
      <c r="H138" s="181">
        <v>480</v>
      </c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080">
        <f t="shared" si="9"/>
        <v>480</v>
      </c>
      <c r="AA138" s="873"/>
      <c r="AB138" s="873"/>
      <c r="AC138" s="873"/>
      <c r="AD138" s="873"/>
      <c r="AE138" s="873"/>
      <c r="AF138" s="873"/>
      <c r="AG138" s="873"/>
      <c r="AH138" s="873"/>
      <c r="AI138" s="873"/>
      <c r="AJ138" s="873"/>
      <c r="AK138" s="873"/>
      <c r="AL138" s="873"/>
      <c r="AM138" s="873"/>
      <c r="AN138" s="873"/>
      <c r="AO138" s="873"/>
      <c r="AP138" s="873"/>
      <c r="AQ138" s="873"/>
      <c r="AR138" s="873"/>
      <c r="AS138" s="873"/>
      <c r="AT138" s="873"/>
      <c r="AU138" s="873"/>
      <c r="AV138" s="873"/>
      <c r="AW138" s="873"/>
      <c r="AX138" s="873"/>
      <c r="AY138" s="873"/>
      <c r="AZ138" s="873"/>
      <c r="BA138" s="873"/>
      <c r="BB138" s="873"/>
      <c r="BC138" s="873"/>
      <c r="BD138" s="873"/>
      <c r="BE138" s="873"/>
      <c r="BF138" s="873"/>
      <c r="BG138" s="873"/>
      <c r="BH138" s="873"/>
      <c r="BI138" s="873"/>
      <c r="BJ138" s="873"/>
      <c r="BK138" s="873"/>
      <c r="BL138" s="873"/>
      <c r="BM138" s="873"/>
      <c r="BN138" s="873"/>
      <c r="BO138" s="873"/>
      <c r="BP138" s="873"/>
      <c r="BQ138" s="873"/>
      <c r="BR138" s="873"/>
      <c r="BS138" s="873"/>
      <c r="BT138" s="873"/>
      <c r="BU138" s="873"/>
      <c r="BV138" s="873"/>
      <c r="BW138" s="873"/>
      <c r="BX138" s="873"/>
      <c r="BY138" s="873"/>
      <c r="BZ138" s="873"/>
      <c r="CA138" s="873"/>
      <c r="CB138" s="873"/>
      <c r="CC138" s="873"/>
      <c r="CD138" s="873"/>
      <c r="CE138" s="873"/>
      <c r="CF138" s="873"/>
      <c r="CG138" s="873"/>
      <c r="CH138" s="873"/>
      <c r="CI138" s="873"/>
      <c r="CJ138" s="873"/>
      <c r="CK138" s="873"/>
      <c r="CL138" s="873"/>
      <c r="CM138" s="873"/>
      <c r="CN138" s="873"/>
      <c r="CO138" s="873"/>
      <c r="CP138" s="873"/>
      <c r="CQ138" s="873"/>
      <c r="CR138" s="873"/>
      <c r="CS138" s="873"/>
      <c r="CT138" s="873"/>
      <c r="CU138" s="873"/>
      <c r="CV138" s="873"/>
      <c r="CW138" s="873"/>
      <c r="CX138" s="873"/>
      <c r="CY138" s="873"/>
      <c r="CZ138" s="873"/>
      <c r="DA138" s="873"/>
      <c r="DB138" s="873"/>
      <c r="DC138" s="873"/>
      <c r="DD138" s="873"/>
      <c r="DE138" s="873"/>
      <c r="DF138" s="873"/>
      <c r="DG138" s="873"/>
      <c r="DH138" s="873"/>
      <c r="DI138" s="873"/>
      <c r="DJ138" s="873"/>
      <c r="DK138" s="873"/>
      <c r="DL138" s="873"/>
      <c r="DM138" s="873"/>
      <c r="DN138" s="873"/>
      <c r="DO138" s="873"/>
      <c r="DP138" s="873"/>
      <c r="DQ138" s="873"/>
      <c r="DR138" s="873"/>
      <c r="DS138" s="873"/>
      <c r="DT138" s="873"/>
      <c r="DU138" s="873"/>
      <c r="DV138" s="873"/>
      <c r="DW138" s="873"/>
      <c r="DX138" s="873"/>
      <c r="DY138" s="873"/>
      <c r="DZ138" s="873"/>
      <c r="EA138" s="873"/>
      <c r="EB138" s="873"/>
      <c r="EC138" s="873"/>
      <c r="ED138" s="873"/>
      <c r="EE138" s="873"/>
      <c r="EF138" s="873"/>
      <c r="EG138" s="873"/>
      <c r="EH138" s="873"/>
      <c r="EI138" s="873"/>
      <c r="EJ138" s="873"/>
      <c r="EK138" s="873"/>
      <c r="EL138" s="873"/>
      <c r="EM138" s="873"/>
      <c r="EN138" s="873"/>
    </row>
    <row r="139" spans="1:144" s="1047" customFormat="1" ht="18" customHeight="1">
      <c r="A139" s="1015" t="s">
        <v>504</v>
      </c>
      <c r="B139" s="181"/>
      <c r="C139" s="181"/>
      <c r="D139" s="181"/>
      <c r="E139" s="181"/>
      <c r="F139" s="181"/>
      <c r="G139" s="181"/>
      <c r="H139" s="181">
        <v>864</v>
      </c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080">
        <f t="shared" si="9"/>
        <v>864</v>
      </c>
      <c r="AA139" s="873"/>
      <c r="AB139" s="873"/>
      <c r="AC139" s="873"/>
      <c r="AD139" s="873"/>
      <c r="AE139" s="873"/>
      <c r="AF139" s="873"/>
      <c r="AG139" s="873"/>
      <c r="AH139" s="873"/>
      <c r="AI139" s="873"/>
      <c r="AJ139" s="873"/>
      <c r="AK139" s="873"/>
      <c r="AL139" s="873"/>
      <c r="AM139" s="873"/>
      <c r="AN139" s="873"/>
      <c r="AO139" s="873"/>
      <c r="AP139" s="873"/>
      <c r="AQ139" s="873"/>
      <c r="AR139" s="873"/>
      <c r="AS139" s="873"/>
      <c r="AT139" s="873"/>
      <c r="AU139" s="873"/>
      <c r="AV139" s="873"/>
      <c r="AW139" s="873"/>
      <c r="AX139" s="873"/>
      <c r="AY139" s="873"/>
      <c r="AZ139" s="873"/>
      <c r="BA139" s="873"/>
      <c r="BB139" s="873"/>
      <c r="BC139" s="873"/>
      <c r="BD139" s="873"/>
      <c r="BE139" s="873"/>
      <c r="BF139" s="873"/>
      <c r="BG139" s="873"/>
      <c r="BH139" s="873"/>
      <c r="BI139" s="873"/>
      <c r="BJ139" s="873"/>
      <c r="BK139" s="873"/>
      <c r="BL139" s="873"/>
      <c r="BM139" s="873"/>
      <c r="BN139" s="873"/>
      <c r="BO139" s="873"/>
      <c r="BP139" s="873"/>
      <c r="BQ139" s="873"/>
      <c r="BR139" s="873"/>
      <c r="BS139" s="873"/>
      <c r="BT139" s="873"/>
      <c r="BU139" s="873"/>
      <c r="BV139" s="873"/>
      <c r="BW139" s="873"/>
      <c r="BX139" s="873"/>
      <c r="BY139" s="873"/>
      <c r="BZ139" s="873"/>
      <c r="CA139" s="873"/>
      <c r="CB139" s="873"/>
      <c r="CC139" s="873"/>
      <c r="CD139" s="873"/>
      <c r="CE139" s="873"/>
      <c r="CF139" s="873"/>
      <c r="CG139" s="873"/>
      <c r="CH139" s="873"/>
      <c r="CI139" s="873"/>
      <c r="CJ139" s="873"/>
      <c r="CK139" s="873"/>
      <c r="CL139" s="873"/>
      <c r="CM139" s="873"/>
      <c r="CN139" s="873"/>
      <c r="CO139" s="873"/>
      <c r="CP139" s="873"/>
      <c r="CQ139" s="873"/>
      <c r="CR139" s="873"/>
      <c r="CS139" s="873"/>
      <c r="CT139" s="873"/>
      <c r="CU139" s="873"/>
      <c r="CV139" s="873"/>
      <c r="CW139" s="873"/>
      <c r="CX139" s="873"/>
      <c r="CY139" s="873"/>
      <c r="CZ139" s="873"/>
      <c r="DA139" s="873"/>
      <c r="DB139" s="873"/>
      <c r="DC139" s="873"/>
      <c r="DD139" s="873"/>
      <c r="DE139" s="873"/>
      <c r="DF139" s="873"/>
      <c r="DG139" s="873"/>
      <c r="DH139" s="873"/>
      <c r="DI139" s="873"/>
      <c r="DJ139" s="873"/>
      <c r="DK139" s="873"/>
      <c r="DL139" s="873"/>
      <c r="DM139" s="873"/>
      <c r="DN139" s="873"/>
      <c r="DO139" s="873"/>
      <c r="DP139" s="873"/>
      <c r="DQ139" s="873"/>
      <c r="DR139" s="873"/>
      <c r="DS139" s="873"/>
      <c r="DT139" s="873"/>
      <c r="DU139" s="873"/>
      <c r="DV139" s="873"/>
      <c r="DW139" s="873"/>
      <c r="DX139" s="873"/>
      <c r="DY139" s="873"/>
      <c r="DZ139" s="873"/>
      <c r="EA139" s="873"/>
      <c r="EB139" s="873"/>
      <c r="EC139" s="873"/>
      <c r="ED139" s="873"/>
      <c r="EE139" s="873"/>
      <c r="EF139" s="873"/>
      <c r="EG139" s="873"/>
      <c r="EH139" s="873"/>
      <c r="EI139" s="873"/>
      <c r="EJ139" s="873"/>
      <c r="EK139" s="873"/>
      <c r="EL139" s="873"/>
      <c r="EM139" s="873"/>
      <c r="EN139" s="873"/>
    </row>
    <row r="140" spans="1:144" s="1047" customFormat="1" ht="18" customHeight="1">
      <c r="A140" s="1031" t="s">
        <v>505</v>
      </c>
      <c r="B140" s="181"/>
      <c r="C140" s="181"/>
      <c r="D140" s="181"/>
      <c r="E140" s="181"/>
      <c r="F140" s="181"/>
      <c r="G140" s="181"/>
      <c r="H140" s="181">
        <v>864</v>
      </c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080">
        <f t="shared" si="9"/>
        <v>864</v>
      </c>
      <c r="AA140" s="873"/>
      <c r="AB140" s="873"/>
      <c r="AC140" s="873"/>
      <c r="AD140" s="873"/>
      <c r="AE140" s="873"/>
      <c r="AF140" s="873"/>
      <c r="AG140" s="873"/>
      <c r="AH140" s="873"/>
      <c r="AI140" s="873"/>
      <c r="AJ140" s="873"/>
      <c r="AK140" s="873"/>
      <c r="AL140" s="873"/>
      <c r="AM140" s="873"/>
      <c r="AN140" s="873"/>
      <c r="AO140" s="873"/>
      <c r="AP140" s="873"/>
      <c r="AQ140" s="873"/>
      <c r="AR140" s="873"/>
      <c r="AS140" s="873"/>
      <c r="AT140" s="873"/>
      <c r="AU140" s="873"/>
      <c r="AV140" s="873"/>
      <c r="AW140" s="873"/>
      <c r="AX140" s="873"/>
      <c r="AY140" s="873"/>
      <c r="AZ140" s="873"/>
      <c r="BA140" s="873"/>
      <c r="BB140" s="873"/>
      <c r="BC140" s="873"/>
      <c r="BD140" s="873"/>
      <c r="BE140" s="873"/>
      <c r="BF140" s="873"/>
      <c r="BG140" s="873"/>
      <c r="BH140" s="873"/>
      <c r="BI140" s="873"/>
      <c r="BJ140" s="873"/>
      <c r="BK140" s="873"/>
      <c r="BL140" s="873"/>
      <c r="BM140" s="873"/>
      <c r="BN140" s="873"/>
      <c r="BO140" s="873"/>
      <c r="BP140" s="873"/>
      <c r="BQ140" s="873"/>
      <c r="BR140" s="873"/>
      <c r="BS140" s="873"/>
      <c r="BT140" s="873"/>
      <c r="BU140" s="873"/>
      <c r="BV140" s="873"/>
      <c r="BW140" s="873"/>
      <c r="BX140" s="873"/>
      <c r="BY140" s="873"/>
      <c r="BZ140" s="873"/>
      <c r="CA140" s="873"/>
      <c r="CB140" s="873"/>
      <c r="CC140" s="873"/>
      <c r="CD140" s="873"/>
      <c r="CE140" s="873"/>
      <c r="CF140" s="873"/>
      <c r="CG140" s="873"/>
      <c r="CH140" s="873"/>
      <c r="CI140" s="873"/>
      <c r="CJ140" s="873"/>
      <c r="CK140" s="873"/>
      <c r="CL140" s="873"/>
      <c r="CM140" s="873"/>
      <c r="CN140" s="873"/>
      <c r="CO140" s="873"/>
      <c r="CP140" s="873"/>
      <c r="CQ140" s="873"/>
      <c r="CR140" s="873"/>
      <c r="CS140" s="873"/>
      <c r="CT140" s="873"/>
      <c r="CU140" s="873"/>
      <c r="CV140" s="873"/>
      <c r="CW140" s="873"/>
      <c r="CX140" s="873"/>
      <c r="CY140" s="873"/>
      <c r="CZ140" s="873"/>
      <c r="DA140" s="873"/>
      <c r="DB140" s="873"/>
      <c r="DC140" s="873"/>
      <c r="DD140" s="873"/>
      <c r="DE140" s="873"/>
      <c r="DF140" s="873"/>
      <c r="DG140" s="873"/>
      <c r="DH140" s="873"/>
      <c r="DI140" s="873"/>
      <c r="DJ140" s="873"/>
      <c r="DK140" s="873"/>
      <c r="DL140" s="873"/>
      <c r="DM140" s="873"/>
      <c r="DN140" s="873"/>
      <c r="DO140" s="873"/>
      <c r="DP140" s="873"/>
      <c r="DQ140" s="873"/>
      <c r="DR140" s="873"/>
      <c r="DS140" s="873"/>
      <c r="DT140" s="873"/>
      <c r="DU140" s="873"/>
      <c r="DV140" s="873"/>
      <c r="DW140" s="873"/>
      <c r="DX140" s="873"/>
      <c r="DY140" s="873"/>
      <c r="DZ140" s="873"/>
      <c r="EA140" s="873"/>
      <c r="EB140" s="873"/>
      <c r="EC140" s="873"/>
      <c r="ED140" s="873"/>
      <c r="EE140" s="873"/>
      <c r="EF140" s="873"/>
      <c r="EG140" s="873"/>
      <c r="EH140" s="873"/>
      <c r="EI140" s="873"/>
      <c r="EJ140" s="873"/>
      <c r="EK140" s="873"/>
      <c r="EL140" s="873"/>
      <c r="EM140" s="873"/>
      <c r="EN140" s="873"/>
    </row>
    <row r="141" spans="1:144" s="1047" customFormat="1" ht="18" customHeight="1">
      <c r="A141" s="1031" t="s">
        <v>506</v>
      </c>
      <c r="B141" s="181"/>
      <c r="C141" s="181"/>
      <c r="D141" s="181"/>
      <c r="E141" s="181"/>
      <c r="F141" s="181"/>
      <c r="G141" s="181"/>
      <c r="H141" s="181">
        <v>768</v>
      </c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080">
        <f t="shared" si="9"/>
        <v>768</v>
      </c>
      <c r="AA141" s="873"/>
      <c r="AB141" s="873"/>
      <c r="AC141" s="873"/>
      <c r="AD141" s="873"/>
      <c r="AE141" s="873"/>
      <c r="AF141" s="873"/>
      <c r="AG141" s="873"/>
      <c r="AH141" s="873"/>
      <c r="AI141" s="873"/>
      <c r="AJ141" s="873"/>
      <c r="AK141" s="873"/>
      <c r="AL141" s="873"/>
      <c r="AM141" s="873"/>
      <c r="AN141" s="873"/>
      <c r="AO141" s="873"/>
      <c r="AP141" s="873"/>
      <c r="AQ141" s="873"/>
      <c r="AR141" s="873"/>
      <c r="AS141" s="873"/>
      <c r="AT141" s="873"/>
      <c r="AU141" s="873"/>
      <c r="AV141" s="873"/>
      <c r="AW141" s="873"/>
      <c r="AX141" s="873"/>
      <c r="AY141" s="873"/>
      <c r="AZ141" s="873"/>
      <c r="BA141" s="873"/>
      <c r="BB141" s="873"/>
      <c r="BC141" s="873"/>
      <c r="BD141" s="873"/>
      <c r="BE141" s="873"/>
      <c r="BF141" s="873"/>
      <c r="BG141" s="873"/>
      <c r="BH141" s="873"/>
      <c r="BI141" s="873"/>
      <c r="BJ141" s="873"/>
      <c r="BK141" s="873"/>
      <c r="BL141" s="873"/>
      <c r="BM141" s="873"/>
      <c r="BN141" s="873"/>
      <c r="BO141" s="873"/>
      <c r="BP141" s="873"/>
      <c r="BQ141" s="873"/>
      <c r="BR141" s="873"/>
      <c r="BS141" s="873"/>
      <c r="BT141" s="873"/>
      <c r="BU141" s="873"/>
      <c r="BV141" s="873"/>
      <c r="BW141" s="873"/>
      <c r="BX141" s="873"/>
      <c r="BY141" s="873"/>
      <c r="BZ141" s="873"/>
      <c r="CA141" s="873"/>
      <c r="CB141" s="873"/>
      <c r="CC141" s="873"/>
      <c r="CD141" s="873"/>
      <c r="CE141" s="873"/>
      <c r="CF141" s="873"/>
      <c r="CG141" s="873"/>
      <c r="CH141" s="873"/>
      <c r="CI141" s="873"/>
      <c r="CJ141" s="873"/>
      <c r="CK141" s="873"/>
      <c r="CL141" s="873"/>
      <c r="CM141" s="873"/>
      <c r="CN141" s="873"/>
      <c r="CO141" s="873"/>
      <c r="CP141" s="873"/>
      <c r="CQ141" s="873"/>
      <c r="CR141" s="873"/>
      <c r="CS141" s="873"/>
      <c r="CT141" s="873"/>
      <c r="CU141" s="873"/>
      <c r="CV141" s="873"/>
      <c r="CW141" s="873"/>
      <c r="CX141" s="873"/>
      <c r="CY141" s="873"/>
      <c r="CZ141" s="873"/>
      <c r="DA141" s="873"/>
      <c r="DB141" s="873"/>
      <c r="DC141" s="873"/>
      <c r="DD141" s="873"/>
      <c r="DE141" s="873"/>
      <c r="DF141" s="873"/>
      <c r="DG141" s="873"/>
      <c r="DH141" s="873"/>
      <c r="DI141" s="873"/>
      <c r="DJ141" s="873"/>
      <c r="DK141" s="873"/>
      <c r="DL141" s="873"/>
      <c r="DM141" s="873"/>
      <c r="DN141" s="873"/>
      <c r="DO141" s="873"/>
      <c r="DP141" s="873"/>
      <c r="DQ141" s="873"/>
      <c r="DR141" s="873"/>
      <c r="DS141" s="873"/>
      <c r="DT141" s="873"/>
      <c r="DU141" s="873"/>
      <c r="DV141" s="873"/>
      <c r="DW141" s="873"/>
      <c r="DX141" s="873"/>
      <c r="DY141" s="873"/>
      <c r="DZ141" s="873"/>
      <c r="EA141" s="873"/>
      <c r="EB141" s="873"/>
      <c r="EC141" s="873"/>
      <c r="ED141" s="873"/>
      <c r="EE141" s="873"/>
      <c r="EF141" s="873"/>
      <c r="EG141" s="873"/>
      <c r="EH141" s="873"/>
      <c r="EI141" s="873"/>
      <c r="EJ141" s="873"/>
      <c r="EK141" s="873"/>
      <c r="EL141" s="873"/>
      <c r="EM141" s="873"/>
      <c r="EN141" s="873"/>
    </row>
    <row r="142" spans="1:144" s="1047" customFormat="1" ht="18" customHeight="1">
      <c r="A142" s="1015" t="s">
        <v>508</v>
      </c>
      <c r="B142" s="181"/>
      <c r="C142" s="181"/>
      <c r="D142" s="181"/>
      <c r="E142" s="181"/>
      <c r="F142" s="181"/>
      <c r="G142" s="181"/>
      <c r="H142" s="181">
        <v>192</v>
      </c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080">
        <f t="shared" si="9"/>
        <v>192</v>
      </c>
      <c r="AA142" s="873"/>
      <c r="AB142" s="873"/>
      <c r="AC142" s="873"/>
      <c r="AD142" s="873"/>
      <c r="AE142" s="873"/>
      <c r="AF142" s="873"/>
      <c r="AG142" s="873"/>
      <c r="AH142" s="873"/>
      <c r="AI142" s="873"/>
      <c r="AJ142" s="873"/>
      <c r="AK142" s="873"/>
      <c r="AL142" s="873"/>
      <c r="AM142" s="873"/>
      <c r="AN142" s="873"/>
      <c r="AO142" s="873"/>
      <c r="AP142" s="873"/>
      <c r="AQ142" s="873"/>
      <c r="AR142" s="873"/>
      <c r="AS142" s="873"/>
      <c r="AT142" s="873"/>
      <c r="AU142" s="873"/>
      <c r="AV142" s="873"/>
      <c r="AW142" s="873"/>
      <c r="AX142" s="873"/>
      <c r="AY142" s="873"/>
      <c r="AZ142" s="873"/>
      <c r="BA142" s="873"/>
      <c r="BB142" s="873"/>
      <c r="BC142" s="873"/>
      <c r="BD142" s="873"/>
      <c r="BE142" s="873"/>
      <c r="BF142" s="873"/>
      <c r="BG142" s="873"/>
      <c r="BH142" s="873"/>
      <c r="BI142" s="873"/>
      <c r="BJ142" s="873"/>
      <c r="BK142" s="873"/>
      <c r="BL142" s="873"/>
      <c r="BM142" s="873"/>
      <c r="BN142" s="873"/>
      <c r="BO142" s="873"/>
      <c r="BP142" s="873"/>
      <c r="BQ142" s="873"/>
      <c r="BR142" s="873"/>
      <c r="BS142" s="873"/>
      <c r="BT142" s="873"/>
      <c r="BU142" s="873"/>
      <c r="BV142" s="873"/>
      <c r="BW142" s="873"/>
      <c r="BX142" s="873"/>
      <c r="BY142" s="873"/>
      <c r="BZ142" s="873"/>
      <c r="CA142" s="873"/>
      <c r="CB142" s="873"/>
      <c r="CC142" s="873"/>
      <c r="CD142" s="873"/>
      <c r="CE142" s="873"/>
      <c r="CF142" s="873"/>
      <c r="CG142" s="873"/>
      <c r="CH142" s="873"/>
      <c r="CI142" s="873"/>
      <c r="CJ142" s="873"/>
      <c r="CK142" s="873"/>
      <c r="CL142" s="873"/>
      <c r="CM142" s="873"/>
      <c r="CN142" s="873"/>
      <c r="CO142" s="873"/>
      <c r="CP142" s="873"/>
      <c r="CQ142" s="873"/>
      <c r="CR142" s="873"/>
      <c r="CS142" s="873"/>
      <c r="CT142" s="873"/>
      <c r="CU142" s="873"/>
      <c r="CV142" s="873"/>
      <c r="CW142" s="873"/>
      <c r="CX142" s="873"/>
      <c r="CY142" s="873"/>
      <c r="CZ142" s="873"/>
      <c r="DA142" s="873"/>
      <c r="DB142" s="873"/>
      <c r="DC142" s="873"/>
      <c r="DD142" s="873"/>
      <c r="DE142" s="873"/>
      <c r="DF142" s="873"/>
      <c r="DG142" s="873"/>
      <c r="DH142" s="873"/>
      <c r="DI142" s="873"/>
      <c r="DJ142" s="873"/>
      <c r="DK142" s="873"/>
      <c r="DL142" s="873"/>
      <c r="DM142" s="873"/>
      <c r="DN142" s="873"/>
      <c r="DO142" s="873"/>
      <c r="DP142" s="873"/>
      <c r="DQ142" s="873"/>
      <c r="DR142" s="873"/>
      <c r="DS142" s="873"/>
      <c r="DT142" s="873"/>
      <c r="DU142" s="873"/>
      <c r="DV142" s="873"/>
      <c r="DW142" s="873"/>
      <c r="DX142" s="873"/>
      <c r="DY142" s="873"/>
      <c r="DZ142" s="873"/>
      <c r="EA142" s="873"/>
      <c r="EB142" s="873"/>
      <c r="EC142" s="873"/>
      <c r="ED142" s="873"/>
      <c r="EE142" s="873"/>
      <c r="EF142" s="873"/>
      <c r="EG142" s="873"/>
      <c r="EH142" s="873"/>
      <c r="EI142" s="873"/>
      <c r="EJ142" s="873"/>
      <c r="EK142" s="873"/>
      <c r="EL142" s="873"/>
      <c r="EM142" s="873"/>
      <c r="EN142" s="873"/>
    </row>
    <row r="143" spans="1:144" s="1047" customFormat="1" ht="18" customHeight="1">
      <c r="A143" s="1031" t="s">
        <v>509</v>
      </c>
      <c r="B143" s="181"/>
      <c r="C143" s="181"/>
      <c r="D143" s="181"/>
      <c r="E143" s="181"/>
      <c r="F143" s="181"/>
      <c r="G143" s="181"/>
      <c r="H143" s="181">
        <v>96</v>
      </c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080">
        <f t="shared" si="9"/>
        <v>96</v>
      </c>
      <c r="AA143" s="873"/>
      <c r="AB143" s="873"/>
      <c r="AC143" s="873"/>
      <c r="AD143" s="873"/>
      <c r="AE143" s="873"/>
      <c r="AF143" s="873"/>
      <c r="AG143" s="873"/>
      <c r="AH143" s="873"/>
      <c r="AI143" s="873"/>
      <c r="AJ143" s="873"/>
      <c r="AK143" s="873"/>
      <c r="AL143" s="873"/>
      <c r="AM143" s="873"/>
      <c r="AN143" s="873"/>
      <c r="AO143" s="873"/>
      <c r="AP143" s="873"/>
      <c r="AQ143" s="873"/>
      <c r="AR143" s="873"/>
      <c r="AS143" s="873"/>
      <c r="AT143" s="873"/>
      <c r="AU143" s="873"/>
      <c r="AV143" s="873"/>
      <c r="AW143" s="873"/>
      <c r="AX143" s="873"/>
      <c r="AY143" s="873"/>
      <c r="AZ143" s="873"/>
      <c r="BA143" s="873"/>
      <c r="BB143" s="873"/>
      <c r="BC143" s="873"/>
      <c r="BD143" s="873"/>
      <c r="BE143" s="873"/>
      <c r="BF143" s="873"/>
      <c r="BG143" s="873"/>
      <c r="BH143" s="873"/>
      <c r="BI143" s="873"/>
      <c r="BJ143" s="873"/>
      <c r="BK143" s="873"/>
      <c r="BL143" s="873"/>
      <c r="BM143" s="873"/>
      <c r="BN143" s="873"/>
      <c r="BO143" s="873"/>
      <c r="BP143" s="873"/>
      <c r="BQ143" s="873"/>
      <c r="BR143" s="873"/>
      <c r="BS143" s="873"/>
      <c r="BT143" s="873"/>
      <c r="BU143" s="873"/>
      <c r="BV143" s="873"/>
      <c r="BW143" s="873"/>
      <c r="BX143" s="873"/>
      <c r="BY143" s="873"/>
      <c r="BZ143" s="873"/>
      <c r="CA143" s="873"/>
      <c r="CB143" s="873"/>
      <c r="CC143" s="873"/>
      <c r="CD143" s="873"/>
      <c r="CE143" s="873"/>
      <c r="CF143" s="873"/>
      <c r="CG143" s="873"/>
      <c r="CH143" s="873"/>
      <c r="CI143" s="873"/>
      <c r="CJ143" s="873"/>
      <c r="CK143" s="873"/>
      <c r="CL143" s="873"/>
      <c r="CM143" s="873"/>
      <c r="CN143" s="873"/>
      <c r="CO143" s="873"/>
      <c r="CP143" s="873"/>
      <c r="CQ143" s="873"/>
      <c r="CR143" s="873"/>
      <c r="CS143" s="873"/>
      <c r="CT143" s="873"/>
      <c r="CU143" s="873"/>
      <c r="CV143" s="873"/>
      <c r="CW143" s="873"/>
      <c r="CX143" s="873"/>
      <c r="CY143" s="873"/>
      <c r="CZ143" s="873"/>
      <c r="DA143" s="873"/>
      <c r="DB143" s="873"/>
      <c r="DC143" s="873"/>
      <c r="DD143" s="873"/>
      <c r="DE143" s="873"/>
      <c r="DF143" s="873"/>
      <c r="DG143" s="873"/>
      <c r="DH143" s="873"/>
      <c r="DI143" s="873"/>
      <c r="DJ143" s="873"/>
      <c r="DK143" s="873"/>
      <c r="DL143" s="873"/>
      <c r="DM143" s="873"/>
      <c r="DN143" s="873"/>
      <c r="DO143" s="873"/>
      <c r="DP143" s="873"/>
      <c r="DQ143" s="873"/>
      <c r="DR143" s="873"/>
      <c r="DS143" s="873"/>
      <c r="DT143" s="873"/>
      <c r="DU143" s="873"/>
      <c r="DV143" s="873"/>
      <c r="DW143" s="873"/>
      <c r="DX143" s="873"/>
      <c r="DY143" s="873"/>
      <c r="DZ143" s="873"/>
      <c r="EA143" s="873"/>
      <c r="EB143" s="873"/>
      <c r="EC143" s="873"/>
      <c r="ED143" s="873"/>
      <c r="EE143" s="873"/>
      <c r="EF143" s="873"/>
      <c r="EG143" s="873"/>
      <c r="EH143" s="873"/>
      <c r="EI143" s="873"/>
      <c r="EJ143" s="873"/>
      <c r="EK143" s="873"/>
      <c r="EL143" s="873"/>
      <c r="EM143" s="873"/>
      <c r="EN143" s="873"/>
    </row>
    <row r="144" spans="1:144" s="1047" customFormat="1" ht="18" customHeight="1">
      <c r="A144" s="1031" t="s">
        <v>513</v>
      </c>
      <c r="B144" s="181"/>
      <c r="C144" s="181"/>
      <c r="D144" s="181"/>
      <c r="E144" s="181"/>
      <c r="F144" s="181"/>
      <c r="G144" s="181"/>
      <c r="H144" s="181">
        <v>672</v>
      </c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080">
        <f t="shared" si="9"/>
        <v>672</v>
      </c>
      <c r="AA144" s="873"/>
      <c r="AB144" s="873"/>
      <c r="AC144" s="873"/>
      <c r="AD144" s="873"/>
      <c r="AE144" s="873"/>
      <c r="AF144" s="873"/>
      <c r="AG144" s="873"/>
      <c r="AH144" s="873"/>
      <c r="AI144" s="873"/>
      <c r="AJ144" s="873"/>
      <c r="AK144" s="873"/>
      <c r="AL144" s="873"/>
      <c r="AM144" s="873"/>
      <c r="AN144" s="873"/>
      <c r="AO144" s="873"/>
      <c r="AP144" s="873"/>
      <c r="AQ144" s="873"/>
      <c r="AR144" s="873"/>
      <c r="AS144" s="873"/>
      <c r="AT144" s="873"/>
      <c r="AU144" s="873"/>
      <c r="AV144" s="873"/>
      <c r="AW144" s="873"/>
      <c r="AX144" s="873"/>
      <c r="AY144" s="873"/>
      <c r="AZ144" s="873"/>
      <c r="BA144" s="873"/>
      <c r="BB144" s="873"/>
      <c r="BC144" s="873"/>
      <c r="BD144" s="873"/>
      <c r="BE144" s="873"/>
      <c r="BF144" s="873"/>
      <c r="BG144" s="873"/>
      <c r="BH144" s="873"/>
      <c r="BI144" s="873"/>
      <c r="BJ144" s="873"/>
      <c r="BK144" s="873"/>
      <c r="BL144" s="873"/>
      <c r="BM144" s="873"/>
      <c r="BN144" s="873"/>
      <c r="BO144" s="873"/>
      <c r="BP144" s="873"/>
      <c r="BQ144" s="873"/>
      <c r="BR144" s="873"/>
      <c r="BS144" s="873"/>
      <c r="BT144" s="873"/>
      <c r="BU144" s="873"/>
      <c r="BV144" s="873"/>
      <c r="BW144" s="873"/>
      <c r="BX144" s="873"/>
      <c r="BY144" s="873"/>
      <c r="BZ144" s="873"/>
      <c r="CA144" s="873"/>
      <c r="CB144" s="873"/>
      <c r="CC144" s="873"/>
      <c r="CD144" s="873"/>
      <c r="CE144" s="873"/>
      <c r="CF144" s="873"/>
      <c r="CG144" s="873"/>
      <c r="CH144" s="873"/>
      <c r="CI144" s="873"/>
      <c r="CJ144" s="873"/>
      <c r="CK144" s="873"/>
      <c r="CL144" s="873"/>
      <c r="CM144" s="873"/>
      <c r="CN144" s="873"/>
      <c r="CO144" s="873"/>
      <c r="CP144" s="873"/>
      <c r="CQ144" s="873"/>
      <c r="CR144" s="873"/>
      <c r="CS144" s="873"/>
      <c r="CT144" s="873"/>
      <c r="CU144" s="873"/>
      <c r="CV144" s="873"/>
      <c r="CW144" s="873"/>
      <c r="CX144" s="873"/>
      <c r="CY144" s="873"/>
      <c r="CZ144" s="873"/>
      <c r="DA144" s="873"/>
      <c r="DB144" s="873"/>
      <c r="DC144" s="873"/>
      <c r="DD144" s="873"/>
      <c r="DE144" s="873"/>
      <c r="DF144" s="873"/>
      <c r="DG144" s="873"/>
      <c r="DH144" s="873"/>
      <c r="DI144" s="873"/>
      <c r="DJ144" s="873"/>
      <c r="DK144" s="873"/>
      <c r="DL144" s="873"/>
      <c r="DM144" s="873"/>
      <c r="DN144" s="873"/>
      <c r="DO144" s="873"/>
      <c r="DP144" s="873"/>
      <c r="DQ144" s="873"/>
      <c r="DR144" s="873"/>
      <c r="DS144" s="873"/>
      <c r="DT144" s="873"/>
      <c r="DU144" s="873"/>
      <c r="DV144" s="873"/>
      <c r="DW144" s="873"/>
      <c r="DX144" s="873"/>
      <c r="DY144" s="873"/>
      <c r="DZ144" s="873"/>
      <c r="EA144" s="873"/>
      <c r="EB144" s="873"/>
      <c r="EC144" s="873"/>
      <c r="ED144" s="873"/>
      <c r="EE144" s="873"/>
      <c r="EF144" s="873"/>
      <c r="EG144" s="873"/>
      <c r="EH144" s="873"/>
      <c r="EI144" s="873"/>
      <c r="EJ144" s="873"/>
      <c r="EK144" s="873"/>
      <c r="EL144" s="873"/>
      <c r="EM144" s="873"/>
      <c r="EN144" s="873"/>
    </row>
    <row r="145" spans="1:144" s="1047" customFormat="1" ht="18" customHeight="1">
      <c r="A145" s="1015" t="s">
        <v>515</v>
      </c>
      <c r="B145" s="181"/>
      <c r="C145" s="181"/>
      <c r="D145" s="181"/>
      <c r="E145" s="181"/>
      <c r="F145" s="181"/>
      <c r="G145" s="181"/>
      <c r="H145" s="181">
        <v>672</v>
      </c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080">
        <f t="shared" si="9"/>
        <v>672</v>
      </c>
      <c r="AA145" s="873"/>
      <c r="AB145" s="873"/>
      <c r="AC145" s="873"/>
      <c r="AD145" s="873"/>
      <c r="AE145" s="873"/>
      <c r="AF145" s="873"/>
      <c r="AG145" s="873"/>
      <c r="AH145" s="873"/>
      <c r="AI145" s="873"/>
      <c r="AJ145" s="873"/>
      <c r="AK145" s="873"/>
      <c r="AL145" s="873"/>
      <c r="AM145" s="873"/>
      <c r="AN145" s="873"/>
      <c r="AO145" s="873"/>
      <c r="AP145" s="873"/>
      <c r="AQ145" s="873"/>
      <c r="AR145" s="873"/>
      <c r="AS145" s="873"/>
      <c r="AT145" s="873"/>
      <c r="AU145" s="873"/>
      <c r="AV145" s="873"/>
      <c r="AW145" s="873"/>
      <c r="AX145" s="873"/>
      <c r="AY145" s="873"/>
      <c r="AZ145" s="873"/>
      <c r="BA145" s="873"/>
      <c r="BB145" s="873"/>
      <c r="BC145" s="873"/>
      <c r="BD145" s="873"/>
      <c r="BE145" s="873"/>
      <c r="BF145" s="873"/>
      <c r="BG145" s="873"/>
      <c r="BH145" s="873"/>
      <c r="BI145" s="873"/>
      <c r="BJ145" s="873"/>
      <c r="BK145" s="873"/>
      <c r="BL145" s="873"/>
      <c r="BM145" s="873"/>
      <c r="BN145" s="873"/>
      <c r="BO145" s="873"/>
      <c r="BP145" s="873"/>
      <c r="BQ145" s="873"/>
      <c r="BR145" s="873"/>
      <c r="BS145" s="873"/>
      <c r="BT145" s="873"/>
      <c r="BU145" s="873"/>
      <c r="BV145" s="873"/>
      <c r="BW145" s="873"/>
      <c r="BX145" s="873"/>
      <c r="BY145" s="873"/>
      <c r="BZ145" s="873"/>
      <c r="CA145" s="873"/>
      <c r="CB145" s="873"/>
      <c r="CC145" s="873"/>
      <c r="CD145" s="873"/>
      <c r="CE145" s="873"/>
      <c r="CF145" s="873"/>
      <c r="CG145" s="873"/>
      <c r="CH145" s="873"/>
      <c r="CI145" s="873"/>
      <c r="CJ145" s="873"/>
      <c r="CK145" s="873"/>
      <c r="CL145" s="873"/>
      <c r="CM145" s="873"/>
      <c r="CN145" s="873"/>
      <c r="CO145" s="873"/>
      <c r="CP145" s="873"/>
      <c r="CQ145" s="873"/>
      <c r="CR145" s="873"/>
      <c r="CS145" s="873"/>
      <c r="CT145" s="873"/>
      <c r="CU145" s="873"/>
      <c r="CV145" s="873"/>
      <c r="CW145" s="873"/>
      <c r="CX145" s="873"/>
      <c r="CY145" s="873"/>
      <c r="CZ145" s="873"/>
      <c r="DA145" s="873"/>
      <c r="DB145" s="873"/>
      <c r="DC145" s="873"/>
      <c r="DD145" s="873"/>
      <c r="DE145" s="873"/>
      <c r="DF145" s="873"/>
      <c r="DG145" s="873"/>
      <c r="DH145" s="873"/>
      <c r="DI145" s="873"/>
      <c r="DJ145" s="873"/>
      <c r="DK145" s="873"/>
      <c r="DL145" s="873"/>
      <c r="DM145" s="873"/>
      <c r="DN145" s="873"/>
      <c r="DO145" s="873"/>
      <c r="DP145" s="873"/>
      <c r="DQ145" s="873"/>
      <c r="DR145" s="873"/>
      <c r="DS145" s="873"/>
      <c r="DT145" s="873"/>
      <c r="DU145" s="873"/>
      <c r="DV145" s="873"/>
      <c r="DW145" s="873"/>
      <c r="DX145" s="873"/>
      <c r="DY145" s="873"/>
      <c r="DZ145" s="873"/>
      <c r="EA145" s="873"/>
      <c r="EB145" s="873"/>
      <c r="EC145" s="873"/>
      <c r="ED145" s="873"/>
      <c r="EE145" s="873"/>
      <c r="EF145" s="873"/>
      <c r="EG145" s="873"/>
      <c r="EH145" s="873"/>
      <c r="EI145" s="873"/>
      <c r="EJ145" s="873"/>
      <c r="EK145" s="873"/>
      <c r="EL145" s="873"/>
      <c r="EM145" s="873"/>
      <c r="EN145" s="873"/>
    </row>
    <row r="146" spans="1:144" s="1047" customFormat="1" ht="18" customHeight="1">
      <c r="A146" s="1031" t="s">
        <v>516</v>
      </c>
      <c r="B146" s="181"/>
      <c r="C146" s="181"/>
      <c r="D146" s="181"/>
      <c r="E146" s="181"/>
      <c r="F146" s="181"/>
      <c r="G146" s="181"/>
      <c r="H146" s="181">
        <v>576</v>
      </c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080">
        <f t="shared" si="9"/>
        <v>576</v>
      </c>
      <c r="AA146" s="873"/>
      <c r="AB146" s="873"/>
      <c r="AC146" s="873"/>
      <c r="AD146" s="873"/>
      <c r="AE146" s="873"/>
      <c r="AF146" s="873"/>
      <c r="AG146" s="873"/>
      <c r="AH146" s="873"/>
      <c r="AI146" s="873"/>
      <c r="AJ146" s="873"/>
      <c r="AK146" s="873"/>
      <c r="AL146" s="873"/>
      <c r="AM146" s="873"/>
      <c r="AN146" s="873"/>
      <c r="AO146" s="873"/>
      <c r="AP146" s="873"/>
      <c r="AQ146" s="873"/>
      <c r="AR146" s="873"/>
      <c r="AS146" s="873"/>
      <c r="AT146" s="873"/>
      <c r="AU146" s="873"/>
      <c r="AV146" s="873"/>
      <c r="AW146" s="873"/>
      <c r="AX146" s="873"/>
      <c r="AY146" s="873"/>
      <c r="AZ146" s="873"/>
      <c r="BA146" s="873"/>
      <c r="BB146" s="873"/>
      <c r="BC146" s="873"/>
      <c r="BD146" s="873"/>
      <c r="BE146" s="873"/>
      <c r="BF146" s="873"/>
      <c r="BG146" s="873"/>
      <c r="BH146" s="873"/>
      <c r="BI146" s="873"/>
      <c r="BJ146" s="873"/>
      <c r="BK146" s="873"/>
      <c r="BL146" s="873"/>
      <c r="BM146" s="873"/>
      <c r="BN146" s="873"/>
      <c r="BO146" s="873"/>
      <c r="BP146" s="873"/>
      <c r="BQ146" s="873"/>
      <c r="BR146" s="873"/>
      <c r="BS146" s="873"/>
      <c r="BT146" s="873"/>
      <c r="BU146" s="873"/>
      <c r="BV146" s="873"/>
      <c r="BW146" s="873"/>
      <c r="BX146" s="873"/>
      <c r="BY146" s="873"/>
      <c r="BZ146" s="873"/>
      <c r="CA146" s="873"/>
      <c r="CB146" s="873"/>
      <c r="CC146" s="873"/>
      <c r="CD146" s="873"/>
      <c r="CE146" s="873"/>
      <c r="CF146" s="873"/>
      <c r="CG146" s="873"/>
      <c r="CH146" s="873"/>
      <c r="CI146" s="873"/>
      <c r="CJ146" s="873"/>
      <c r="CK146" s="873"/>
      <c r="CL146" s="873"/>
      <c r="CM146" s="873"/>
      <c r="CN146" s="873"/>
      <c r="CO146" s="873"/>
      <c r="CP146" s="873"/>
      <c r="CQ146" s="873"/>
      <c r="CR146" s="873"/>
      <c r="CS146" s="873"/>
      <c r="CT146" s="873"/>
      <c r="CU146" s="873"/>
      <c r="CV146" s="873"/>
      <c r="CW146" s="873"/>
      <c r="CX146" s="873"/>
      <c r="CY146" s="873"/>
      <c r="CZ146" s="873"/>
      <c r="DA146" s="873"/>
      <c r="DB146" s="873"/>
      <c r="DC146" s="873"/>
      <c r="DD146" s="873"/>
      <c r="DE146" s="873"/>
      <c r="DF146" s="873"/>
      <c r="DG146" s="873"/>
      <c r="DH146" s="873"/>
      <c r="DI146" s="873"/>
      <c r="DJ146" s="873"/>
      <c r="DK146" s="873"/>
      <c r="DL146" s="873"/>
      <c r="DM146" s="873"/>
      <c r="DN146" s="873"/>
      <c r="DO146" s="873"/>
      <c r="DP146" s="873"/>
      <c r="DQ146" s="873"/>
      <c r="DR146" s="873"/>
      <c r="DS146" s="873"/>
      <c r="DT146" s="873"/>
      <c r="DU146" s="873"/>
      <c r="DV146" s="873"/>
      <c r="DW146" s="873"/>
      <c r="DX146" s="873"/>
      <c r="DY146" s="873"/>
      <c r="DZ146" s="873"/>
      <c r="EA146" s="873"/>
      <c r="EB146" s="873"/>
      <c r="EC146" s="873"/>
      <c r="ED146" s="873"/>
      <c r="EE146" s="873"/>
      <c r="EF146" s="873"/>
      <c r="EG146" s="873"/>
      <c r="EH146" s="873"/>
      <c r="EI146" s="873"/>
      <c r="EJ146" s="873"/>
      <c r="EK146" s="873"/>
      <c r="EL146" s="873"/>
      <c r="EM146" s="873"/>
      <c r="EN146" s="873"/>
    </row>
    <row r="147" spans="1:144" s="1047" customFormat="1" ht="18" customHeight="1">
      <c r="A147" s="1049" t="s">
        <v>518</v>
      </c>
      <c r="B147" s="181"/>
      <c r="C147" s="181"/>
      <c r="D147" s="181"/>
      <c r="E147" s="181"/>
      <c r="F147" s="181"/>
      <c r="G147" s="181"/>
      <c r="H147" s="181">
        <v>432</v>
      </c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080">
        <f t="shared" si="9"/>
        <v>432</v>
      </c>
      <c r="AA147" s="873"/>
      <c r="AB147" s="873"/>
      <c r="AC147" s="873"/>
      <c r="AD147" s="873"/>
      <c r="AE147" s="873"/>
      <c r="AF147" s="873"/>
      <c r="AG147" s="873"/>
      <c r="AH147" s="873"/>
      <c r="AI147" s="873"/>
      <c r="AJ147" s="873"/>
      <c r="AK147" s="873"/>
      <c r="AL147" s="873"/>
      <c r="AM147" s="873"/>
      <c r="AN147" s="873"/>
      <c r="AO147" s="873"/>
      <c r="AP147" s="873"/>
      <c r="AQ147" s="873"/>
      <c r="AR147" s="873"/>
      <c r="AS147" s="873"/>
      <c r="AT147" s="873"/>
      <c r="AU147" s="873"/>
      <c r="AV147" s="873"/>
      <c r="AW147" s="873"/>
      <c r="AX147" s="873"/>
      <c r="AY147" s="873"/>
      <c r="AZ147" s="873"/>
      <c r="BA147" s="873"/>
      <c r="BB147" s="873"/>
      <c r="BC147" s="873"/>
      <c r="BD147" s="873"/>
      <c r="BE147" s="873"/>
      <c r="BF147" s="873"/>
      <c r="BG147" s="873"/>
      <c r="BH147" s="873"/>
      <c r="BI147" s="873"/>
      <c r="BJ147" s="873"/>
      <c r="BK147" s="873"/>
      <c r="BL147" s="873"/>
      <c r="BM147" s="873"/>
      <c r="BN147" s="873"/>
      <c r="BO147" s="873"/>
      <c r="BP147" s="873"/>
      <c r="BQ147" s="873"/>
      <c r="BR147" s="873"/>
      <c r="BS147" s="873"/>
      <c r="BT147" s="873"/>
      <c r="BU147" s="873"/>
      <c r="BV147" s="873"/>
      <c r="BW147" s="873"/>
      <c r="BX147" s="873"/>
      <c r="BY147" s="873"/>
      <c r="BZ147" s="873"/>
      <c r="CA147" s="873"/>
      <c r="CB147" s="873"/>
      <c r="CC147" s="873"/>
      <c r="CD147" s="873"/>
      <c r="CE147" s="873"/>
      <c r="CF147" s="873"/>
      <c r="CG147" s="873"/>
      <c r="CH147" s="873"/>
      <c r="CI147" s="873"/>
      <c r="CJ147" s="873"/>
      <c r="CK147" s="873"/>
      <c r="CL147" s="873"/>
      <c r="CM147" s="873"/>
      <c r="CN147" s="873"/>
      <c r="CO147" s="873"/>
      <c r="CP147" s="873"/>
      <c r="CQ147" s="873"/>
      <c r="CR147" s="873"/>
      <c r="CS147" s="873"/>
      <c r="CT147" s="873"/>
      <c r="CU147" s="873"/>
      <c r="CV147" s="873"/>
      <c r="CW147" s="873"/>
      <c r="CX147" s="873"/>
      <c r="CY147" s="873"/>
      <c r="CZ147" s="873"/>
      <c r="DA147" s="873"/>
      <c r="DB147" s="873"/>
      <c r="DC147" s="873"/>
      <c r="DD147" s="873"/>
      <c r="DE147" s="873"/>
      <c r="DF147" s="873"/>
      <c r="DG147" s="873"/>
      <c r="DH147" s="873"/>
      <c r="DI147" s="873"/>
      <c r="DJ147" s="873"/>
      <c r="DK147" s="873"/>
      <c r="DL147" s="873"/>
      <c r="DM147" s="873"/>
      <c r="DN147" s="873"/>
      <c r="DO147" s="873"/>
      <c r="DP147" s="873"/>
      <c r="DQ147" s="873"/>
      <c r="DR147" s="873"/>
      <c r="DS147" s="873"/>
      <c r="DT147" s="873"/>
      <c r="DU147" s="873"/>
      <c r="DV147" s="873"/>
      <c r="DW147" s="873"/>
      <c r="DX147" s="873"/>
      <c r="DY147" s="873"/>
      <c r="DZ147" s="873"/>
      <c r="EA147" s="873"/>
      <c r="EB147" s="873"/>
      <c r="EC147" s="873"/>
      <c r="ED147" s="873"/>
      <c r="EE147" s="873"/>
      <c r="EF147" s="873"/>
      <c r="EG147" s="873"/>
      <c r="EH147" s="873"/>
      <c r="EI147" s="873"/>
      <c r="EJ147" s="873"/>
      <c r="EK147" s="873"/>
      <c r="EL147" s="873"/>
      <c r="EM147" s="873"/>
      <c r="EN147" s="873"/>
    </row>
    <row r="148" spans="1:144" s="1047" customFormat="1" ht="18" customHeight="1">
      <c r="A148" s="1049" t="s">
        <v>519</v>
      </c>
      <c r="B148" s="181"/>
      <c r="C148" s="181"/>
      <c r="D148" s="181"/>
      <c r="E148" s="181"/>
      <c r="F148" s="181"/>
      <c r="G148" s="181"/>
      <c r="H148" s="181">
        <v>288</v>
      </c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080">
        <f t="shared" si="9"/>
        <v>288</v>
      </c>
      <c r="AA148" s="873"/>
      <c r="AB148" s="873"/>
      <c r="AC148" s="873"/>
      <c r="AD148" s="873"/>
      <c r="AE148" s="873"/>
      <c r="AF148" s="873"/>
      <c r="AG148" s="873"/>
      <c r="AH148" s="873"/>
      <c r="AI148" s="873"/>
      <c r="AJ148" s="873"/>
      <c r="AK148" s="873"/>
      <c r="AL148" s="873"/>
      <c r="AM148" s="873"/>
      <c r="AN148" s="873"/>
      <c r="AO148" s="873"/>
      <c r="AP148" s="873"/>
      <c r="AQ148" s="873"/>
      <c r="AR148" s="873"/>
      <c r="AS148" s="873"/>
      <c r="AT148" s="873"/>
      <c r="AU148" s="873"/>
      <c r="AV148" s="873"/>
      <c r="AW148" s="873"/>
      <c r="AX148" s="873"/>
      <c r="AY148" s="873"/>
      <c r="AZ148" s="873"/>
      <c r="BA148" s="873"/>
      <c r="BB148" s="873"/>
      <c r="BC148" s="873"/>
      <c r="BD148" s="873"/>
      <c r="BE148" s="873"/>
      <c r="BF148" s="873"/>
      <c r="BG148" s="873"/>
      <c r="BH148" s="873"/>
      <c r="BI148" s="873"/>
      <c r="BJ148" s="873"/>
      <c r="BK148" s="873"/>
      <c r="BL148" s="873"/>
      <c r="BM148" s="873"/>
      <c r="BN148" s="873"/>
      <c r="BO148" s="873"/>
      <c r="BP148" s="873"/>
      <c r="BQ148" s="873"/>
      <c r="BR148" s="873"/>
      <c r="BS148" s="873"/>
      <c r="BT148" s="873"/>
      <c r="BU148" s="873"/>
      <c r="BV148" s="873"/>
      <c r="BW148" s="873"/>
      <c r="BX148" s="873"/>
      <c r="BY148" s="873"/>
      <c r="BZ148" s="873"/>
      <c r="CA148" s="873"/>
      <c r="CB148" s="873"/>
      <c r="CC148" s="873"/>
      <c r="CD148" s="873"/>
      <c r="CE148" s="873"/>
      <c r="CF148" s="873"/>
      <c r="CG148" s="873"/>
      <c r="CH148" s="873"/>
      <c r="CI148" s="873"/>
      <c r="CJ148" s="873"/>
      <c r="CK148" s="873"/>
      <c r="CL148" s="873"/>
      <c r="CM148" s="873"/>
      <c r="CN148" s="873"/>
      <c r="CO148" s="873"/>
      <c r="CP148" s="873"/>
      <c r="CQ148" s="873"/>
      <c r="CR148" s="873"/>
      <c r="CS148" s="873"/>
      <c r="CT148" s="873"/>
      <c r="CU148" s="873"/>
      <c r="CV148" s="873"/>
      <c r="CW148" s="873"/>
      <c r="CX148" s="873"/>
      <c r="CY148" s="873"/>
      <c r="CZ148" s="873"/>
      <c r="DA148" s="873"/>
      <c r="DB148" s="873"/>
      <c r="DC148" s="873"/>
      <c r="DD148" s="873"/>
      <c r="DE148" s="873"/>
      <c r="DF148" s="873"/>
      <c r="DG148" s="873"/>
      <c r="DH148" s="873"/>
      <c r="DI148" s="873"/>
      <c r="DJ148" s="873"/>
      <c r="DK148" s="873"/>
      <c r="DL148" s="873"/>
      <c r="DM148" s="873"/>
      <c r="DN148" s="873"/>
      <c r="DO148" s="873"/>
      <c r="DP148" s="873"/>
      <c r="DQ148" s="873"/>
      <c r="DR148" s="873"/>
      <c r="DS148" s="873"/>
      <c r="DT148" s="873"/>
      <c r="DU148" s="873"/>
      <c r="DV148" s="873"/>
      <c r="DW148" s="873"/>
      <c r="DX148" s="873"/>
      <c r="DY148" s="873"/>
      <c r="DZ148" s="873"/>
      <c r="EA148" s="873"/>
      <c r="EB148" s="873"/>
      <c r="EC148" s="873"/>
      <c r="ED148" s="873"/>
      <c r="EE148" s="873"/>
      <c r="EF148" s="873"/>
      <c r="EG148" s="873"/>
      <c r="EH148" s="873"/>
      <c r="EI148" s="873"/>
      <c r="EJ148" s="873"/>
      <c r="EK148" s="873"/>
      <c r="EL148" s="873"/>
      <c r="EM148" s="873"/>
      <c r="EN148" s="873"/>
    </row>
    <row r="149" spans="1:144" s="1047" customFormat="1" ht="18" customHeight="1">
      <c r="A149" s="1049" t="s">
        <v>520</v>
      </c>
      <c r="B149" s="181"/>
      <c r="C149" s="181"/>
      <c r="D149" s="181"/>
      <c r="E149" s="181"/>
      <c r="F149" s="181"/>
      <c r="G149" s="181"/>
      <c r="H149" s="181">
        <v>1872</v>
      </c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080">
        <f t="shared" si="9"/>
        <v>1872</v>
      </c>
      <c r="AA149" s="873"/>
      <c r="AB149" s="873"/>
      <c r="AC149" s="873"/>
      <c r="AD149" s="873"/>
      <c r="AE149" s="873"/>
      <c r="AF149" s="873"/>
      <c r="AG149" s="873"/>
      <c r="AH149" s="873"/>
      <c r="AI149" s="873"/>
      <c r="AJ149" s="873"/>
      <c r="AK149" s="873"/>
      <c r="AL149" s="873"/>
      <c r="AM149" s="873"/>
      <c r="AN149" s="873"/>
      <c r="AO149" s="873"/>
      <c r="AP149" s="873"/>
      <c r="AQ149" s="873"/>
      <c r="AR149" s="873"/>
      <c r="AS149" s="873"/>
      <c r="AT149" s="873"/>
      <c r="AU149" s="873"/>
      <c r="AV149" s="873"/>
      <c r="AW149" s="873"/>
      <c r="AX149" s="873"/>
      <c r="AY149" s="873"/>
      <c r="AZ149" s="873"/>
      <c r="BA149" s="873"/>
      <c r="BB149" s="873"/>
      <c r="BC149" s="873"/>
      <c r="BD149" s="873"/>
      <c r="BE149" s="873"/>
      <c r="BF149" s="873"/>
      <c r="BG149" s="873"/>
      <c r="BH149" s="873"/>
      <c r="BI149" s="873"/>
      <c r="BJ149" s="873"/>
      <c r="BK149" s="873"/>
      <c r="BL149" s="873"/>
      <c r="BM149" s="873"/>
      <c r="BN149" s="873"/>
      <c r="BO149" s="873"/>
      <c r="BP149" s="873"/>
      <c r="BQ149" s="873"/>
      <c r="BR149" s="873"/>
      <c r="BS149" s="873"/>
      <c r="BT149" s="873"/>
      <c r="BU149" s="873"/>
      <c r="BV149" s="873"/>
      <c r="BW149" s="873"/>
      <c r="BX149" s="873"/>
      <c r="BY149" s="873"/>
      <c r="BZ149" s="873"/>
      <c r="CA149" s="873"/>
      <c r="CB149" s="873"/>
      <c r="CC149" s="873"/>
      <c r="CD149" s="873"/>
      <c r="CE149" s="873"/>
      <c r="CF149" s="873"/>
      <c r="CG149" s="873"/>
      <c r="CH149" s="873"/>
      <c r="CI149" s="873"/>
      <c r="CJ149" s="873"/>
      <c r="CK149" s="873"/>
      <c r="CL149" s="873"/>
      <c r="CM149" s="873"/>
      <c r="CN149" s="873"/>
      <c r="CO149" s="873"/>
      <c r="CP149" s="873"/>
      <c r="CQ149" s="873"/>
      <c r="CR149" s="873"/>
      <c r="CS149" s="873"/>
      <c r="CT149" s="873"/>
      <c r="CU149" s="873"/>
      <c r="CV149" s="873"/>
      <c r="CW149" s="873"/>
      <c r="CX149" s="873"/>
      <c r="CY149" s="873"/>
      <c r="CZ149" s="873"/>
      <c r="DA149" s="873"/>
      <c r="DB149" s="873"/>
      <c r="DC149" s="873"/>
      <c r="DD149" s="873"/>
      <c r="DE149" s="873"/>
      <c r="DF149" s="873"/>
      <c r="DG149" s="873"/>
      <c r="DH149" s="873"/>
      <c r="DI149" s="873"/>
      <c r="DJ149" s="873"/>
      <c r="DK149" s="873"/>
      <c r="DL149" s="873"/>
      <c r="DM149" s="873"/>
      <c r="DN149" s="873"/>
      <c r="DO149" s="873"/>
      <c r="DP149" s="873"/>
      <c r="DQ149" s="873"/>
      <c r="DR149" s="873"/>
      <c r="DS149" s="873"/>
      <c r="DT149" s="873"/>
      <c r="DU149" s="873"/>
      <c r="DV149" s="873"/>
      <c r="DW149" s="873"/>
      <c r="DX149" s="873"/>
      <c r="DY149" s="873"/>
      <c r="DZ149" s="873"/>
      <c r="EA149" s="873"/>
      <c r="EB149" s="873"/>
      <c r="EC149" s="873"/>
      <c r="ED149" s="873"/>
      <c r="EE149" s="873"/>
      <c r="EF149" s="873"/>
      <c r="EG149" s="873"/>
      <c r="EH149" s="873"/>
      <c r="EI149" s="873"/>
      <c r="EJ149" s="873"/>
      <c r="EK149" s="873"/>
      <c r="EL149" s="873"/>
      <c r="EM149" s="873"/>
      <c r="EN149" s="873"/>
    </row>
    <row r="150" spans="1:144" s="1047" customFormat="1" ht="18" customHeight="1">
      <c r="A150" s="1050" t="s">
        <v>522</v>
      </c>
      <c r="B150" s="181"/>
      <c r="C150" s="181"/>
      <c r="D150" s="181"/>
      <c r="E150" s="181"/>
      <c r="F150" s="181"/>
      <c r="G150" s="181"/>
      <c r="H150" s="181">
        <v>288</v>
      </c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080">
        <f t="shared" si="9"/>
        <v>288</v>
      </c>
      <c r="AA150" s="873"/>
      <c r="AB150" s="873"/>
      <c r="AC150" s="873"/>
      <c r="AD150" s="873"/>
      <c r="AE150" s="873"/>
      <c r="AF150" s="873"/>
      <c r="AG150" s="873"/>
      <c r="AH150" s="873"/>
      <c r="AI150" s="873"/>
      <c r="AJ150" s="873"/>
      <c r="AK150" s="873"/>
      <c r="AL150" s="873"/>
      <c r="AM150" s="873"/>
      <c r="AN150" s="873"/>
      <c r="AO150" s="873"/>
      <c r="AP150" s="873"/>
      <c r="AQ150" s="873"/>
      <c r="AR150" s="873"/>
      <c r="AS150" s="873"/>
      <c r="AT150" s="873"/>
      <c r="AU150" s="873"/>
      <c r="AV150" s="873"/>
      <c r="AW150" s="873"/>
      <c r="AX150" s="873"/>
      <c r="AY150" s="873"/>
      <c r="AZ150" s="873"/>
      <c r="BA150" s="873"/>
      <c r="BB150" s="873"/>
      <c r="BC150" s="873"/>
      <c r="BD150" s="873"/>
      <c r="BE150" s="873"/>
      <c r="BF150" s="873"/>
      <c r="BG150" s="873"/>
      <c r="BH150" s="873"/>
      <c r="BI150" s="873"/>
      <c r="BJ150" s="873"/>
      <c r="BK150" s="873"/>
      <c r="BL150" s="873"/>
      <c r="BM150" s="873"/>
      <c r="BN150" s="873"/>
      <c r="BO150" s="873"/>
      <c r="BP150" s="873"/>
      <c r="BQ150" s="873"/>
      <c r="BR150" s="873"/>
      <c r="BS150" s="873"/>
      <c r="BT150" s="873"/>
      <c r="BU150" s="873"/>
      <c r="BV150" s="873"/>
      <c r="BW150" s="873"/>
      <c r="BX150" s="873"/>
      <c r="BY150" s="873"/>
      <c r="BZ150" s="873"/>
      <c r="CA150" s="873"/>
      <c r="CB150" s="873"/>
      <c r="CC150" s="873"/>
      <c r="CD150" s="873"/>
      <c r="CE150" s="873"/>
      <c r="CF150" s="873"/>
      <c r="CG150" s="873"/>
      <c r="CH150" s="873"/>
      <c r="CI150" s="873"/>
      <c r="CJ150" s="873"/>
      <c r="CK150" s="873"/>
      <c r="CL150" s="873"/>
      <c r="CM150" s="873"/>
      <c r="CN150" s="873"/>
      <c r="CO150" s="873"/>
      <c r="CP150" s="873"/>
      <c r="CQ150" s="873"/>
      <c r="CR150" s="873"/>
      <c r="CS150" s="873"/>
      <c r="CT150" s="873"/>
      <c r="CU150" s="873"/>
      <c r="CV150" s="873"/>
      <c r="CW150" s="873"/>
      <c r="CX150" s="873"/>
      <c r="CY150" s="873"/>
      <c r="CZ150" s="873"/>
      <c r="DA150" s="873"/>
      <c r="DB150" s="873"/>
      <c r="DC150" s="873"/>
      <c r="DD150" s="873"/>
      <c r="DE150" s="873"/>
      <c r="DF150" s="873"/>
      <c r="DG150" s="873"/>
      <c r="DH150" s="873"/>
      <c r="DI150" s="873"/>
      <c r="DJ150" s="873"/>
      <c r="DK150" s="873"/>
      <c r="DL150" s="873"/>
      <c r="DM150" s="873"/>
      <c r="DN150" s="873"/>
      <c r="DO150" s="873"/>
      <c r="DP150" s="873"/>
      <c r="DQ150" s="873"/>
      <c r="DR150" s="873"/>
      <c r="DS150" s="873"/>
      <c r="DT150" s="873"/>
      <c r="DU150" s="873"/>
      <c r="DV150" s="873"/>
      <c r="DW150" s="873"/>
      <c r="DX150" s="873"/>
      <c r="DY150" s="873"/>
      <c r="DZ150" s="873"/>
      <c r="EA150" s="873"/>
      <c r="EB150" s="873"/>
      <c r="EC150" s="873"/>
      <c r="ED150" s="873"/>
      <c r="EE150" s="873"/>
      <c r="EF150" s="873"/>
      <c r="EG150" s="873"/>
      <c r="EH150" s="873"/>
      <c r="EI150" s="873"/>
      <c r="EJ150" s="873"/>
      <c r="EK150" s="873"/>
      <c r="EL150" s="873"/>
      <c r="EM150" s="873"/>
      <c r="EN150" s="873"/>
    </row>
    <row r="151" spans="1:130" s="1047" customFormat="1" ht="18" customHeight="1">
      <c r="A151" s="1015" t="s">
        <v>482</v>
      </c>
      <c r="B151" s="181"/>
      <c r="C151" s="181"/>
      <c r="D151" s="181"/>
      <c r="E151" s="181"/>
      <c r="F151" s="181"/>
      <c r="G151" s="181"/>
      <c r="H151" s="181">
        <v>192</v>
      </c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080">
        <f t="shared" si="9"/>
        <v>192</v>
      </c>
      <c r="AA151" s="873"/>
      <c r="AB151" s="873"/>
      <c r="AC151" s="873"/>
      <c r="AD151" s="873"/>
      <c r="AE151" s="873"/>
      <c r="AF151" s="873"/>
      <c r="AG151" s="873"/>
      <c r="AH151" s="873"/>
      <c r="AI151" s="873"/>
      <c r="AJ151" s="873"/>
      <c r="AK151" s="873"/>
      <c r="AL151" s="873"/>
      <c r="AM151" s="873"/>
      <c r="AN151" s="873"/>
      <c r="AO151" s="873"/>
      <c r="AP151" s="873"/>
      <c r="AQ151" s="873"/>
      <c r="AR151" s="873"/>
      <c r="AS151" s="873"/>
      <c r="AT151" s="873"/>
      <c r="AU151" s="873"/>
      <c r="AV151" s="873"/>
      <c r="AW151" s="873"/>
      <c r="AX151" s="873"/>
      <c r="AY151" s="873"/>
      <c r="AZ151" s="873"/>
      <c r="BA151" s="873"/>
      <c r="BB151" s="873"/>
      <c r="BC151" s="873"/>
      <c r="BD151" s="873"/>
      <c r="BE151" s="873"/>
      <c r="BF151" s="873"/>
      <c r="BG151" s="873"/>
      <c r="BH151" s="873"/>
      <c r="BI151" s="873"/>
      <c r="BJ151" s="873"/>
      <c r="BK151" s="873"/>
      <c r="BL151" s="873"/>
      <c r="BM151" s="873"/>
      <c r="BN151" s="873"/>
      <c r="BO151" s="873"/>
      <c r="BP151" s="873"/>
      <c r="BQ151" s="873"/>
      <c r="BR151" s="873"/>
      <c r="BS151" s="873"/>
      <c r="BT151" s="873"/>
      <c r="BU151" s="873"/>
      <c r="BV151" s="873"/>
      <c r="BW151" s="873"/>
      <c r="BX151" s="873"/>
      <c r="BY151" s="873"/>
      <c r="BZ151" s="873"/>
      <c r="CA151" s="873"/>
      <c r="CB151" s="873"/>
      <c r="CC151" s="873"/>
      <c r="CD151" s="873"/>
      <c r="CE151" s="873"/>
      <c r="CF151" s="873"/>
      <c r="CG151" s="873"/>
      <c r="CH151" s="873"/>
      <c r="CI151" s="873"/>
      <c r="CJ151" s="873"/>
      <c r="CK151" s="873"/>
      <c r="CL151" s="873"/>
      <c r="CM151" s="873"/>
      <c r="CN151" s="873"/>
      <c r="CO151" s="873"/>
      <c r="CP151" s="873"/>
      <c r="CQ151" s="873"/>
      <c r="CR151" s="873"/>
      <c r="CS151" s="873"/>
      <c r="CT151" s="873"/>
      <c r="CU151" s="873"/>
      <c r="CV151" s="873"/>
      <c r="CW151" s="873"/>
      <c r="CX151" s="873"/>
      <c r="CY151" s="873"/>
      <c r="CZ151" s="873"/>
      <c r="DA151" s="873"/>
      <c r="DB151" s="873"/>
      <c r="DC151" s="873"/>
      <c r="DD151" s="873"/>
      <c r="DE151" s="873"/>
      <c r="DF151" s="873"/>
      <c r="DG151" s="873"/>
      <c r="DH151" s="873"/>
      <c r="DI151" s="873"/>
      <c r="DJ151" s="873"/>
      <c r="DK151" s="873"/>
      <c r="DL151" s="873"/>
      <c r="DM151" s="873"/>
      <c r="DN151" s="873"/>
      <c r="DO151" s="873"/>
      <c r="DP151" s="873"/>
      <c r="DQ151" s="873"/>
      <c r="DR151" s="873"/>
      <c r="DS151" s="873"/>
      <c r="DT151" s="873"/>
      <c r="DU151" s="873"/>
      <c r="DV151" s="873"/>
      <c r="DW151" s="873"/>
      <c r="DX151" s="873"/>
      <c r="DY151" s="873"/>
      <c r="DZ151" s="1046"/>
    </row>
    <row r="152" spans="1:130" s="1047" customFormat="1" ht="18" customHeight="1">
      <c r="A152" s="1051" t="s">
        <v>528</v>
      </c>
      <c r="B152" s="181"/>
      <c r="C152" s="181"/>
      <c r="D152" s="181"/>
      <c r="E152" s="181"/>
      <c r="F152" s="181"/>
      <c r="G152" s="181"/>
      <c r="H152" s="181">
        <v>144</v>
      </c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080">
        <f t="shared" si="9"/>
        <v>144</v>
      </c>
      <c r="AA152" s="873"/>
      <c r="AB152" s="873"/>
      <c r="AC152" s="873"/>
      <c r="AD152" s="873"/>
      <c r="AE152" s="873"/>
      <c r="AF152" s="873"/>
      <c r="AG152" s="873"/>
      <c r="AH152" s="873"/>
      <c r="AI152" s="873"/>
      <c r="AJ152" s="873"/>
      <c r="AK152" s="873"/>
      <c r="AL152" s="873"/>
      <c r="AM152" s="873"/>
      <c r="AN152" s="873"/>
      <c r="AO152" s="873"/>
      <c r="AP152" s="873"/>
      <c r="AQ152" s="873"/>
      <c r="AR152" s="873"/>
      <c r="AS152" s="873"/>
      <c r="AT152" s="873"/>
      <c r="AU152" s="873"/>
      <c r="AV152" s="873"/>
      <c r="AW152" s="873"/>
      <c r="AX152" s="873"/>
      <c r="AY152" s="873"/>
      <c r="AZ152" s="873"/>
      <c r="BA152" s="873"/>
      <c r="BB152" s="873"/>
      <c r="BC152" s="873"/>
      <c r="BD152" s="873"/>
      <c r="BE152" s="873"/>
      <c r="BF152" s="873"/>
      <c r="BG152" s="873"/>
      <c r="BH152" s="873"/>
      <c r="BI152" s="873"/>
      <c r="BJ152" s="873"/>
      <c r="BK152" s="873"/>
      <c r="BL152" s="873"/>
      <c r="BM152" s="873"/>
      <c r="BN152" s="873"/>
      <c r="BO152" s="873"/>
      <c r="BP152" s="873"/>
      <c r="BQ152" s="873"/>
      <c r="BR152" s="873"/>
      <c r="BS152" s="873"/>
      <c r="BT152" s="873"/>
      <c r="BU152" s="873"/>
      <c r="BV152" s="873"/>
      <c r="BW152" s="873"/>
      <c r="BX152" s="873"/>
      <c r="BY152" s="873"/>
      <c r="BZ152" s="873"/>
      <c r="CA152" s="873"/>
      <c r="CB152" s="873"/>
      <c r="CC152" s="873"/>
      <c r="CD152" s="873"/>
      <c r="CE152" s="873"/>
      <c r="CF152" s="873"/>
      <c r="CG152" s="873"/>
      <c r="CH152" s="873"/>
      <c r="CI152" s="873"/>
      <c r="CJ152" s="873"/>
      <c r="CK152" s="873"/>
      <c r="CL152" s="873"/>
      <c r="CM152" s="873"/>
      <c r="CN152" s="873"/>
      <c r="CO152" s="873"/>
      <c r="CP152" s="873"/>
      <c r="CQ152" s="873"/>
      <c r="CR152" s="873"/>
      <c r="CS152" s="873"/>
      <c r="CT152" s="873"/>
      <c r="CU152" s="873"/>
      <c r="CV152" s="873"/>
      <c r="CW152" s="873"/>
      <c r="CX152" s="873"/>
      <c r="CY152" s="873"/>
      <c r="CZ152" s="873"/>
      <c r="DA152" s="873"/>
      <c r="DB152" s="873"/>
      <c r="DC152" s="873"/>
      <c r="DD152" s="873"/>
      <c r="DE152" s="873"/>
      <c r="DF152" s="873"/>
      <c r="DG152" s="873"/>
      <c r="DH152" s="873"/>
      <c r="DI152" s="873"/>
      <c r="DJ152" s="873"/>
      <c r="DK152" s="873"/>
      <c r="DL152" s="873"/>
      <c r="DM152" s="873"/>
      <c r="DN152" s="873"/>
      <c r="DO152" s="873"/>
      <c r="DP152" s="873"/>
      <c r="DQ152" s="873"/>
      <c r="DR152" s="873"/>
      <c r="DS152" s="873"/>
      <c r="DT152" s="873"/>
      <c r="DU152" s="873"/>
      <c r="DV152" s="873"/>
      <c r="DW152" s="873"/>
      <c r="DX152" s="873"/>
      <c r="DY152" s="873"/>
      <c r="DZ152" s="1046"/>
    </row>
    <row r="153" spans="1:130" s="1047" customFormat="1" ht="18" customHeight="1">
      <c r="A153" s="1015" t="s">
        <v>737</v>
      </c>
      <c r="B153" s="181"/>
      <c r="C153" s="181"/>
      <c r="D153" s="181"/>
      <c r="E153" s="181"/>
      <c r="F153" s="181"/>
      <c r="G153" s="181"/>
      <c r="H153" s="181">
        <v>96</v>
      </c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080">
        <f t="shared" si="9"/>
        <v>96</v>
      </c>
      <c r="AA153" s="873"/>
      <c r="AB153" s="873"/>
      <c r="AC153" s="873"/>
      <c r="AD153" s="873"/>
      <c r="AE153" s="873"/>
      <c r="AF153" s="873"/>
      <c r="AG153" s="873"/>
      <c r="AH153" s="873"/>
      <c r="AI153" s="873"/>
      <c r="AJ153" s="873"/>
      <c r="AK153" s="873"/>
      <c r="AL153" s="873"/>
      <c r="AM153" s="873"/>
      <c r="AN153" s="873"/>
      <c r="AO153" s="873"/>
      <c r="AP153" s="873"/>
      <c r="AQ153" s="873"/>
      <c r="AR153" s="873"/>
      <c r="AS153" s="873"/>
      <c r="AT153" s="873"/>
      <c r="AU153" s="873"/>
      <c r="AV153" s="873"/>
      <c r="AW153" s="873"/>
      <c r="AX153" s="873"/>
      <c r="AY153" s="873"/>
      <c r="AZ153" s="873"/>
      <c r="BA153" s="873"/>
      <c r="BB153" s="873"/>
      <c r="BC153" s="873"/>
      <c r="BD153" s="873"/>
      <c r="BE153" s="873"/>
      <c r="BF153" s="873"/>
      <c r="BG153" s="873"/>
      <c r="BH153" s="873"/>
      <c r="BI153" s="873"/>
      <c r="BJ153" s="873"/>
      <c r="BK153" s="873"/>
      <c r="BL153" s="873"/>
      <c r="BM153" s="873"/>
      <c r="BN153" s="873"/>
      <c r="BO153" s="873"/>
      <c r="BP153" s="873"/>
      <c r="BQ153" s="873"/>
      <c r="BR153" s="873"/>
      <c r="BS153" s="873"/>
      <c r="BT153" s="873"/>
      <c r="BU153" s="873"/>
      <c r="BV153" s="873"/>
      <c r="BW153" s="873"/>
      <c r="BX153" s="873"/>
      <c r="BY153" s="873"/>
      <c r="BZ153" s="873"/>
      <c r="CA153" s="873"/>
      <c r="CB153" s="873"/>
      <c r="CC153" s="873"/>
      <c r="CD153" s="873"/>
      <c r="CE153" s="873"/>
      <c r="CF153" s="873"/>
      <c r="CG153" s="873"/>
      <c r="CH153" s="873"/>
      <c r="CI153" s="873"/>
      <c r="CJ153" s="873"/>
      <c r="CK153" s="873"/>
      <c r="CL153" s="873"/>
      <c r="CM153" s="873"/>
      <c r="CN153" s="873"/>
      <c r="CO153" s="873"/>
      <c r="CP153" s="873"/>
      <c r="CQ153" s="873"/>
      <c r="CR153" s="873"/>
      <c r="CS153" s="873"/>
      <c r="CT153" s="873"/>
      <c r="CU153" s="873"/>
      <c r="CV153" s="873"/>
      <c r="CW153" s="873"/>
      <c r="CX153" s="873"/>
      <c r="CY153" s="873"/>
      <c r="CZ153" s="873"/>
      <c r="DA153" s="873"/>
      <c r="DB153" s="873"/>
      <c r="DC153" s="873"/>
      <c r="DD153" s="873"/>
      <c r="DE153" s="873"/>
      <c r="DF153" s="873"/>
      <c r="DG153" s="873"/>
      <c r="DH153" s="873"/>
      <c r="DI153" s="873"/>
      <c r="DJ153" s="873"/>
      <c r="DK153" s="873"/>
      <c r="DL153" s="873"/>
      <c r="DM153" s="873"/>
      <c r="DN153" s="873"/>
      <c r="DO153" s="873"/>
      <c r="DP153" s="873"/>
      <c r="DQ153" s="873"/>
      <c r="DR153" s="873"/>
      <c r="DS153" s="873"/>
      <c r="DT153" s="873"/>
      <c r="DU153" s="873"/>
      <c r="DV153" s="873"/>
      <c r="DW153" s="873"/>
      <c r="DX153" s="873"/>
      <c r="DY153" s="873"/>
      <c r="DZ153" s="1046"/>
    </row>
    <row r="154" spans="1:130" s="1054" customFormat="1" ht="25.5">
      <c r="A154" s="1015" t="s">
        <v>486</v>
      </c>
      <c r="B154" s="968"/>
      <c r="C154" s="968"/>
      <c r="D154" s="968"/>
      <c r="E154" s="968"/>
      <c r="F154" s="968"/>
      <c r="G154" s="968"/>
      <c r="H154" s="1052">
        <v>192</v>
      </c>
      <c r="I154" s="1052"/>
      <c r="J154" s="968"/>
      <c r="K154" s="968"/>
      <c r="L154" s="968"/>
      <c r="M154" s="968"/>
      <c r="N154" s="968"/>
      <c r="O154" s="968"/>
      <c r="P154" s="968"/>
      <c r="Q154" s="968"/>
      <c r="R154" s="968"/>
      <c r="S154" s="968"/>
      <c r="T154" s="968"/>
      <c r="U154" s="968"/>
      <c r="V154" s="968"/>
      <c r="W154" s="968"/>
      <c r="X154" s="968"/>
      <c r="Y154" s="968"/>
      <c r="Z154" s="1080">
        <f aca="true" t="shared" si="10" ref="Z154:Z180">SUM(B154:Y154)</f>
        <v>192</v>
      </c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184"/>
      <c r="BH154" s="184"/>
      <c r="BI154" s="184"/>
      <c r="BJ154" s="184"/>
      <c r="BK154" s="184"/>
      <c r="BL154" s="184"/>
      <c r="BM154" s="184"/>
      <c r="BN154" s="184"/>
      <c r="BO154" s="184"/>
      <c r="BP154" s="184"/>
      <c r="BQ154" s="184"/>
      <c r="BR154" s="184"/>
      <c r="BS154" s="184"/>
      <c r="BT154" s="184"/>
      <c r="BU154" s="184"/>
      <c r="BV154" s="184"/>
      <c r="BW154" s="184"/>
      <c r="BX154" s="184"/>
      <c r="BY154" s="184"/>
      <c r="BZ154" s="184"/>
      <c r="CA154" s="184"/>
      <c r="CB154" s="184"/>
      <c r="CC154" s="184"/>
      <c r="CD154" s="184"/>
      <c r="CE154" s="184"/>
      <c r="CF154" s="184"/>
      <c r="CG154" s="184"/>
      <c r="CH154" s="184"/>
      <c r="CI154" s="184"/>
      <c r="CJ154" s="184"/>
      <c r="CK154" s="184"/>
      <c r="CL154" s="184"/>
      <c r="CM154" s="184"/>
      <c r="CN154" s="184"/>
      <c r="CO154" s="184"/>
      <c r="CP154" s="184"/>
      <c r="CQ154" s="184"/>
      <c r="CR154" s="184"/>
      <c r="CS154" s="184"/>
      <c r="CT154" s="184"/>
      <c r="CU154" s="184"/>
      <c r="CV154" s="184"/>
      <c r="CW154" s="184"/>
      <c r="CX154" s="184"/>
      <c r="CY154" s="184"/>
      <c r="CZ154" s="184"/>
      <c r="DA154" s="184"/>
      <c r="DB154" s="184"/>
      <c r="DC154" s="184"/>
      <c r="DD154" s="184"/>
      <c r="DE154" s="184"/>
      <c r="DF154" s="184"/>
      <c r="DG154" s="184"/>
      <c r="DH154" s="184"/>
      <c r="DI154" s="184"/>
      <c r="DJ154" s="184"/>
      <c r="DK154" s="184"/>
      <c r="DL154" s="184"/>
      <c r="DM154" s="184"/>
      <c r="DN154" s="184"/>
      <c r="DO154" s="184"/>
      <c r="DP154" s="184"/>
      <c r="DQ154" s="184"/>
      <c r="DR154" s="184"/>
      <c r="DS154" s="184"/>
      <c r="DT154" s="184"/>
      <c r="DU154" s="184"/>
      <c r="DV154" s="184"/>
      <c r="DW154" s="184"/>
      <c r="DX154" s="184"/>
      <c r="DY154" s="184"/>
      <c r="DZ154" s="1053"/>
    </row>
    <row r="155" spans="1:130" s="1045" customFormat="1" ht="25.5">
      <c r="A155" s="1201" t="s">
        <v>76</v>
      </c>
      <c r="B155" s="1177"/>
      <c r="C155" s="1177"/>
      <c r="D155" s="1177"/>
      <c r="E155" s="1177"/>
      <c r="F155" s="1177"/>
      <c r="G155" s="1177"/>
      <c r="H155" s="1177">
        <f>SUM(H156:H164)</f>
        <v>256</v>
      </c>
      <c r="I155" s="1177">
        <f>SUM(I156:I164)</f>
        <v>2432</v>
      </c>
      <c r="J155" s="1177"/>
      <c r="K155" s="1177"/>
      <c r="L155" s="1177"/>
      <c r="M155" s="1177"/>
      <c r="N155" s="1177"/>
      <c r="O155" s="1177"/>
      <c r="P155" s="1177"/>
      <c r="Q155" s="1177"/>
      <c r="R155" s="1177"/>
      <c r="S155" s="1177"/>
      <c r="T155" s="1177"/>
      <c r="U155" s="1177"/>
      <c r="V155" s="1177"/>
      <c r="W155" s="1177"/>
      <c r="X155" s="1177"/>
      <c r="Y155" s="1177"/>
      <c r="Z155" s="1164">
        <f t="shared" si="10"/>
        <v>2688</v>
      </c>
      <c r="AA155" s="935"/>
      <c r="AB155" s="935"/>
      <c r="AC155" s="935"/>
      <c r="AD155" s="935"/>
      <c r="AE155" s="935"/>
      <c r="AF155" s="935"/>
      <c r="AG155" s="935"/>
      <c r="AH155" s="935"/>
      <c r="AI155" s="935"/>
      <c r="AJ155" s="935"/>
      <c r="AK155" s="935"/>
      <c r="AL155" s="935"/>
      <c r="AM155" s="935"/>
      <c r="AN155" s="935"/>
      <c r="AO155" s="935"/>
      <c r="AP155" s="935"/>
      <c r="AQ155" s="935"/>
      <c r="AR155" s="935"/>
      <c r="AS155" s="935"/>
      <c r="AT155" s="935"/>
      <c r="AU155" s="935"/>
      <c r="AV155" s="935"/>
      <c r="AW155" s="935"/>
      <c r="AX155" s="935"/>
      <c r="AY155" s="935"/>
      <c r="AZ155" s="935"/>
      <c r="BA155" s="935"/>
      <c r="BB155" s="935"/>
      <c r="BC155" s="935"/>
      <c r="BD155" s="935"/>
      <c r="BE155" s="935"/>
      <c r="BF155" s="935"/>
      <c r="BG155" s="935"/>
      <c r="BH155" s="935"/>
      <c r="BI155" s="935"/>
      <c r="BJ155" s="935"/>
      <c r="BK155" s="935"/>
      <c r="BL155" s="935"/>
      <c r="BM155" s="935"/>
      <c r="BN155" s="935"/>
      <c r="BO155" s="935"/>
      <c r="BP155" s="935"/>
      <c r="BQ155" s="935"/>
      <c r="BR155" s="935"/>
      <c r="BS155" s="935"/>
      <c r="BT155" s="935"/>
      <c r="BU155" s="935"/>
      <c r="BV155" s="935"/>
      <c r="BW155" s="935"/>
      <c r="BX155" s="935"/>
      <c r="BY155" s="935"/>
      <c r="BZ155" s="935"/>
      <c r="CA155" s="935"/>
      <c r="CB155" s="935"/>
      <c r="CC155" s="935"/>
      <c r="CD155" s="935"/>
      <c r="CE155" s="935"/>
      <c r="CF155" s="935"/>
      <c r="CG155" s="935"/>
      <c r="CH155" s="935"/>
      <c r="CI155" s="935"/>
      <c r="CJ155" s="935"/>
      <c r="CK155" s="935"/>
      <c r="CL155" s="935"/>
      <c r="CM155" s="935"/>
      <c r="CN155" s="935"/>
      <c r="CO155" s="935"/>
      <c r="CP155" s="935"/>
      <c r="CQ155" s="935"/>
      <c r="CR155" s="935"/>
      <c r="CS155" s="935"/>
      <c r="CT155" s="935"/>
      <c r="CU155" s="935"/>
      <c r="CV155" s="935"/>
      <c r="CW155" s="935"/>
      <c r="CX155" s="935"/>
      <c r="CY155" s="935"/>
      <c r="CZ155" s="935"/>
      <c r="DA155" s="935"/>
      <c r="DB155" s="935"/>
      <c r="DC155" s="935"/>
      <c r="DD155" s="935"/>
      <c r="DE155" s="935"/>
      <c r="DF155" s="935"/>
      <c r="DG155" s="935"/>
      <c r="DH155" s="935"/>
      <c r="DI155" s="935"/>
      <c r="DJ155" s="935"/>
      <c r="DK155" s="935"/>
      <c r="DL155" s="935"/>
      <c r="DM155" s="935"/>
      <c r="DN155" s="935"/>
      <c r="DO155" s="935"/>
      <c r="DP155" s="935"/>
      <c r="DQ155" s="935"/>
      <c r="DR155" s="935"/>
      <c r="DS155" s="935"/>
      <c r="DT155" s="935"/>
      <c r="DU155" s="935"/>
      <c r="DV155" s="935"/>
      <c r="DW155" s="935"/>
      <c r="DX155" s="935"/>
      <c r="DY155" s="935"/>
      <c r="DZ155" s="1044"/>
    </row>
    <row r="156" spans="1:130" s="652" customFormat="1" ht="18" customHeight="1">
      <c r="A156" s="1151" t="s">
        <v>467</v>
      </c>
      <c r="B156" s="1174"/>
      <c r="C156" s="1174"/>
      <c r="D156" s="1174"/>
      <c r="E156" s="1174"/>
      <c r="F156" s="1174"/>
      <c r="G156" s="1174"/>
      <c r="H156" s="443"/>
      <c r="I156" s="1175">
        <v>384</v>
      </c>
      <c r="J156" s="1176"/>
      <c r="K156" s="1176"/>
      <c r="L156" s="1176"/>
      <c r="M156" s="1176"/>
      <c r="N156" s="1176"/>
      <c r="O156" s="1176"/>
      <c r="P156" s="1176"/>
      <c r="Q156" s="1176"/>
      <c r="R156" s="1176"/>
      <c r="S156" s="1176"/>
      <c r="T156" s="1176"/>
      <c r="U156" s="1176"/>
      <c r="V156" s="1176"/>
      <c r="W156" s="1176"/>
      <c r="X156" s="1176"/>
      <c r="Y156" s="1176"/>
      <c r="Z156" s="1148">
        <f t="shared" si="10"/>
        <v>384</v>
      </c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184"/>
      <c r="CO156" s="184"/>
      <c r="CP156" s="184"/>
      <c r="CQ156" s="184"/>
      <c r="CR156" s="184"/>
      <c r="CS156" s="184"/>
      <c r="CT156" s="184"/>
      <c r="CU156" s="184"/>
      <c r="CV156" s="184"/>
      <c r="CW156" s="184"/>
      <c r="CX156" s="184"/>
      <c r="CY156" s="184"/>
      <c r="CZ156" s="184"/>
      <c r="DA156" s="184"/>
      <c r="DB156" s="184"/>
      <c r="DC156" s="184"/>
      <c r="DD156" s="184"/>
      <c r="DE156" s="184"/>
      <c r="DF156" s="184"/>
      <c r="DG156" s="184"/>
      <c r="DH156" s="184"/>
      <c r="DI156" s="184"/>
      <c r="DJ156" s="184"/>
      <c r="DK156" s="184"/>
      <c r="DL156" s="184"/>
      <c r="DM156" s="184"/>
      <c r="DN156" s="184"/>
      <c r="DO156" s="184"/>
      <c r="DP156" s="184"/>
      <c r="DQ156" s="184"/>
      <c r="DR156" s="184"/>
      <c r="DS156" s="184"/>
      <c r="DT156" s="184"/>
      <c r="DU156" s="184"/>
      <c r="DV156" s="184"/>
      <c r="DW156" s="184"/>
      <c r="DX156" s="184"/>
      <c r="DY156" s="184"/>
      <c r="DZ156" s="1081"/>
    </row>
    <row r="157" spans="1:130" s="652" customFormat="1" ht="18" customHeight="1">
      <c r="A157" s="1082" t="s">
        <v>474</v>
      </c>
      <c r="B157" s="444"/>
      <c r="C157" s="444"/>
      <c r="D157" s="444"/>
      <c r="E157" s="444"/>
      <c r="F157" s="444"/>
      <c r="G157" s="444"/>
      <c r="H157" s="182"/>
      <c r="I157" s="1079">
        <v>128</v>
      </c>
      <c r="J157" s="444"/>
      <c r="K157" s="444"/>
      <c r="L157" s="444"/>
      <c r="M157" s="444"/>
      <c r="N157" s="444"/>
      <c r="O157" s="444"/>
      <c r="P157" s="444"/>
      <c r="Q157" s="444"/>
      <c r="R157" s="444"/>
      <c r="S157" s="444"/>
      <c r="T157" s="444"/>
      <c r="U157" s="444"/>
      <c r="V157" s="444"/>
      <c r="W157" s="444"/>
      <c r="X157" s="444"/>
      <c r="Y157" s="444"/>
      <c r="Z157" s="1080">
        <f t="shared" si="10"/>
        <v>128</v>
      </c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184"/>
      <c r="CL157" s="184"/>
      <c r="CM157" s="184"/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4"/>
      <c r="CY157" s="184"/>
      <c r="CZ157" s="184"/>
      <c r="DA157" s="184"/>
      <c r="DB157" s="184"/>
      <c r="DC157" s="184"/>
      <c r="DD157" s="184"/>
      <c r="DE157" s="184"/>
      <c r="DF157" s="184"/>
      <c r="DG157" s="184"/>
      <c r="DH157" s="184"/>
      <c r="DI157" s="184"/>
      <c r="DJ157" s="184"/>
      <c r="DK157" s="184"/>
      <c r="DL157" s="184"/>
      <c r="DM157" s="184"/>
      <c r="DN157" s="184"/>
      <c r="DO157" s="184"/>
      <c r="DP157" s="184"/>
      <c r="DQ157" s="184"/>
      <c r="DR157" s="184"/>
      <c r="DS157" s="184"/>
      <c r="DT157" s="184"/>
      <c r="DU157" s="184"/>
      <c r="DV157" s="184"/>
      <c r="DW157" s="184"/>
      <c r="DX157" s="184"/>
      <c r="DY157" s="184"/>
      <c r="DZ157" s="1081"/>
    </row>
    <row r="158" spans="1:130" s="652" customFormat="1" ht="18" customHeight="1">
      <c r="A158" s="1082" t="s">
        <v>501</v>
      </c>
      <c r="B158" s="444"/>
      <c r="C158" s="444"/>
      <c r="D158" s="444"/>
      <c r="E158" s="444"/>
      <c r="F158" s="444"/>
      <c r="G158" s="444"/>
      <c r="H158" s="182"/>
      <c r="I158" s="1079">
        <v>512</v>
      </c>
      <c r="J158" s="444"/>
      <c r="K158" s="444"/>
      <c r="L158" s="444"/>
      <c r="M158" s="444"/>
      <c r="N158" s="444"/>
      <c r="O158" s="444"/>
      <c r="P158" s="444"/>
      <c r="Q158" s="444"/>
      <c r="R158" s="444"/>
      <c r="S158" s="444"/>
      <c r="T158" s="444"/>
      <c r="U158" s="444"/>
      <c r="V158" s="444"/>
      <c r="W158" s="444"/>
      <c r="X158" s="444"/>
      <c r="Y158" s="444"/>
      <c r="Z158" s="1080">
        <f t="shared" si="10"/>
        <v>512</v>
      </c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  <c r="CF158" s="184"/>
      <c r="CG158" s="184"/>
      <c r="CH158" s="184"/>
      <c r="CI158" s="184"/>
      <c r="CJ158" s="184"/>
      <c r="CK158" s="184"/>
      <c r="CL158" s="184"/>
      <c r="CM158" s="184"/>
      <c r="CN158" s="184"/>
      <c r="CO158" s="184"/>
      <c r="CP158" s="184"/>
      <c r="CQ158" s="184"/>
      <c r="CR158" s="184"/>
      <c r="CS158" s="184"/>
      <c r="CT158" s="184"/>
      <c r="CU158" s="184"/>
      <c r="CV158" s="184"/>
      <c r="CW158" s="184"/>
      <c r="CX158" s="184"/>
      <c r="CY158" s="184"/>
      <c r="CZ158" s="184"/>
      <c r="DA158" s="184"/>
      <c r="DB158" s="184"/>
      <c r="DC158" s="184"/>
      <c r="DD158" s="184"/>
      <c r="DE158" s="184"/>
      <c r="DF158" s="184"/>
      <c r="DG158" s="184"/>
      <c r="DH158" s="184"/>
      <c r="DI158" s="184"/>
      <c r="DJ158" s="184"/>
      <c r="DK158" s="184"/>
      <c r="DL158" s="184"/>
      <c r="DM158" s="184"/>
      <c r="DN158" s="184"/>
      <c r="DO158" s="184"/>
      <c r="DP158" s="184"/>
      <c r="DQ158" s="184"/>
      <c r="DR158" s="184"/>
      <c r="DS158" s="184"/>
      <c r="DT158" s="184"/>
      <c r="DU158" s="184"/>
      <c r="DV158" s="184"/>
      <c r="DW158" s="184"/>
      <c r="DX158" s="184"/>
      <c r="DY158" s="184"/>
      <c r="DZ158" s="1081"/>
    </row>
    <row r="159" spans="1:130" s="652" customFormat="1" ht="18" customHeight="1">
      <c r="A159" s="1082" t="s">
        <v>507</v>
      </c>
      <c r="B159" s="444"/>
      <c r="C159" s="444"/>
      <c r="D159" s="444"/>
      <c r="E159" s="444"/>
      <c r="F159" s="444"/>
      <c r="G159" s="444"/>
      <c r="H159" s="182"/>
      <c r="I159" s="1079">
        <v>256</v>
      </c>
      <c r="J159" s="444"/>
      <c r="K159" s="444"/>
      <c r="L159" s="444"/>
      <c r="M159" s="444"/>
      <c r="N159" s="444"/>
      <c r="O159" s="444"/>
      <c r="P159" s="444"/>
      <c r="Q159" s="444"/>
      <c r="R159" s="444"/>
      <c r="S159" s="444"/>
      <c r="T159" s="444"/>
      <c r="U159" s="444"/>
      <c r="V159" s="444"/>
      <c r="W159" s="444"/>
      <c r="X159" s="444"/>
      <c r="Y159" s="444"/>
      <c r="Z159" s="1080">
        <f t="shared" si="10"/>
        <v>256</v>
      </c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  <c r="CF159" s="184"/>
      <c r="CG159" s="184"/>
      <c r="CH159" s="184"/>
      <c r="CI159" s="184"/>
      <c r="CJ159" s="184"/>
      <c r="CK159" s="184"/>
      <c r="CL159" s="184"/>
      <c r="CM159" s="184"/>
      <c r="CN159" s="184"/>
      <c r="CO159" s="184"/>
      <c r="CP159" s="184"/>
      <c r="CQ159" s="184"/>
      <c r="CR159" s="184"/>
      <c r="CS159" s="184"/>
      <c r="CT159" s="184"/>
      <c r="CU159" s="184"/>
      <c r="CV159" s="184"/>
      <c r="CW159" s="184"/>
      <c r="CX159" s="184"/>
      <c r="CY159" s="184"/>
      <c r="CZ159" s="184"/>
      <c r="DA159" s="184"/>
      <c r="DB159" s="184"/>
      <c r="DC159" s="184"/>
      <c r="DD159" s="184"/>
      <c r="DE159" s="184"/>
      <c r="DF159" s="184"/>
      <c r="DG159" s="184"/>
      <c r="DH159" s="184"/>
      <c r="DI159" s="184"/>
      <c r="DJ159" s="184"/>
      <c r="DK159" s="184"/>
      <c r="DL159" s="184"/>
      <c r="DM159" s="184"/>
      <c r="DN159" s="184"/>
      <c r="DO159" s="184"/>
      <c r="DP159" s="184"/>
      <c r="DQ159" s="184"/>
      <c r="DR159" s="184"/>
      <c r="DS159" s="184"/>
      <c r="DT159" s="184"/>
      <c r="DU159" s="184"/>
      <c r="DV159" s="184"/>
      <c r="DW159" s="184"/>
      <c r="DX159" s="184"/>
      <c r="DY159" s="184"/>
      <c r="DZ159" s="1081"/>
    </row>
    <row r="160" spans="1:130" s="652" customFormat="1" ht="18" customHeight="1">
      <c r="A160" s="1082" t="s">
        <v>509</v>
      </c>
      <c r="B160" s="444"/>
      <c r="C160" s="444"/>
      <c r="D160" s="444"/>
      <c r="E160" s="444"/>
      <c r="F160" s="444"/>
      <c r="G160" s="444"/>
      <c r="H160" s="182"/>
      <c r="I160" s="1079">
        <v>320</v>
      </c>
      <c r="J160" s="444"/>
      <c r="K160" s="444"/>
      <c r="L160" s="444"/>
      <c r="M160" s="444"/>
      <c r="N160" s="444"/>
      <c r="O160" s="444"/>
      <c r="P160" s="444"/>
      <c r="Q160" s="444"/>
      <c r="R160" s="444"/>
      <c r="S160" s="444"/>
      <c r="T160" s="444"/>
      <c r="U160" s="444"/>
      <c r="V160" s="444"/>
      <c r="W160" s="444"/>
      <c r="X160" s="444"/>
      <c r="Y160" s="444"/>
      <c r="Z160" s="1080">
        <f t="shared" si="10"/>
        <v>320</v>
      </c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  <c r="CF160" s="184"/>
      <c r="CG160" s="184"/>
      <c r="CH160" s="184"/>
      <c r="CI160" s="184"/>
      <c r="CJ160" s="184"/>
      <c r="CK160" s="184"/>
      <c r="CL160" s="184"/>
      <c r="CM160" s="184"/>
      <c r="CN160" s="184"/>
      <c r="CO160" s="184"/>
      <c r="CP160" s="184"/>
      <c r="CQ160" s="184"/>
      <c r="CR160" s="184"/>
      <c r="CS160" s="184"/>
      <c r="CT160" s="184"/>
      <c r="CU160" s="184"/>
      <c r="CV160" s="184"/>
      <c r="CW160" s="184"/>
      <c r="CX160" s="184"/>
      <c r="CY160" s="184"/>
      <c r="CZ160" s="184"/>
      <c r="DA160" s="184"/>
      <c r="DB160" s="184"/>
      <c r="DC160" s="184"/>
      <c r="DD160" s="184"/>
      <c r="DE160" s="184"/>
      <c r="DF160" s="184"/>
      <c r="DG160" s="184"/>
      <c r="DH160" s="184"/>
      <c r="DI160" s="184"/>
      <c r="DJ160" s="184"/>
      <c r="DK160" s="184"/>
      <c r="DL160" s="184"/>
      <c r="DM160" s="184"/>
      <c r="DN160" s="184"/>
      <c r="DO160" s="184"/>
      <c r="DP160" s="184"/>
      <c r="DQ160" s="184"/>
      <c r="DR160" s="184"/>
      <c r="DS160" s="184"/>
      <c r="DT160" s="184"/>
      <c r="DU160" s="184"/>
      <c r="DV160" s="184"/>
      <c r="DW160" s="184"/>
      <c r="DX160" s="184"/>
      <c r="DY160" s="184"/>
      <c r="DZ160" s="1081"/>
    </row>
    <row r="161" spans="1:130" s="652" customFormat="1" ht="18" customHeight="1">
      <c r="A161" s="1082" t="s">
        <v>514</v>
      </c>
      <c r="B161" s="444"/>
      <c r="C161" s="444"/>
      <c r="D161" s="444"/>
      <c r="E161" s="444"/>
      <c r="F161" s="444"/>
      <c r="G161" s="444"/>
      <c r="H161" s="182">
        <v>256</v>
      </c>
      <c r="I161" s="1079"/>
      <c r="J161" s="444"/>
      <c r="K161" s="444"/>
      <c r="L161" s="444"/>
      <c r="M161" s="444"/>
      <c r="N161" s="444"/>
      <c r="O161" s="444"/>
      <c r="P161" s="444"/>
      <c r="Q161" s="444"/>
      <c r="R161" s="444"/>
      <c r="S161" s="444"/>
      <c r="T161" s="444"/>
      <c r="U161" s="444"/>
      <c r="V161" s="444"/>
      <c r="W161" s="444"/>
      <c r="X161" s="444"/>
      <c r="Y161" s="444"/>
      <c r="Z161" s="1080">
        <f t="shared" si="10"/>
        <v>256</v>
      </c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4"/>
      <c r="BC161" s="184"/>
      <c r="BD161" s="184"/>
      <c r="BE161" s="184"/>
      <c r="BF161" s="184"/>
      <c r="BG161" s="184"/>
      <c r="BH161" s="184"/>
      <c r="BI161" s="184"/>
      <c r="BJ161" s="184"/>
      <c r="BK161" s="184"/>
      <c r="BL161" s="184"/>
      <c r="BM161" s="184"/>
      <c r="BN161" s="184"/>
      <c r="BO161" s="184"/>
      <c r="BP161" s="184"/>
      <c r="BQ161" s="184"/>
      <c r="BR161" s="184"/>
      <c r="BS161" s="184"/>
      <c r="BT161" s="184"/>
      <c r="BU161" s="184"/>
      <c r="BV161" s="184"/>
      <c r="BW161" s="184"/>
      <c r="BX161" s="184"/>
      <c r="BY161" s="184"/>
      <c r="BZ161" s="184"/>
      <c r="CA161" s="184"/>
      <c r="CB161" s="184"/>
      <c r="CC161" s="184"/>
      <c r="CD161" s="184"/>
      <c r="CE161" s="184"/>
      <c r="CF161" s="184"/>
      <c r="CG161" s="184"/>
      <c r="CH161" s="184"/>
      <c r="CI161" s="184"/>
      <c r="CJ161" s="184"/>
      <c r="CK161" s="184"/>
      <c r="CL161" s="184"/>
      <c r="CM161" s="184"/>
      <c r="CN161" s="184"/>
      <c r="CO161" s="184"/>
      <c r="CP161" s="184"/>
      <c r="CQ161" s="184"/>
      <c r="CR161" s="184"/>
      <c r="CS161" s="184"/>
      <c r="CT161" s="184"/>
      <c r="CU161" s="184"/>
      <c r="CV161" s="184"/>
      <c r="CW161" s="184"/>
      <c r="CX161" s="184"/>
      <c r="CY161" s="184"/>
      <c r="CZ161" s="184"/>
      <c r="DA161" s="184"/>
      <c r="DB161" s="184"/>
      <c r="DC161" s="184"/>
      <c r="DD161" s="184"/>
      <c r="DE161" s="184"/>
      <c r="DF161" s="184"/>
      <c r="DG161" s="184"/>
      <c r="DH161" s="184"/>
      <c r="DI161" s="184"/>
      <c r="DJ161" s="184"/>
      <c r="DK161" s="184"/>
      <c r="DL161" s="184"/>
      <c r="DM161" s="184"/>
      <c r="DN161" s="184"/>
      <c r="DO161" s="184"/>
      <c r="DP161" s="184"/>
      <c r="DQ161" s="184"/>
      <c r="DR161" s="184"/>
      <c r="DS161" s="184"/>
      <c r="DT161" s="184"/>
      <c r="DU161" s="184"/>
      <c r="DV161" s="184"/>
      <c r="DW161" s="184"/>
      <c r="DX161" s="184"/>
      <c r="DY161" s="184"/>
      <c r="DZ161" s="1081"/>
    </row>
    <row r="162" spans="1:130" s="652" customFormat="1" ht="18" customHeight="1">
      <c r="A162" s="1050" t="s">
        <v>524</v>
      </c>
      <c r="B162" s="968"/>
      <c r="C162" s="968"/>
      <c r="D162" s="968"/>
      <c r="E162" s="968"/>
      <c r="F162" s="968"/>
      <c r="G162" s="968"/>
      <c r="H162" s="182"/>
      <c r="I162" s="1079">
        <v>320</v>
      </c>
      <c r="J162" s="444"/>
      <c r="K162" s="444"/>
      <c r="L162" s="444"/>
      <c r="M162" s="444"/>
      <c r="N162" s="444"/>
      <c r="O162" s="444"/>
      <c r="P162" s="444"/>
      <c r="Q162" s="444"/>
      <c r="R162" s="444"/>
      <c r="S162" s="444"/>
      <c r="T162" s="444"/>
      <c r="U162" s="444"/>
      <c r="V162" s="444"/>
      <c r="W162" s="444"/>
      <c r="X162" s="444"/>
      <c r="Y162" s="444"/>
      <c r="Z162" s="1080">
        <f t="shared" si="10"/>
        <v>320</v>
      </c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4"/>
      <c r="BL162" s="184"/>
      <c r="BM162" s="184"/>
      <c r="BN162" s="184"/>
      <c r="BO162" s="184"/>
      <c r="BP162" s="184"/>
      <c r="BQ162" s="184"/>
      <c r="BR162" s="184"/>
      <c r="BS162" s="184"/>
      <c r="BT162" s="184"/>
      <c r="BU162" s="184"/>
      <c r="BV162" s="184"/>
      <c r="BW162" s="184"/>
      <c r="BX162" s="184"/>
      <c r="BY162" s="184"/>
      <c r="BZ162" s="184"/>
      <c r="CA162" s="184"/>
      <c r="CB162" s="184"/>
      <c r="CC162" s="184"/>
      <c r="CD162" s="184"/>
      <c r="CE162" s="184"/>
      <c r="CF162" s="184"/>
      <c r="CG162" s="184"/>
      <c r="CH162" s="184"/>
      <c r="CI162" s="184"/>
      <c r="CJ162" s="184"/>
      <c r="CK162" s="184"/>
      <c r="CL162" s="184"/>
      <c r="CM162" s="184"/>
      <c r="CN162" s="184"/>
      <c r="CO162" s="184"/>
      <c r="CP162" s="184"/>
      <c r="CQ162" s="184"/>
      <c r="CR162" s="184"/>
      <c r="CS162" s="184"/>
      <c r="CT162" s="184"/>
      <c r="CU162" s="184"/>
      <c r="CV162" s="184"/>
      <c r="CW162" s="184"/>
      <c r="CX162" s="184"/>
      <c r="CY162" s="184"/>
      <c r="CZ162" s="184"/>
      <c r="DA162" s="184"/>
      <c r="DB162" s="184"/>
      <c r="DC162" s="184"/>
      <c r="DD162" s="184"/>
      <c r="DE162" s="184"/>
      <c r="DF162" s="184"/>
      <c r="DG162" s="184"/>
      <c r="DH162" s="184"/>
      <c r="DI162" s="184"/>
      <c r="DJ162" s="184"/>
      <c r="DK162" s="184"/>
      <c r="DL162" s="184"/>
      <c r="DM162" s="184"/>
      <c r="DN162" s="184"/>
      <c r="DO162" s="184"/>
      <c r="DP162" s="184"/>
      <c r="DQ162" s="184"/>
      <c r="DR162" s="184"/>
      <c r="DS162" s="184"/>
      <c r="DT162" s="184"/>
      <c r="DU162" s="184"/>
      <c r="DV162" s="184"/>
      <c r="DW162" s="184"/>
      <c r="DX162" s="184"/>
      <c r="DY162" s="184"/>
      <c r="DZ162" s="1081"/>
    </row>
    <row r="163" spans="1:130" s="652" customFormat="1" ht="18" customHeight="1">
      <c r="A163" s="1050" t="s">
        <v>734</v>
      </c>
      <c r="B163" s="968"/>
      <c r="C163" s="968"/>
      <c r="D163" s="968"/>
      <c r="E163" s="968"/>
      <c r="F163" s="968"/>
      <c r="G163" s="968"/>
      <c r="H163" s="182"/>
      <c r="I163" s="1079">
        <v>256</v>
      </c>
      <c r="J163" s="444"/>
      <c r="K163" s="444"/>
      <c r="L163" s="444"/>
      <c r="M163" s="444"/>
      <c r="N163" s="444"/>
      <c r="O163" s="444"/>
      <c r="P163" s="444"/>
      <c r="Q163" s="444"/>
      <c r="R163" s="444"/>
      <c r="S163" s="444"/>
      <c r="T163" s="444"/>
      <c r="U163" s="444"/>
      <c r="V163" s="444"/>
      <c r="W163" s="444"/>
      <c r="X163" s="444"/>
      <c r="Y163" s="444"/>
      <c r="Z163" s="1080">
        <f t="shared" si="10"/>
        <v>256</v>
      </c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4"/>
      <c r="BL163" s="184"/>
      <c r="BM163" s="184"/>
      <c r="BN163" s="184"/>
      <c r="BO163" s="184"/>
      <c r="BP163" s="184"/>
      <c r="BQ163" s="184"/>
      <c r="BR163" s="184"/>
      <c r="BS163" s="184"/>
      <c r="BT163" s="184"/>
      <c r="BU163" s="184"/>
      <c r="BV163" s="184"/>
      <c r="BW163" s="184"/>
      <c r="BX163" s="184"/>
      <c r="BY163" s="184"/>
      <c r="BZ163" s="184"/>
      <c r="CA163" s="184"/>
      <c r="CB163" s="184"/>
      <c r="CC163" s="184"/>
      <c r="CD163" s="184"/>
      <c r="CE163" s="184"/>
      <c r="CF163" s="184"/>
      <c r="CG163" s="184"/>
      <c r="CH163" s="184"/>
      <c r="CI163" s="184"/>
      <c r="CJ163" s="184"/>
      <c r="CK163" s="184"/>
      <c r="CL163" s="184"/>
      <c r="CM163" s="184"/>
      <c r="CN163" s="184"/>
      <c r="CO163" s="184"/>
      <c r="CP163" s="184"/>
      <c r="CQ163" s="184"/>
      <c r="CR163" s="184"/>
      <c r="CS163" s="184"/>
      <c r="CT163" s="184"/>
      <c r="CU163" s="184"/>
      <c r="CV163" s="184"/>
      <c r="CW163" s="184"/>
      <c r="CX163" s="184"/>
      <c r="CY163" s="184"/>
      <c r="CZ163" s="184"/>
      <c r="DA163" s="184"/>
      <c r="DB163" s="184"/>
      <c r="DC163" s="184"/>
      <c r="DD163" s="184"/>
      <c r="DE163" s="184"/>
      <c r="DF163" s="184"/>
      <c r="DG163" s="184"/>
      <c r="DH163" s="184"/>
      <c r="DI163" s="184"/>
      <c r="DJ163" s="184"/>
      <c r="DK163" s="184"/>
      <c r="DL163" s="184"/>
      <c r="DM163" s="184"/>
      <c r="DN163" s="184"/>
      <c r="DO163" s="184"/>
      <c r="DP163" s="184"/>
      <c r="DQ163" s="184"/>
      <c r="DR163" s="184"/>
      <c r="DS163" s="184"/>
      <c r="DT163" s="184"/>
      <c r="DU163" s="184"/>
      <c r="DV163" s="184"/>
      <c r="DW163" s="184"/>
      <c r="DX163" s="184"/>
      <c r="DY163" s="184"/>
      <c r="DZ163" s="1081"/>
    </row>
    <row r="164" spans="1:130" s="652" customFormat="1" ht="18" customHeight="1" thickBot="1">
      <c r="A164" s="1015" t="s">
        <v>527</v>
      </c>
      <c r="B164" s="968"/>
      <c r="C164" s="968"/>
      <c r="D164" s="968"/>
      <c r="E164" s="968"/>
      <c r="F164" s="968"/>
      <c r="G164" s="968"/>
      <c r="H164" s="182"/>
      <c r="I164" s="1079">
        <v>256</v>
      </c>
      <c r="J164" s="444"/>
      <c r="K164" s="444"/>
      <c r="L164" s="444"/>
      <c r="M164" s="444"/>
      <c r="N164" s="444"/>
      <c r="O164" s="444"/>
      <c r="P164" s="444"/>
      <c r="Q164" s="444"/>
      <c r="R164" s="444"/>
      <c r="S164" s="444"/>
      <c r="T164" s="444"/>
      <c r="U164" s="444"/>
      <c r="V164" s="444"/>
      <c r="W164" s="444"/>
      <c r="X164" s="444"/>
      <c r="Y164" s="444"/>
      <c r="Z164" s="1080">
        <f t="shared" si="10"/>
        <v>256</v>
      </c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4"/>
      <c r="BL164" s="184"/>
      <c r="BM164" s="184"/>
      <c r="BN164" s="184"/>
      <c r="BO164" s="184"/>
      <c r="BP164" s="184"/>
      <c r="BQ164" s="184"/>
      <c r="BR164" s="184"/>
      <c r="BS164" s="184"/>
      <c r="BT164" s="184"/>
      <c r="BU164" s="184"/>
      <c r="BV164" s="184"/>
      <c r="BW164" s="184"/>
      <c r="BX164" s="184"/>
      <c r="BY164" s="184"/>
      <c r="BZ164" s="184"/>
      <c r="CA164" s="184"/>
      <c r="CB164" s="184"/>
      <c r="CC164" s="184"/>
      <c r="CD164" s="184"/>
      <c r="CE164" s="184"/>
      <c r="CF164" s="184"/>
      <c r="CG164" s="184"/>
      <c r="CH164" s="184"/>
      <c r="CI164" s="184"/>
      <c r="CJ164" s="184"/>
      <c r="CK164" s="184"/>
      <c r="CL164" s="184"/>
      <c r="CM164" s="184"/>
      <c r="CN164" s="184"/>
      <c r="CO164" s="184"/>
      <c r="CP164" s="184"/>
      <c r="CQ164" s="184"/>
      <c r="CR164" s="184"/>
      <c r="CS164" s="184"/>
      <c r="CT164" s="184"/>
      <c r="CU164" s="184"/>
      <c r="CV164" s="184"/>
      <c r="CW164" s="184"/>
      <c r="CX164" s="184"/>
      <c r="CY164" s="184"/>
      <c r="CZ164" s="184"/>
      <c r="DA164" s="184"/>
      <c r="DB164" s="184"/>
      <c r="DC164" s="184"/>
      <c r="DD164" s="184"/>
      <c r="DE164" s="184"/>
      <c r="DF164" s="184"/>
      <c r="DG164" s="184"/>
      <c r="DH164" s="184"/>
      <c r="DI164" s="184"/>
      <c r="DJ164" s="184"/>
      <c r="DK164" s="184"/>
      <c r="DL164" s="184"/>
      <c r="DM164" s="184"/>
      <c r="DN164" s="184"/>
      <c r="DO164" s="184"/>
      <c r="DP164" s="184"/>
      <c r="DQ164" s="184"/>
      <c r="DR164" s="184"/>
      <c r="DS164" s="184"/>
      <c r="DT164" s="184"/>
      <c r="DU164" s="184"/>
      <c r="DV164" s="184"/>
      <c r="DW164" s="184"/>
      <c r="DX164" s="184"/>
      <c r="DY164" s="184"/>
      <c r="DZ164" s="1081"/>
    </row>
    <row r="165" spans="1:98" s="1043" customFormat="1" ht="18" customHeight="1" thickBot="1">
      <c r="A165" s="1041" t="s">
        <v>487</v>
      </c>
      <c r="B165" s="180"/>
      <c r="C165" s="180"/>
      <c r="D165" s="180"/>
      <c r="E165" s="180"/>
      <c r="F165" s="180"/>
      <c r="G165" s="180"/>
      <c r="H165" s="180"/>
      <c r="I165" s="180"/>
      <c r="J165" s="180">
        <f>SUM(J166:J167)</f>
        <v>3000</v>
      </c>
      <c r="K165" s="180"/>
      <c r="L165" s="180">
        <f>SUM(L166:L167)</f>
        <v>3000</v>
      </c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938">
        <f t="shared" si="10"/>
        <v>6000</v>
      </c>
      <c r="AA165" s="873"/>
      <c r="AB165" s="873"/>
      <c r="AC165" s="873"/>
      <c r="AD165" s="873"/>
      <c r="AE165" s="873"/>
      <c r="AF165" s="873"/>
      <c r="AG165" s="873"/>
      <c r="AH165" s="873"/>
      <c r="AI165" s="873"/>
      <c r="AJ165" s="873"/>
      <c r="AK165" s="873"/>
      <c r="AL165" s="873"/>
      <c r="AM165" s="873"/>
      <c r="AN165" s="873"/>
      <c r="AO165" s="873"/>
      <c r="AP165" s="873"/>
      <c r="AQ165" s="873"/>
      <c r="AR165" s="873"/>
      <c r="AS165" s="873"/>
      <c r="AT165" s="873"/>
      <c r="AU165" s="873"/>
      <c r="AV165" s="873"/>
      <c r="AW165" s="873"/>
      <c r="AX165" s="873"/>
      <c r="AY165" s="873"/>
      <c r="AZ165" s="873"/>
      <c r="BA165" s="873"/>
      <c r="BB165" s="873"/>
      <c r="BC165" s="873"/>
      <c r="BD165" s="873"/>
      <c r="BE165" s="873"/>
      <c r="BF165" s="873"/>
      <c r="BG165" s="873"/>
      <c r="BH165" s="873"/>
      <c r="BI165" s="873"/>
      <c r="BJ165" s="873"/>
      <c r="BK165" s="873"/>
      <c r="BL165" s="873"/>
      <c r="BM165" s="873"/>
      <c r="BN165" s="873"/>
      <c r="BO165" s="873"/>
      <c r="BP165" s="873"/>
      <c r="BQ165" s="873"/>
      <c r="BR165" s="873"/>
      <c r="BS165" s="873"/>
      <c r="BT165" s="873"/>
      <c r="BU165" s="873"/>
      <c r="BV165" s="873"/>
      <c r="BW165" s="873"/>
      <c r="BX165" s="873"/>
      <c r="BY165" s="873"/>
      <c r="BZ165" s="873"/>
      <c r="CA165" s="873"/>
      <c r="CB165" s="873"/>
      <c r="CC165" s="873"/>
      <c r="CD165" s="873"/>
      <c r="CE165" s="873"/>
      <c r="CF165" s="873"/>
      <c r="CG165" s="873"/>
      <c r="CH165" s="873"/>
      <c r="CI165" s="873"/>
      <c r="CJ165" s="873"/>
      <c r="CK165" s="873"/>
      <c r="CL165" s="873"/>
      <c r="CM165" s="873"/>
      <c r="CN165" s="873"/>
      <c r="CO165" s="873"/>
      <c r="CP165" s="873"/>
      <c r="CQ165" s="873"/>
      <c r="CR165" s="873"/>
      <c r="CS165" s="873"/>
      <c r="CT165" s="1042"/>
    </row>
    <row r="166" spans="1:26" s="184" customFormat="1" ht="18" customHeight="1">
      <c r="A166" s="1057" t="s">
        <v>469</v>
      </c>
      <c r="B166" s="1058"/>
      <c r="C166" s="1058"/>
      <c r="D166" s="1058"/>
      <c r="E166" s="1058"/>
      <c r="F166" s="1058"/>
      <c r="G166" s="1058"/>
      <c r="H166" s="1058"/>
      <c r="I166" s="1058"/>
      <c r="J166" s="1058"/>
      <c r="K166" s="1058"/>
      <c r="L166" s="1058">
        <v>3000</v>
      </c>
      <c r="M166" s="1058"/>
      <c r="N166" s="1058"/>
      <c r="O166" s="1058"/>
      <c r="P166" s="1058"/>
      <c r="Q166" s="1058"/>
      <c r="R166" s="1058"/>
      <c r="S166" s="1058"/>
      <c r="T166" s="1058"/>
      <c r="U166" s="1058"/>
      <c r="V166" s="1058"/>
      <c r="W166" s="1058"/>
      <c r="X166" s="1058"/>
      <c r="Y166" s="1058"/>
      <c r="Z166" s="1148">
        <f t="shared" si="10"/>
        <v>3000</v>
      </c>
    </row>
    <row r="167" spans="1:26" s="184" customFormat="1" ht="18" customHeight="1" thickBot="1">
      <c r="A167" s="1057" t="s">
        <v>475</v>
      </c>
      <c r="B167" s="652"/>
      <c r="C167" s="652"/>
      <c r="D167" s="652"/>
      <c r="E167" s="652"/>
      <c r="F167" s="652"/>
      <c r="G167" s="652"/>
      <c r="H167" s="652"/>
      <c r="I167" s="652"/>
      <c r="J167" s="652">
        <v>3000</v>
      </c>
      <c r="K167" s="652"/>
      <c r="L167" s="652"/>
      <c r="M167" s="652"/>
      <c r="N167" s="652"/>
      <c r="O167" s="652"/>
      <c r="P167" s="652"/>
      <c r="Q167" s="652"/>
      <c r="R167" s="652"/>
      <c r="S167" s="652"/>
      <c r="T167" s="652"/>
      <c r="U167" s="652"/>
      <c r="V167" s="652"/>
      <c r="W167" s="652"/>
      <c r="X167" s="652"/>
      <c r="Y167" s="652"/>
      <c r="Z167" s="1167">
        <f t="shared" si="10"/>
        <v>3000</v>
      </c>
    </row>
    <row r="168" spans="1:26" s="183" customFormat="1" ht="22.5" customHeight="1" thickBot="1">
      <c r="A168" s="446" t="s">
        <v>265</v>
      </c>
      <c r="B168" s="442">
        <f>B169</f>
        <v>591</v>
      </c>
      <c r="C168" s="442">
        <f>C169</f>
        <v>-591</v>
      </c>
      <c r="D168" s="442"/>
      <c r="E168" s="442"/>
      <c r="F168" s="442"/>
      <c r="G168" s="442"/>
      <c r="H168" s="442"/>
      <c r="I168" s="442"/>
      <c r="J168" s="442"/>
      <c r="K168" s="442"/>
      <c r="L168" s="442"/>
      <c r="M168" s="442"/>
      <c r="N168" s="442"/>
      <c r="O168" s="442"/>
      <c r="P168" s="442"/>
      <c r="Q168" s="442"/>
      <c r="R168" s="442"/>
      <c r="S168" s="442"/>
      <c r="T168" s="442"/>
      <c r="U168" s="442"/>
      <c r="V168" s="442"/>
      <c r="W168" s="442"/>
      <c r="X168" s="442"/>
      <c r="Y168" s="442"/>
      <c r="Z168" s="938">
        <f t="shared" si="10"/>
        <v>0</v>
      </c>
    </row>
    <row r="169" spans="1:29" s="179" customFormat="1" ht="26.25" thickBot="1">
      <c r="A169" s="434" t="s">
        <v>675</v>
      </c>
      <c r="B169" s="442">
        <f>B170</f>
        <v>591</v>
      </c>
      <c r="C169" s="442">
        <f>C170</f>
        <v>-591</v>
      </c>
      <c r="D169" s="442"/>
      <c r="E169" s="442"/>
      <c r="F169" s="442"/>
      <c r="G169" s="442"/>
      <c r="H169" s="442"/>
      <c r="I169" s="442"/>
      <c r="J169" s="442"/>
      <c r="K169" s="442"/>
      <c r="L169" s="442"/>
      <c r="M169" s="442"/>
      <c r="N169" s="442"/>
      <c r="O169" s="442"/>
      <c r="P169" s="442"/>
      <c r="Q169" s="442"/>
      <c r="R169" s="442"/>
      <c r="S169" s="442"/>
      <c r="T169" s="442"/>
      <c r="U169" s="442"/>
      <c r="V169" s="442"/>
      <c r="W169" s="442"/>
      <c r="X169" s="442"/>
      <c r="Y169" s="442"/>
      <c r="Z169" s="938">
        <f t="shared" si="10"/>
        <v>0</v>
      </c>
      <c r="AA169" s="184"/>
      <c r="AB169" s="184"/>
      <c r="AC169" s="184"/>
    </row>
    <row r="170" spans="1:26" s="935" customFormat="1" ht="18" customHeight="1">
      <c r="A170" s="1202" t="s">
        <v>266</v>
      </c>
      <c r="B170" s="445">
        <f>SUM(B171:B174)</f>
        <v>591</v>
      </c>
      <c r="C170" s="445">
        <f>SUM(C171:C174)</f>
        <v>-591</v>
      </c>
      <c r="D170" s="445"/>
      <c r="E170" s="445"/>
      <c r="F170" s="445"/>
      <c r="G170" s="445"/>
      <c r="H170" s="445"/>
      <c r="I170" s="445"/>
      <c r="J170" s="445"/>
      <c r="K170" s="445"/>
      <c r="L170" s="445"/>
      <c r="M170" s="445"/>
      <c r="N170" s="445"/>
      <c r="O170" s="445"/>
      <c r="P170" s="445"/>
      <c r="Q170" s="445"/>
      <c r="R170" s="445"/>
      <c r="S170" s="445"/>
      <c r="T170" s="445"/>
      <c r="U170" s="445"/>
      <c r="V170" s="445"/>
      <c r="W170" s="445"/>
      <c r="X170" s="445"/>
      <c r="Y170" s="445"/>
      <c r="Z170" s="1059">
        <f t="shared" si="10"/>
        <v>0</v>
      </c>
    </row>
    <row r="171" spans="1:26" s="184" customFormat="1" ht="18" customHeight="1">
      <c r="A171" s="1178" t="s">
        <v>471</v>
      </c>
      <c r="B171" s="652">
        <v>4</v>
      </c>
      <c r="C171" s="652">
        <v>-4</v>
      </c>
      <c r="D171" s="652"/>
      <c r="E171" s="652"/>
      <c r="F171" s="652"/>
      <c r="G171" s="652"/>
      <c r="H171" s="652"/>
      <c r="I171" s="652"/>
      <c r="J171" s="652"/>
      <c r="K171" s="652"/>
      <c r="L171" s="652"/>
      <c r="M171" s="652"/>
      <c r="N171" s="652"/>
      <c r="O171" s="652"/>
      <c r="P171" s="652"/>
      <c r="Q171" s="652"/>
      <c r="R171" s="652"/>
      <c r="S171" s="652"/>
      <c r="T171" s="652"/>
      <c r="U171" s="652"/>
      <c r="V171" s="652"/>
      <c r="W171" s="652"/>
      <c r="X171" s="652"/>
      <c r="Y171" s="652"/>
      <c r="Z171" s="1167">
        <f t="shared" si="10"/>
        <v>0</v>
      </c>
    </row>
    <row r="172" spans="1:26" s="184" customFormat="1" ht="18" customHeight="1">
      <c r="A172" s="1154" t="s">
        <v>503</v>
      </c>
      <c r="B172" s="444">
        <v>3</v>
      </c>
      <c r="C172" s="444">
        <v>-3</v>
      </c>
      <c r="D172" s="444"/>
      <c r="E172" s="444"/>
      <c r="F172" s="444"/>
      <c r="G172" s="444"/>
      <c r="H172" s="444"/>
      <c r="I172" s="444"/>
      <c r="J172" s="444"/>
      <c r="K172" s="444"/>
      <c r="L172" s="444"/>
      <c r="M172" s="444"/>
      <c r="N172" s="444"/>
      <c r="O172" s="444"/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1080">
        <f t="shared" si="10"/>
        <v>0</v>
      </c>
    </row>
    <row r="173" spans="1:26" s="184" customFormat="1" ht="18" customHeight="1">
      <c r="A173" s="1154" t="s">
        <v>504</v>
      </c>
      <c r="B173" s="444">
        <v>-9</v>
      </c>
      <c r="C173" s="444">
        <v>9</v>
      </c>
      <c r="D173" s="444"/>
      <c r="E173" s="444"/>
      <c r="F173" s="444"/>
      <c r="G173" s="444"/>
      <c r="H173" s="444"/>
      <c r="I173" s="444"/>
      <c r="J173" s="444"/>
      <c r="K173" s="444"/>
      <c r="L173" s="444"/>
      <c r="M173" s="444"/>
      <c r="N173" s="444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1080">
        <f t="shared" si="10"/>
        <v>0</v>
      </c>
    </row>
    <row r="174" spans="1:26" s="184" customFormat="1" ht="18" customHeight="1">
      <c r="A174" s="1025" t="s">
        <v>141</v>
      </c>
      <c r="B174" s="652">
        <v>593</v>
      </c>
      <c r="C174" s="652">
        <v>-593</v>
      </c>
      <c r="D174" s="652"/>
      <c r="E174" s="652"/>
      <c r="F174" s="652"/>
      <c r="G174" s="652"/>
      <c r="H174" s="652"/>
      <c r="I174" s="652"/>
      <c r="J174" s="652"/>
      <c r="K174" s="652"/>
      <c r="L174" s="652"/>
      <c r="M174" s="652"/>
      <c r="N174" s="652"/>
      <c r="O174" s="652"/>
      <c r="P174" s="652"/>
      <c r="Q174" s="652"/>
      <c r="R174" s="652"/>
      <c r="S174" s="652"/>
      <c r="T174" s="652"/>
      <c r="U174" s="652"/>
      <c r="V174" s="652"/>
      <c r="W174" s="652"/>
      <c r="X174" s="652"/>
      <c r="Y174" s="652"/>
      <c r="Z174" s="1148">
        <f t="shared" si="10"/>
        <v>0</v>
      </c>
    </row>
    <row r="175" spans="1:31" s="246" customFormat="1" ht="29.25" thickBot="1">
      <c r="A175" s="244" t="s">
        <v>195</v>
      </c>
      <c r="B175" s="245"/>
      <c r="C175" s="245"/>
      <c r="D175" s="245"/>
      <c r="E175" s="245"/>
      <c r="F175" s="245"/>
      <c r="G175" s="245"/>
      <c r="H175" s="245"/>
      <c r="I175" s="245"/>
      <c r="J175" s="245">
        <f>J176</f>
        <v>1150</v>
      </c>
      <c r="K175" s="245"/>
      <c r="L175" s="245"/>
      <c r="M175" s="245"/>
      <c r="N175" s="245"/>
      <c r="O175" s="245">
        <f>O176</f>
        <v>30</v>
      </c>
      <c r="P175" s="245"/>
      <c r="Q175" s="245"/>
      <c r="R175" s="245"/>
      <c r="S175" s="245"/>
      <c r="T175" s="245"/>
      <c r="U175" s="245"/>
      <c r="V175" s="245">
        <f>V176</f>
        <v>70</v>
      </c>
      <c r="W175" s="245"/>
      <c r="X175" s="245"/>
      <c r="Y175" s="245"/>
      <c r="Z175" s="1187">
        <f t="shared" si="10"/>
        <v>1250</v>
      </c>
      <c r="AC175" s="247"/>
      <c r="AD175" s="247"/>
      <c r="AE175" s="247"/>
    </row>
    <row r="176" spans="1:26" s="183" customFormat="1" ht="31.5" thickBot="1" thickTop="1">
      <c r="A176" s="1095" t="s">
        <v>222</v>
      </c>
      <c r="B176" s="442"/>
      <c r="C176" s="442"/>
      <c r="D176" s="442"/>
      <c r="E176" s="442"/>
      <c r="F176" s="442"/>
      <c r="G176" s="442"/>
      <c r="H176" s="442"/>
      <c r="I176" s="442"/>
      <c r="J176" s="442">
        <f>J177</f>
        <v>1150</v>
      </c>
      <c r="K176" s="442"/>
      <c r="L176" s="442"/>
      <c r="M176" s="442"/>
      <c r="N176" s="442"/>
      <c r="O176" s="442">
        <f>O177</f>
        <v>30</v>
      </c>
      <c r="P176" s="442"/>
      <c r="Q176" s="442"/>
      <c r="R176" s="442"/>
      <c r="S176" s="442"/>
      <c r="T176" s="442"/>
      <c r="U176" s="442"/>
      <c r="V176" s="442">
        <f>V177</f>
        <v>70</v>
      </c>
      <c r="W176" s="442"/>
      <c r="X176" s="442"/>
      <c r="Y176" s="442"/>
      <c r="Z176" s="1156">
        <f t="shared" si="10"/>
        <v>1250</v>
      </c>
    </row>
    <row r="177" spans="1:29" s="179" customFormat="1" ht="26.25" thickBot="1">
      <c r="A177" s="434" t="s">
        <v>223</v>
      </c>
      <c r="B177" s="442"/>
      <c r="C177" s="442"/>
      <c r="D177" s="442"/>
      <c r="E177" s="442"/>
      <c r="F177" s="442"/>
      <c r="G177" s="442"/>
      <c r="H177" s="442"/>
      <c r="I177" s="442"/>
      <c r="J177" s="442">
        <f>J178</f>
        <v>1150</v>
      </c>
      <c r="K177" s="442"/>
      <c r="L177" s="442"/>
      <c r="M177" s="442"/>
      <c r="N177" s="442"/>
      <c r="O177" s="442">
        <f>O178</f>
        <v>30</v>
      </c>
      <c r="P177" s="442"/>
      <c r="Q177" s="442"/>
      <c r="R177" s="442"/>
      <c r="S177" s="442"/>
      <c r="T177" s="442"/>
      <c r="U177" s="442"/>
      <c r="V177" s="442">
        <f>V178</f>
        <v>70</v>
      </c>
      <c r="W177" s="442"/>
      <c r="X177" s="442"/>
      <c r="Y177" s="442"/>
      <c r="Z177" s="1156">
        <f t="shared" si="10"/>
        <v>1250</v>
      </c>
      <c r="AA177" s="184"/>
      <c r="AB177" s="184"/>
      <c r="AC177" s="184"/>
    </row>
    <row r="178" spans="1:26" s="935" customFormat="1" ht="18" customHeight="1">
      <c r="A178" s="1202" t="s">
        <v>220</v>
      </c>
      <c r="B178" s="445"/>
      <c r="C178" s="445"/>
      <c r="D178" s="445"/>
      <c r="E178" s="445"/>
      <c r="F178" s="445"/>
      <c r="G178" s="445"/>
      <c r="H178" s="445"/>
      <c r="I178" s="445"/>
      <c r="J178" s="445">
        <f>J179</f>
        <v>1150</v>
      </c>
      <c r="K178" s="445"/>
      <c r="L178" s="445"/>
      <c r="M178" s="445"/>
      <c r="N178" s="445"/>
      <c r="O178" s="445">
        <f>O179</f>
        <v>30</v>
      </c>
      <c r="P178" s="445"/>
      <c r="Q178" s="445"/>
      <c r="R178" s="445"/>
      <c r="S178" s="445"/>
      <c r="T178" s="445"/>
      <c r="U178" s="445"/>
      <c r="V178" s="445">
        <f>V179</f>
        <v>70</v>
      </c>
      <c r="W178" s="445"/>
      <c r="X178" s="445"/>
      <c r="Y178" s="445"/>
      <c r="Z178" s="1196">
        <f t="shared" si="10"/>
        <v>1250</v>
      </c>
    </row>
    <row r="179" spans="1:26" s="873" customFormat="1" ht="18" customHeight="1">
      <c r="A179" s="1203" t="s">
        <v>218</v>
      </c>
      <c r="B179" s="1158"/>
      <c r="C179" s="1158"/>
      <c r="D179" s="1158"/>
      <c r="E179" s="1158"/>
      <c r="F179" s="1158"/>
      <c r="G179" s="1158"/>
      <c r="H179" s="1158"/>
      <c r="I179" s="1158"/>
      <c r="J179" s="1158">
        <f>J180</f>
        <v>1150</v>
      </c>
      <c r="K179" s="1158"/>
      <c r="L179" s="1158"/>
      <c r="M179" s="1158"/>
      <c r="N179" s="1158"/>
      <c r="O179" s="1158">
        <f>O180</f>
        <v>30</v>
      </c>
      <c r="P179" s="1158"/>
      <c r="Q179" s="1158"/>
      <c r="R179" s="1158"/>
      <c r="S179" s="1158"/>
      <c r="T179" s="1158"/>
      <c r="U179" s="1158"/>
      <c r="V179" s="1158">
        <f>V180</f>
        <v>70</v>
      </c>
      <c r="W179" s="1158"/>
      <c r="X179" s="1158"/>
      <c r="Y179" s="1158"/>
      <c r="Z179" s="1159">
        <f t="shared" si="10"/>
        <v>1250</v>
      </c>
    </row>
    <row r="180" spans="1:26" s="184" customFormat="1" ht="18" customHeight="1">
      <c r="A180" s="1179" t="s">
        <v>530</v>
      </c>
      <c r="B180" s="213"/>
      <c r="C180" s="213"/>
      <c r="D180" s="213"/>
      <c r="E180" s="213"/>
      <c r="F180" s="213"/>
      <c r="G180" s="213"/>
      <c r="H180" s="213"/>
      <c r="I180" s="213"/>
      <c r="J180" s="213">
        <v>1150</v>
      </c>
      <c r="K180" s="213"/>
      <c r="L180" s="213"/>
      <c r="M180" s="213"/>
      <c r="N180" s="213"/>
      <c r="O180" s="213">
        <v>30</v>
      </c>
      <c r="P180" s="213"/>
      <c r="Q180" s="213"/>
      <c r="R180" s="213"/>
      <c r="S180" s="213"/>
      <c r="T180" s="213"/>
      <c r="U180" s="213"/>
      <c r="V180" s="213">
        <v>70</v>
      </c>
      <c r="W180" s="213"/>
      <c r="X180" s="213"/>
      <c r="Y180" s="213"/>
      <c r="Z180" s="1148">
        <f t="shared" si="10"/>
        <v>1250</v>
      </c>
    </row>
    <row r="181" spans="24:26" s="648" customFormat="1" ht="24.75" customHeight="1">
      <c r="X181" s="184"/>
      <c r="Z181" s="824"/>
    </row>
    <row r="182" spans="1:26" s="648" customFormat="1" ht="18" customHeight="1">
      <c r="A182" s="1591" t="s">
        <v>17</v>
      </c>
      <c r="W182" s="1593" t="s">
        <v>20</v>
      </c>
      <c r="X182" s="184"/>
      <c r="Z182" s="824"/>
    </row>
    <row r="183" spans="1:26" s="648" customFormat="1" ht="15" customHeight="1">
      <c r="A183" s="1592" t="s">
        <v>21</v>
      </c>
      <c r="W183" s="1594" t="s">
        <v>18</v>
      </c>
      <c r="X183" s="184"/>
      <c r="Z183" s="824"/>
    </row>
    <row r="184" spans="24:26" s="648" customFormat="1" ht="18" customHeight="1">
      <c r="X184" s="184"/>
      <c r="Z184" s="824"/>
    </row>
    <row r="185" spans="26:27" ht="12.75">
      <c r="Z185" s="645"/>
      <c r="AA185" s="646"/>
    </row>
    <row r="186" spans="26:27" ht="12.75">
      <c r="Z186" s="645"/>
      <c r="AA186" s="646"/>
    </row>
    <row r="187" spans="26:27" ht="12.75">
      <c r="Z187" s="645"/>
      <c r="AA187" s="646"/>
    </row>
    <row r="188" spans="26:27" ht="12.75">
      <c r="Z188" s="645"/>
      <c r="AA188" s="646"/>
    </row>
    <row r="189" spans="26:27" ht="12.75">
      <c r="Z189" s="645"/>
      <c r="AA189" s="646"/>
    </row>
    <row r="190" spans="26:27" ht="12.75">
      <c r="Z190" s="645"/>
      <c r="AA190" s="646"/>
    </row>
    <row r="191" spans="26:27" ht="12.75">
      <c r="Z191" s="645"/>
      <c r="AA191" s="646"/>
    </row>
    <row r="192" spans="26:27" ht="12.75">
      <c r="Z192" s="645"/>
      <c r="AA192" s="646"/>
    </row>
    <row r="193" spans="26:27" ht="12.75">
      <c r="Z193" s="645"/>
      <c r="AA193" s="646"/>
    </row>
    <row r="194" spans="26:27" ht="12.75">
      <c r="Z194" s="645"/>
      <c r="AA194" s="646"/>
    </row>
    <row r="195" spans="26:27" ht="12.75">
      <c r="Z195" s="645"/>
      <c r="AA195" s="646"/>
    </row>
    <row r="196" spans="26:27" ht="12.75">
      <c r="Z196" s="645"/>
      <c r="AA196" s="646"/>
    </row>
    <row r="197" spans="26:27" ht="12.75">
      <c r="Z197" s="645"/>
      <c r="AA197" s="646"/>
    </row>
    <row r="198" spans="26:27" ht="12.75">
      <c r="Z198" s="645"/>
      <c r="AA198" s="646"/>
    </row>
    <row r="199" spans="26:27" ht="12.75">
      <c r="Z199" s="645"/>
      <c r="AA199" s="646"/>
    </row>
    <row r="200" spans="26:27" ht="12.75">
      <c r="Z200" s="645"/>
      <c r="AA200" s="646"/>
    </row>
    <row r="201" spans="26:27" ht="12.75">
      <c r="Z201" s="645"/>
      <c r="AA201" s="646"/>
    </row>
    <row r="202" spans="26:27" ht="12.75">
      <c r="Z202" s="645"/>
      <c r="AA202" s="646"/>
    </row>
    <row r="203" spans="26:27" ht="12.75">
      <c r="Z203" s="645"/>
      <c r="AA203" s="646"/>
    </row>
    <row r="204" spans="26:27" ht="12.75">
      <c r="Z204" s="645"/>
      <c r="AA204" s="646"/>
    </row>
    <row r="205" spans="26:27" ht="12.75">
      <c r="Z205" s="645"/>
      <c r="AA205" s="646"/>
    </row>
    <row r="206" spans="26:27" ht="12.75">
      <c r="Z206" s="645"/>
      <c r="AA206" s="646"/>
    </row>
    <row r="207" spans="26:27" ht="12.75">
      <c r="Z207" s="645"/>
      <c r="AA207" s="646"/>
    </row>
    <row r="208" spans="26:27" ht="12.75">
      <c r="Z208" s="645"/>
      <c r="AA208" s="646"/>
    </row>
    <row r="209" spans="26:27" ht="12.75">
      <c r="Z209" s="645"/>
      <c r="AA209" s="646"/>
    </row>
    <row r="210" spans="26:27" ht="12.75">
      <c r="Z210" s="645"/>
      <c r="AA210" s="646"/>
    </row>
    <row r="211" spans="26:27" ht="12.75">
      <c r="Z211" s="645"/>
      <c r="AA211" s="646"/>
    </row>
    <row r="212" spans="26:27" ht="12.75">
      <c r="Z212" s="645"/>
      <c r="AA212" s="646"/>
    </row>
    <row r="213" spans="26:27" ht="12.75">
      <c r="Z213" s="645"/>
      <c r="AA213" s="646"/>
    </row>
    <row r="214" spans="26:27" ht="12.75">
      <c r="Z214" s="645"/>
      <c r="AA214" s="646"/>
    </row>
    <row r="215" spans="26:27" ht="12.75">
      <c r="Z215" s="645"/>
      <c r="AA215" s="646"/>
    </row>
    <row r="216" spans="26:27" ht="12.75">
      <c r="Z216" s="645"/>
      <c r="AA216" s="646"/>
    </row>
    <row r="217" spans="26:27" ht="12.75">
      <c r="Z217" s="645"/>
      <c r="AA217" s="646"/>
    </row>
    <row r="218" spans="26:27" ht="12.75">
      <c r="Z218" s="645"/>
      <c r="AA218" s="646"/>
    </row>
    <row r="219" spans="26:27" ht="12.75">
      <c r="Z219" s="645"/>
      <c r="AA219" s="646"/>
    </row>
    <row r="220" spans="26:27" ht="12.75">
      <c r="Z220" s="645"/>
      <c r="AA220" s="646"/>
    </row>
    <row r="221" spans="26:27" ht="12.75">
      <c r="Z221" s="645"/>
      <c r="AA221" s="646"/>
    </row>
    <row r="222" spans="26:27" ht="12.75">
      <c r="Z222" s="645"/>
      <c r="AA222" s="646"/>
    </row>
    <row r="223" spans="26:27" ht="12.75">
      <c r="Z223" s="645"/>
      <c r="AA223" s="646"/>
    </row>
    <row r="224" spans="26:27" ht="12.75">
      <c r="Z224" s="645"/>
      <c r="AA224" s="646"/>
    </row>
    <row r="225" spans="26:27" ht="12.75">
      <c r="Z225" s="645"/>
      <c r="AA225" s="646"/>
    </row>
    <row r="226" spans="26:27" ht="12.75">
      <c r="Z226" s="645"/>
      <c r="AA226" s="646"/>
    </row>
    <row r="227" spans="26:27" ht="12.75">
      <c r="Z227" s="645"/>
      <c r="AA227" s="646"/>
    </row>
    <row r="228" spans="26:27" ht="12.75">
      <c r="Z228" s="645"/>
      <c r="AA228" s="646"/>
    </row>
    <row r="229" spans="26:27" ht="12.75">
      <c r="Z229" s="645"/>
      <c r="AA229" s="646"/>
    </row>
    <row r="230" spans="26:27" ht="12.75">
      <c r="Z230" s="645"/>
      <c r="AA230" s="646"/>
    </row>
    <row r="231" spans="26:27" ht="12.75">
      <c r="Z231" s="645"/>
      <c r="AA231" s="646"/>
    </row>
    <row r="232" spans="26:27" ht="12.75">
      <c r="Z232" s="645"/>
      <c r="AA232" s="646"/>
    </row>
    <row r="233" spans="26:27" ht="12.75">
      <c r="Z233" s="645"/>
      <c r="AA233" s="646"/>
    </row>
    <row r="234" spans="26:27" ht="12.75">
      <c r="Z234" s="645"/>
      <c r="AA234" s="646"/>
    </row>
    <row r="235" spans="26:27" ht="12.75">
      <c r="Z235" s="645"/>
      <c r="AA235" s="646"/>
    </row>
    <row r="236" spans="26:27" ht="12.75">
      <c r="Z236" s="645"/>
      <c r="AA236" s="646"/>
    </row>
    <row r="237" spans="26:27" ht="12.75">
      <c r="Z237" s="645"/>
      <c r="AA237" s="646"/>
    </row>
    <row r="238" spans="26:27" ht="12.75">
      <c r="Z238" s="645"/>
      <c r="AA238" s="646"/>
    </row>
    <row r="239" spans="26:27" ht="12.75">
      <c r="Z239" s="645"/>
      <c r="AA239" s="646"/>
    </row>
    <row r="240" spans="26:27" ht="12.75">
      <c r="Z240" s="645"/>
      <c r="AA240" s="646"/>
    </row>
    <row r="241" spans="26:27" ht="12.75">
      <c r="Z241" s="645"/>
      <c r="AA241" s="646"/>
    </row>
    <row r="242" spans="26:27" ht="12.75">
      <c r="Z242" s="645"/>
      <c r="AA242" s="646"/>
    </row>
    <row r="243" spans="26:27" ht="12.75">
      <c r="Z243" s="645"/>
      <c r="AA243" s="646"/>
    </row>
    <row r="244" spans="26:27" ht="12.75">
      <c r="Z244" s="645"/>
      <c r="AA244" s="646"/>
    </row>
    <row r="245" spans="26:27" ht="12.75">
      <c r="Z245" s="645"/>
      <c r="AA245" s="646"/>
    </row>
    <row r="246" spans="26:27" ht="12.75">
      <c r="Z246" s="645"/>
      <c r="AA246" s="646"/>
    </row>
    <row r="247" spans="26:27" ht="12.75">
      <c r="Z247" s="645"/>
      <c r="AA247" s="646"/>
    </row>
    <row r="248" spans="26:27" ht="12.75">
      <c r="Z248" s="645"/>
      <c r="AA248" s="646"/>
    </row>
    <row r="249" spans="26:27" ht="12.75">
      <c r="Z249" s="645"/>
      <c r="AA249" s="646"/>
    </row>
    <row r="250" spans="26:27" ht="12.75">
      <c r="Z250" s="645"/>
      <c r="AA250" s="646"/>
    </row>
    <row r="251" spans="26:27" ht="12.75">
      <c r="Z251" s="645"/>
      <c r="AA251" s="646"/>
    </row>
    <row r="252" spans="26:27" ht="12.75">
      <c r="Z252" s="645"/>
      <c r="AA252" s="646"/>
    </row>
    <row r="253" spans="26:27" ht="12.75">
      <c r="Z253" s="645"/>
      <c r="AA253" s="646"/>
    </row>
    <row r="254" spans="26:27" ht="12.75">
      <c r="Z254" s="645"/>
      <c r="AA254" s="646"/>
    </row>
    <row r="255" spans="26:27" ht="12.75">
      <c r="Z255" s="645"/>
      <c r="AA255" s="646"/>
    </row>
    <row r="256" spans="26:27" ht="12.75">
      <c r="Z256" s="645"/>
      <c r="AA256" s="646"/>
    </row>
    <row r="257" ht="12.75">
      <c r="AA257" s="646"/>
    </row>
    <row r="258" ht="12.75">
      <c r="AA258" s="646"/>
    </row>
    <row r="259" ht="12.75">
      <c r="AA259" s="646"/>
    </row>
    <row r="260" ht="12.75">
      <c r="AA260" s="646"/>
    </row>
    <row r="261" ht="12.75">
      <c r="AA261" s="646"/>
    </row>
    <row r="262" ht="12.75">
      <c r="AA262" s="646"/>
    </row>
    <row r="263" ht="12.75">
      <c r="AA263" s="646"/>
    </row>
    <row r="264" ht="12.75">
      <c r="AA264" s="646"/>
    </row>
    <row r="265" ht="12.75">
      <c r="AA265" s="646"/>
    </row>
    <row r="266" ht="12.75">
      <c r="AA266" s="646"/>
    </row>
    <row r="267" ht="12.75">
      <c r="AA267" s="646"/>
    </row>
    <row r="268" ht="12.75">
      <c r="AA268" s="646"/>
    </row>
    <row r="269" ht="12.75">
      <c r="AA269" s="646"/>
    </row>
    <row r="270" ht="12.75">
      <c r="AA270" s="646"/>
    </row>
    <row r="271" ht="12.75">
      <c r="AA271" s="646"/>
    </row>
    <row r="272" ht="12.75">
      <c r="AA272" s="646"/>
    </row>
    <row r="273" ht="12.75">
      <c r="AA273" s="646"/>
    </row>
    <row r="274" ht="12.75">
      <c r="AA274" s="646"/>
    </row>
    <row r="275" ht="12.75">
      <c r="AA275" s="646"/>
    </row>
    <row r="276" ht="12.75">
      <c r="AA276" s="646"/>
    </row>
    <row r="277" ht="12.75">
      <c r="AA277" s="646"/>
    </row>
    <row r="278" ht="12.75">
      <c r="AA278" s="646"/>
    </row>
    <row r="279" ht="12.75">
      <c r="AA279" s="646"/>
    </row>
    <row r="280" ht="12.75">
      <c r="AA280" s="646"/>
    </row>
    <row r="281" ht="12.75">
      <c r="AA281" s="646"/>
    </row>
    <row r="282" ht="12.75">
      <c r="AA282" s="646"/>
    </row>
    <row r="283" ht="12.75">
      <c r="AA283" s="646"/>
    </row>
    <row r="284" ht="12.75">
      <c r="AA284" s="646"/>
    </row>
    <row r="285" ht="12.75">
      <c r="AA285" s="646"/>
    </row>
    <row r="286" ht="12.75">
      <c r="AA286" s="646"/>
    </row>
    <row r="287" ht="12.75">
      <c r="AA287" s="646"/>
    </row>
    <row r="288" ht="12.75">
      <c r="AA288" s="646"/>
    </row>
    <row r="289" ht="12.75">
      <c r="AA289" s="646"/>
    </row>
    <row r="290" ht="12.75">
      <c r="AA290" s="646"/>
    </row>
    <row r="291" ht="12.75">
      <c r="AA291" s="646"/>
    </row>
    <row r="292" ht="12.75">
      <c r="AA292" s="646"/>
    </row>
    <row r="293" ht="12.75">
      <c r="AA293" s="646"/>
    </row>
    <row r="294" ht="12.75">
      <c r="AA294" s="646"/>
    </row>
    <row r="295" ht="12.75">
      <c r="AA295" s="646"/>
    </row>
    <row r="296" ht="12.75">
      <c r="AA296" s="646"/>
    </row>
    <row r="297" ht="12.75">
      <c r="AA297" s="646"/>
    </row>
    <row r="298" ht="12.75">
      <c r="AA298" s="646"/>
    </row>
    <row r="299" ht="12.75">
      <c r="AA299" s="646"/>
    </row>
    <row r="300" ht="12.75">
      <c r="AA300" s="646"/>
    </row>
    <row r="301" ht="12.75">
      <c r="AA301" s="646"/>
    </row>
    <row r="302" ht="12.75">
      <c r="AA302" s="646"/>
    </row>
    <row r="303" ht="12.75">
      <c r="AA303" s="646"/>
    </row>
    <row r="304" ht="12.75">
      <c r="AA304" s="646"/>
    </row>
    <row r="305" ht="12.75">
      <c r="AA305" s="646"/>
    </row>
    <row r="306" ht="12.75">
      <c r="AA306" s="646"/>
    </row>
    <row r="307" ht="12.75">
      <c r="AA307" s="646"/>
    </row>
    <row r="308" ht="12.75">
      <c r="AA308" s="646"/>
    </row>
    <row r="309" ht="12.75">
      <c r="AA309" s="646"/>
    </row>
    <row r="310" ht="12.75">
      <c r="AA310" s="646"/>
    </row>
    <row r="311" ht="12.75">
      <c r="AA311" s="646"/>
    </row>
    <row r="312" ht="12.75">
      <c r="AA312" s="646"/>
    </row>
    <row r="313" ht="12.75">
      <c r="AA313" s="646"/>
    </row>
    <row r="314" ht="12.75">
      <c r="AA314" s="646"/>
    </row>
    <row r="315" ht="12.75">
      <c r="AA315" s="646"/>
    </row>
    <row r="316" ht="12.75">
      <c r="AA316" s="646"/>
    </row>
    <row r="317" ht="12.75">
      <c r="AA317" s="646"/>
    </row>
    <row r="318" ht="12.75">
      <c r="AA318" s="646"/>
    </row>
    <row r="319" ht="12.75">
      <c r="AA319" s="646"/>
    </row>
    <row r="320" ht="12.75">
      <c r="AA320" s="646"/>
    </row>
    <row r="321" ht="12.75">
      <c r="AA321" s="646"/>
    </row>
    <row r="322" ht="12.75">
      <c r="AA322" s="646"/>
    </row>
    <row r="323" ht="12.75">
      <c r="AA323" s="646"/>
    </row>
    <row r="324" ht="12.75">
      <c r="AA324" s="646"/>
    </row>
    <row r="325" ht="12.75">
      <c r="AA325" s="646"/>
    </row>
    <row r="326" ht="12.75">
      <c r="AA326" s="646"/>
    </row>
    <row r="327" ht="12.75">
      <c r="AA327" s="646"/>
    </row>
    <row r="328" ht="12.75">
      <c r="AA328" s="646"/>
    </row>
    <row r="329" ht="12.75">
      <c r="AA329" s="646"/>
    </row>
    <row r="330" ht="12.75">
      <c r="AA330" s="646"/>
    </row>
    <row r="331" ht="12.75">
      <c r="AA331" s="646"/>
    </row>
    <row r="332" ht="12.75">
      <c r="AA332" s="646"/>
    </row>
    <row r="333" ht="12.75">
      <c r="AA333" s="646"/>
    </row>
    <row r="334" ht="12.75">
      <c r="AA334" s="646"/>
    </row>
    <row r="335" ht="12.75">
      <c r="AA335" s="646"/>
    </row>
    <row r="336" ht="12.75">
      <c r="AA336" s="646"/>
    </row>
    <row r="337" ht="12.75">
      <c r="AA337" s="646"/>
    </row>
    <row r="338" ht="12.75">
      <c r="AA338" s="646"/>
    </row>
    <row r="339" ht="12.75">
      <c r="AA339" s="646"/>
    </row>
    <row r="340" ht="12.75">
      <c r="AA340" s="646"/>
    </row>
    <row r="341" ht="12.75">
      <c r="AA341" s="646"/>
    </row>
    <row r="342" ht="12.75">
      <c r="AA342" s="646"/>
    </row>
    <row r="343" ht="12.75">
      <c r="AA343" s="646"/>
    </row>
    <row r="344" ht="12.75">
      <c r="AA344" s="646"/>
    </row>
    <row r="345" ht="12.75">
      <c r="AA345" s="646"/>
    </row>
    <row r="346" ht="12.75">
      <c r="AA346" s="646"/>
    </row>
    <row r="347" ht="12.75">
      <c r="AA347" s="646"/>
    </row>
    <row r="348" ht="12.75">
      <c r="AA348" s="646"/>
    </row>
    <row r="349" ht="12.75">
      <c r="AA349" s="646"/>
    </row>
    <row r="350" ht="12.75">
      <c r="AA350" s="646"/>
    </row>
    <row r="351" ht="12.75">
      <c r="AA351" s="646"/>
    </row>
    <row r="352" ht="12.75">
      <c r="AA352" s="646"/>
    </row>
    <row r="353" ht="12.75">
      <c r="AA353" s="646"/>
    </row>
    <row r="354" ht="12.75">
      <c r="AA354" s="646"/>
    </row>
    <row r="355" ht="12.75">
      <c r="AA355" s="646"/>
    </row>
    <row r="356" ht="12.75">
      <c r="AA356" s="646"/>
    </row>
    <row r="357" ht="12.75">
      <c r="AA357" s="646"/>
    </row>
    <row r="358" ht="12.75">
      <c r="AA358" s="646"/>
    </row>
    <row r="359" ht="12.75">
      <c r="AA359" s="646"/>
    </row>
    <row r="360" ht="12.75">
      <c r="AA360" s="646"/>
    </row>
    <row r="361" ht="12.75">
      <c r="AA361" s="646"/>
    </row>
    <row r="362" ht="12.75">
      <c r="AA362" s="646"/>
    </row>
    <row r="363" ht="12.75">
      <c r="AA363" s="646"/>
    </row>
    <row r="364" ht="12.75">
      <c r="AA364" s="646"/>
    </row>
    <row r="365" ht="12.75">
      <c r="AA365" s="646"/>
    </row>
    <row r="366" ht="12.75">
      <c r="AA366" s="646"/>
    </row>
    <row r="367" ht="12.75">
      <c r="AA367" s="646"/>
    </row>
    <row r="368" ht="12.75">
      <c r="AA368" s="646"/>
    </row>
    <row r="369" ht="12.75">
      <c r="AA369" s="646"/>
    </row>
    <row r="370" ht="12.75">
      <c r="AA370" s="646"/>
    </row>
    <row r="371" ht="12.75">
      <c r="AA371" s="646"/>
    </row>
    <row r="372" ht="12.75">
      <c r="AA372" s="646"/>
    </row>
    <row r="373" ht="12.75">
      <c r="AA373" s="646"/>
    </row>
    <row r="374" ht="12.75">
      <c r="AA374" s="646"/>
    </row>
    <row r="375" ht="12.75">
      <c r="AA375" s="646"/>
    </row>
    <row r="376" ht="12.75">
      <c r="AA376" s="646"/>
    </row>
    <row r="377" ht="12.75">
      <c r="AA377" s="646"/>
    </row>
    <row r="378" ht="12.75">
      <c r="AA378" s="646"/>
    </row>
    <row r="379" ht="12.75">
      <c r="AA379" s="646"/>
    </row>
    <row r="380" ht="12.75">
      <c r="AA380" s="646"/>
    </row>
    <row r="381" ht="12.75">
      <c r="AA381" s="646"/>
    </row>
    <row r="382" ht="12.75">
      <c r="AA382" s="646"/>
    </row>
    <row r="383" ht="12.75">
      <c r="AA383" s="646"/>
    </row>
    <row r="384" ht="12.75">
      <c r="AA384" s="646"/>
    </row>
    <row r="385" ht="12.75">
      <c r="AA385" s="646"/>
    </row>
    <row r="386" ht="12.75">
      <c r="AA386" s="646"/>
    </row>
    <row r="387" ht="12.75">
      <c r="AA387" s="646"/>
    </row>
    <row r="388" ht="12.75">
      <c r="AA388" s="646"/>
    </row>
    <row r="389" ht="12.75">
      <c r="AA389" s="646"/>
    </row>
    <row r="390" ht="12.75">
      <c r="AA390" s="646"/>
    </row>
    <row r="391" ht="12.75">
      <c r="AA391" s="646"/>
    </row>
    <row r="392" ht="12.75">
      <c r="AA392" s="646"/>
    </row>
    <row r="393" ht="12.75">
      <c r="AA393" s="646"/>
    </row>
    <row r="394" ht="12.75">
      <c r="AA394" s="646"/>
    </row>
    <row r="395" ht="12.75">
      <c r="AA395" s="646"/>
    </row>
    <row r="396" ht="12.75">
      <c r="AA396" s="646"/>
    </row>
    <row r="397" ht="12.75">
      <c r="AA397" s="646"/>
    </row>
    <row r="398" ht="12.75">
      <c r="AA398" s="646"/>
    </row>
    <row r="399" ht="12.75">
      <c r="AA399" s="646"/>
    </row>
    <row r="400" ht="12.75">
      <c r="AA400" s="646"/>
    </row>
    <row r="401" ht="12.75">
      <c r="AA401" s="646"/>
    </row>
    <row r="402" ht="12.75">
      <c r="AA402" s="646"/>
    </row>
    <row r="403" ht="12.75">
      <c r="AA403" s="646"/>
    </row>
    <row r="404" ht="12.75">
      <c r="AA404" s="646"/>
    </row>
    <row r="405" ht="12.75">
      <c r="AA405" s="646"/>
    </row>
    <row r="406" ht="12.75">
      <c r="AA406" s="646"/>
    </row>
    <row r="407" ht="12.75">
      <c r="AA407" s="646"/>
    </row>
    <row r="408" ht="12.75">
      <c r="AA408" s="646"/>
    </row>
    <row r="409" ht="12.75">
      <c r="AA409" s="646"/>
    </row>
    <row r="410" ht="12.75">
      <c r="AA410" s="646"/>
    </row>
    <row r="411" ht="12.75">
      <c r="AA411" s="646"/>
    </row>
    <row r="412" ht="12.75">
      <c r="AA412" s="646"/>
    </row>
    <row r="413" ht="12.75">
      <c r="AA413" s="646"/>
    </row>
    <row r="414" ht="12.75">
      <c r="AA414" s="646"/>
    </row>
    <row r="415" ht="12.75">
      <c r="AA415" s="646"/>
    </row>
    <row r="416" ht="12.75">
      <c r="AA416" s="646"/>
    </row>
    <row r="417" ht="12.75">
      <c r="AA417" s="646"/>
    </row>
    <row r="418" ht="12.75">
      <c r="AA418" s="646"/>
    </row>
    <row r="419" ht="12.75">
      <c r="AA419" s="646"/>
    </row>
    <row r="420" ht="12.75">
      <c r="AA420" s="646"/>
    </row>
    <row r="421" ht="12.75">
      <c r="AA421" s="646"/>
    </row>
    <row r="422" ht="12.75">
      <c r="AA422" s="646"/>
    </row>
    <row r="423" ht="12.75">
      <c r="AA423" s="646"/>
    </row>
    <row r="424" ht="12.75">
      <c r="AA424" s="646"/>
    </row>
    <row r="425" ht="12.75">
      <c r="AA425" s="646"/>
    </row>
    <row r="426" ht="12.75">
      <c r="AA426" s="646"/>
    </row>
    <row r="427" ht="12.75">
      <c r="AA427" s="646"/>
    </row>
    <row r="428" ht="12.75">
      <c r="AA428" s="646"/>
    </row>
    <row r="429" ht="12.75">
      <c r="AA429" s="646"/>
    </row>
    <row r="430" ht="12.75">
      <c r="AA430" s="646"/>
    </row>
    <row r="431" ht="12.75">
      <c r="AA431" s="646"/>
    </row>
    <row r="432" ht="12.75">
      <c r="AA432" s="646"/>
    </row>
    <row r="433" ht="12.75">
      <c r="AA433" s="646"/>
    </row>
    <row r="434" ht="12.75">
      <c r="AA434" s="646"/>
    </row>
    <row r="435" ht="12.75">
      <c r="AA435" s="646"/>
    </row>
    <row r="436" ht="12.75">
      <c r="AA436" s="646"/>
    </row>
    <row r="437" ht="12.75">
      <c r="AA437" s="646"/>
    </row>
    <row r="438" ht="12.75">
      <c r="AA438" s="646"/>
    </row>
    <row r="439" ht="12.75">
      <c r="AA439" s="646"/>
    </row>
    <row r="440" ht="12.75">
      <c r="AA440" s="646"/>
    </row>
    <row r="441" ht="12.75">
      <c r="AA441" s="646"/>
    </row>
    <row r="442" ht="12.75">
      <c r="AA442" s="646"/>
    </row>
    <row r="443" ht="12.75">
      <c r="AA443" s="646"/>
    </row>
    <row r="444" ht="12.75">
      <c r="AA444" s="646"/>
    </row>
    <row r="445" ht="12.75">
      <c r="AA445" s="646"/>
    </row>
    <row r="446" ht="12.75">
      <c r="AA446" s="646"/>
    </row>
    <row r="447" ht="12.75">
      <c r="AA447" s="646"/>
    </row>
    <row r="448" ht="12.75">
      <c r="AA448" s="646"/>
    </row>
    <row r="449" ht="12.75">
      <c r="AA449" s="646"/>
    </row>
    <row r="450" ht="12.75">
      <c r="AA450" s="646"/>
    </row>
    <row r="451" ht="12.75">
      <c r="AA451" s="646"/>
    </row>
    <row r="452" ht="12.75">
      <c r="AA452" s="646"/>
    </row>
    <row r="453" ht="12.75">
      <c r="AA453" s="646"/>
    </row>
    <row r="454" ht="12.75">
      <c r="AA454" s="646"/>
    </row>
    <row r="455" ht="12.75">
      <c r="AA455" s="646"/>
    </row>
    <row r="456" ht="12.75">
      <c r="AA456" s="646"/>
    </row>
    <row r="457" ht="12.75">
      <c r="AA457" s="646"/>
    </row>
    <row r="458" ht="12.75">
      <c r="AA458" s="646"/>
    </row>
    <row r="459" ht="12.75">
      <c r="AA459" s="646"/>
    </row>
    <row r="460" ht="12.75">
      <c r="AA460" s="646"/>
    </row>
    <row r="461" ht="12.75">
      <c r="AA461" s="646"/>
    </row>
    <row r="462" ht="12.75">
      <c r="AA462" s="646"/>
    </row>
    <row r="463" ht="12.75">
      <c r="AA463" s="646"/>
    </row>
    <row r="464" ht="12.75">
      <c r="AA464" s="646"/>
    </row>
    <row r="465" ht="12.75">
      <c r="AA465" s="646"/>
    </row>
    <row r="466" ht="12.75">
      <c r="AA466" s="646"/>
    </row>
    <row r="467" ht="12.75">
      <c r="AA467" s="646"/>
    </row>
    <row r="468" ht="12.75">
      <c r="AA468" s="646"/>
    </row>
    <row r="469" ht="12.75">
      <c r="AA469" s="646"/>
    </row>
    <row r="470" ht="12.75">
      <c r="AA470" s="646"/>
    </row>
    <row r="471" ht="12.75">
      <c r="AA471" s="646"/>
    </row>
    <row r="472" ht="12.75">
      <c r="AA472" s="646"/>
    </row>
    <row r="473" ht="12.75">
      <c r="AA473" s="646"/>
    </row>
    <row r="474" ht="12.75">
      <c r="AA474" s="646"/>
    </row>
    <row r="475" ht="12.75">
      <c r="AA475" s="646"/>
    </row>
    <row r="476" ht="12.75">
      <c r="AA476" s="646"/>
    </row>
    <row r="477" ht="12.75">
      <c r="AA477" s="646"/>
    </row>
    <row r="478" ht="12.75">
      <c r="AA478" s="646"/>
    </row>
    <row r="479" ht="12.75">
      <c r="AA479" s="646"/>
    </row>
    <row r="480" ht="12.75">
      <c r="AA480" s="646"/>
    </row>
    <row r="481" ht="12.75">
      <c r="AA481" s="646"/>
    </row>
    <row r="482" ht="12.75">
      <c r="AA482" s="646"/>
    </row>
    <row r="483" ht="12.75">
      <c r="AA483" s="646"/>
    </row>
    <row r="484" ht="12.75">
      <c r="AA484" s="646"/>
    </row>
    <row r="485" ht="12.75">
      <c r="AA485" s="646"/>
    </row>
    <row r="486" ht="12.75">
      <c r="AA486" s="646"/>
    </row>
    <row r="487" ht="12.75">
      <c r="AA487" s="646"/>
    </row>
    <row r="488" ht="12.75">
      <c r="AA488" s="646"/>
    </row>
    <row r="489" ht="12.75">
      <c r="AA489" s="646"/>
    </row>
    <row r="490" ht="12.75">
      <c r="AA490" s="646"/>
    </row>
    <row r="491" ht="12.75">
      <c r="AA491" s="646"/>
    </row>
    <row r="492" ht="12.75">
      <c r="AA492" s="646"/>
    </row>
    <row r="493" ht="12.75">
      <c r="AA493" s="646"/>
    </row>
    <row r="494" ht="12.75">
      <c r="AA494" s="646"/>
    </row>
    <row r="495" ht="12.75">
      <c r="AA495" s="646"/>
    </row>
    <row r="496" ht="12.75">
      <c r="AA496" s="646"/>
    </row>
    <row r="497" ht="12.75">
      <c r="AA497" s="646"/>
    </row>
    <row r="498" ht="12.75">
      <c r="AA498" s="646"/>
    </row>
    <row r="499" ht="12.75">
      <c r="AA499" s="646"/>
    </row>
    <row r="500" ht="12.75">
      <c r="AA500" s="646"/>
    </row>
    <row r="501" ht="12.75">
      <c r="AA501" s="646"/>
    </row>
    <row r="502" ht="12.75">
      <c r="AA502" s="646"/>
    </row>
    <row r="503" ht="12.75">
      <c r="AA503" s="646"/>
    </row>
    <row r="504" ht="12.75">
      <c r="AA504" s="646"/>
    </row>
    <row r="505" ht="12.75">
      <c r="AA505" s="646"/>
    </row>
    <row r="506" ht="12.75">
      <c r="AA506" s="646"/>
    </row>
    <row r="507" ht="12.75">
      <c r="AA507" s="646"/>
    </row>
    <row r="508" ht="12.75">
      <c r="AA508" s="646"/>
    </row>
    <row r="509" ht="12.75">
      <c r="AA509" s="646"/>
    </row>
    <row r="510" ht="12.75">
      <c r="AA510" s="646"/>
    </row>
    <row r="511" ht="12.75">
      <c r="AA511" s="646"/>
    </row>
    <row r="512" ht="12.75">
      <c r="AA512" s="646"/>
    </row>
    <row r="513" ht="12.75">
      <c r="AA513" s="646"/>
    </row>
    <row r="514" ht="12.75">
      <c r="AA514" s="646"/>
    </row>
    <row r="515" ht="12.75">
      <c r="AA515" s="646"/>
    </row>
    <row r="516" ht="12.75">
      <c r="AA516" s="646"/>
    </row>
    <row r="517" ht="12.75">
      <c r="AA517" s="646"/>
    </row>
    <row r="518" ht="12.75">
      <c r="AA518" s="646"/>
    </row>
    <row r="519" ht="12.75">
      <c r="AA519" s="646"/>
    </row>
    <row r="520" ht="12.75">
      <c r="AA520" s="646"/>
    </row>
    <row r="521" ht="12.75">
      <c r="AA521" s="646"/>
    </row>
    <row r="522" ht="12.75">
      <c r="AA522" s="646"/>
    </row>
    <row r="523" ht="12.75">
      <c r="AA523" s="646"/>
    </row>
    <row r="524" ht="12.75">
      <c r="AA524" s="646"/>
    </row>
    <row r="525" ht="12.75">
      <c r="AA525" s="646"/>
    </row>
    <row r="526" ht="12.75">
      <c r="AA526" s="646"/>
    </row>
    <row r="527" ht="12.75">
      <c r="AA527" s="646"/>
    </row>
    <row r="528" ht="12.75">
      <c r="AA528" s="646"/>
    </row>
    <row r="529" ht="12.75">
      <c r="AA529" s="646"/>
    </row>
    <row r="530" ht="12.75">
      <c r="AA530" s="646"/>
    </row>
    <row r="531" ht="12.75">
      <c r="AA531" s="646"/>
    </row>
    <row r="532" ht="12.75">
      <c r="AA532" s="646"/>
    </row>
    <row r="533" ht="12.75">
      <c r="AA533" s="646"/>
    </row>
    <row r="534" ht="12.75">
      <c r="AA534" s="646"/>
    </row>
    <row r="535" ht="12.75">
      <c r="AA535" s="646"/>
    </row>
    <row r="536" ht="12.75">
      <c r="AA536" s="646"/>
    </row>
    <row r="537" ht="12.75">
      <c r="AA537" s="646"/>
    </row>
    <row r="538" ht="12.75">
      <c r="AA538" s="646"/>
    </row>
    <row r="539" ht="12.75">
      <c r="AA539" s="646"/>
    </row>
    <row r="540" ht="12.75">
      <c r="AA540" s="646"/>
    </row>
    <row r="541" ht="12.75">
      <c r="AA541" s="646"/>
    </row>
    <row r="542" ht="12.75">
      <c r="AA542" s="646"/>
    </row>
    <row r="543" ht="12.75">
      <c r="AA543" s="646"/>
    </row>
    <row r="544" ht="12.75">
      <c r="AA544" s="646"/>
    </row>
    <row r="545" ht="12.75">
      <c r="AA545" s="646"/>
    </row>
    <row r="546" ht="12.75">
      <c r="AA546" s="646"/>
    </row>
    <row r="547" ht="12.75">
      <c r="AA547" s="646"/>
    </row>
    <row r="548" ht="12.75">
      <c r="AA548" s="646"/>
    </row>
    <row r="549" ht="12.75">
      <c r="AA549" s="646"/>
    </row>
    <row r="550" ht="12.75">
      <c r="AA550" s="646"/>
    </row>
    <row r="551" ht="12.75">
      <c r="AA551" s="646"/>
    </row>
    <row r="552" ht="12.75">
      <c r="AA552" s="646"/>
    </row>
    <row r="553" ht="12.75">
      <c r="AA553" s="646"/>
    </row>
    <row r="554" ht="12.75">
      <c r="AA554" s="646"/>
    </row>
    <row r="555" ht="12.75">
      <c r="AA555" s="646"/>
    </row>
    <row r="556" ht="12.75">
      <c r="AA556" s="646"/>
    </row>
    <row r="557" ht="12.75">
      <c r="AA557" s="646"/>
    </row>
    <row r="558" ht="12.75">
      <c r="AA558" s="646"/>
    </row>
    <row r="559" ht="12.75">
      <c r="AA559" s="646"/>
    </row>
    <row r="560" ht="12.75">
      <c r="AA560" s="646"/>
    </row>
    <row r="561" ht="12.75">
      <c r="AA561" s="646"/>
    </row>
    <row r="562" ht="12.75">
      <c r="AA562" s="646"/>
    </row>
    <row r="563" ht="12.75">
      <c r="AA563" s="646"/>
    </row>
    <row r="564" ht="12.75">
      <c r="AA564" s="646"/>
    </row>
    <row r="565" ht="12.75">
      <c r="AA565" s="646"/>
    </row>
    <row r="566" ht="12.75">
      <c r="AA566" s="646"/>
    </row>
    <row r="567" ht="12.75">
      <c r="AA567" s="646"/>
    </row>
    <row r="568" ht="12.75">
      <c r="AA568" s="646"/>
    </row>
    <row r="569" ht="12.75">
      <c r="AA569" s="646"/>
    </row>
    <row r="570" ht="12.75">
      <c r="AA570" s="646"/>
    </row>
    <row r="571" ht="12.75">
      <c r="AA571" s="646"/>
    </row>
    <row r="572" ht="12.75">
      <c r="AA572" s="646"/>
    </row>
    <row r="573" ht="12.75">
      <c r="AA573" s="646"/>
    </row>
    <row r="574" ht="12.75">
      <c r="AA574" s="646"/>
    </row>
    <row r="575" ht="12.75">
      <c r="AA575" s="646"/>
    </row>
    <row r="576" ht="12.75">
      <c r="AA576" s="646"/>
    </row>
    <row r="577" ht="12.75">
      <c r="AA577" s="646"/>
    </row>
    <row r="578" ht="12.75">
      <c r="AA578" s="646"/>
    </row>
    <row r="579" ht="12.75">
      <c r="AA579" s="646"/>
    </row>
    <row r="580" ht="12.75">
      <c r="AA580" s="646"/>
    </row>
    <row r="581" ht="12.75">
      <c r="AA581" s="646"/>
    </row>
    <row r="582" ht="12.75">
      <c r="AA582" s="646"/>
    </row>
    <row r="583" ht="12.75">
      <c r="AA583" s="646"/>
    </row>
    <row r="584" ht="12.75">
      <c r="AA584" s="646"/>
    </row>
    <row r="585" ht="12.75">
      <c r="AA585" s="646"/>
    </row>
    <row r="586" ht="12.75">
      <c r="AA586" s="646"/>
    </row>
    <row r="587" ht="12.75">
      <c r="AA587" s="646"/>
    </row>
    <row r="588" ht="12.75">
      <c r="AA588" s="646"/>
    </row>
    <row r="589" ht="12.75">
      <c r="AA589" s="646"/>
    </row>
    <row r="590" ht="12.75">
      <c r="AA590" s="646"/>
    </row>
    <row r="591" ht="12.75">
      <c r="AA591" s="646"/>
    </row>
    <row r="592" ht="12.75">
      <c r="AA592" s="646"/>
    </row>
    <row r="593" ht="12.75">
      <c r="AA593" s="646"/>
    </row>
    <row r="594" ht="12.75">
      <c r="AA594" s="646"/>
    </row>
    <row r="595" ht="12.75">
      <c r="AA595" s="646"/>
    </row>
    <row r="596" ht="12.75">
      <c r="AA596" s="646"/>
    </row>
    <row r="597" ht="12.75">
      <c r="AA597" s="646"/>
    </row>
    <row r="598" ht="12.75">
      <c r="AA598" s="646"/>
    </row>
    <row r="599" ht="12.75">
      <c r="AA599" s="646"/>
    </row>
    <row r="600" ht="12.75">
      <c r="AA600" s="646"/>
    </row>
    <row r="601" ht="12.75">
      <c r="AA601" s="646"/>
    </row>
    <row r="602" ht="12.75">
      <c r="AA602" s="646"/>
    </row>
    <row r="603" ht="12.75">
      <c r="AA603" s="646"/>
    </row>
    <row r="604" ht="12.75">
      <c r="AA604" s="646"/>
    </row>
    <row r="605" ht="12.75">
      <c r="AA605" s="646"/>
    </row>
    <row r="606" ht="12.75">
      <c r="AA606" s="646"/>
    </row>
    <row r="607" ht="12.75">
      <c r="AA607" s="646"/>
    </row>
    <row r="608" ht="12.75">
      <c r="AA608" s="646"/>
    </row>
    <row r="609" ht="12.75">
      <c r="AA609" s="646"/>
    </row>
    <row r="610" ht="12.75">
      <c r="AA610" s="646"/>
    </row>
    <row r="611" ht="12.75">
      <c r="AA611" s="646"/>
    </row>
    <row r="612" ht="12.75">
      <c r="AA612" s="646"/>
    </row>
    <row r="613" ht="12.75">
      <c r="AA613" s="646"/>
    </row>
    <row r="614" ht="12.75">
      <c r="AA614" s="646"/>
    </row>
    <row r="615" ht="12.75">
      <c r="AA615" s="646"/>
    </row>
    <row r="616" ht="12.75">
      <c r="AA616" s="646"/>
    </row>
    <row r="617" ht="12.75">
      <c r="AA617" s="646"/>
    </row>
    <row r="618" ht="12.75">
      <c r="AA618" s="646"/>
    </row>
    <row r="619" ht="12.75">
      <c r="AA619" s="646"/>
    </row>
    <row r="620" ht="12.75">
      <c r="AA620" s="646"/>
    </row>
    <row r="621" ht="12.75">
      <c r="AA621" s="646"/>
    </row>
    <row r="622" ht="12.75">
      <c r="AA622" s="646"/>
    </row>
    <row r="623" ht="12.75">
      <c r="AA623" s="646"/>
    </row>
    <row r="624" ht="12.75">
      <c r="AA624" s="646"/>
    </row>
    <row r="625" ht="12.75">
      <c r="AA625" s="646"/>
    </row>
    <row r="626" ht="12.75">
      <c r="AA626" s="646"/>
    </row>
    <row r="627" ht="12.75">
      <c r="AA627" s="646"/>
    </row>
    <row r="628" ht="12.75">
      <c r="AA628" s="646"/>
    </row>
    <row r="629" ht="12.75">
      <c r="AA629" s="646"/>
    </row>
    <row r="630" ht="12.75">
      <c r="AA630" s="646"/>
    </row>
    <row r="631" ht="12.75">
      <c r="AA631" s="646"/>
    </row>
    <row r="632" ht="12.75">
      <c r="AA632" s="646"/>
    </row>
    <row r="633" ht="12.75">
      <c r="AA633" s="646"/>
    </row>
    <row r="634" ht="12.75">
      <c r="AA634" s="646"/>
    </row>
    <row r="635" ht="12.75">
      <c r="AA635" s="646"/>
    </row>
    <row r="636" ht="12.75">
      <c r="AA636" s="646"/>
    </row>
    <row r="637" ht="12.75">
      <c r="AA637" s="646"/>
    </row>
    <row r="638" ht="12.75">
      <c r="AA638" s="646"/>
    </row>
    <row r="639" ht="12.75">
      <c r="AA639" s="646"/>
    </row>
    <row r="640" ht="12.75">
      <c r="AA640" s="646"/>
    </row>
    <row r="641" ht="12.75">
      <c r="AA641" s="646"/>
    </row>
    <row r="642" ht="12.75">
      <c r="AA642" s="646"/>
    </row>
    <row r="643" ht="12.75">
      <c r="AA643" s="646"/>
    </row>
    <row r="644" ht="12.75">
      <c r="AA644" s="646"/>
    </row>
    <row r="645" ht="12.75">
      <c r="AA645" s="646"/>
    </row>
    <row r="646" ht="12.75">
      <c r="AA646" s="646"/>
    </row>
    <row r="647" ht="12.75">
      <c r="AA647" s="646"/>
    </row>
    <row r="648" ht="12.75">
      <c r="AA648" s="646"/>
    </row>
    <row r="649" ht="12.75">
      <c r="AA649" s="646"/>
    </row>
    <row r="650" ht="12.75">
      <c r="AA650" s="646"/>
    </row>
    <row r="651" ht="12.75">
      <c r="AA651" s="646"/>
    </row>
    <row r="652" ht="12.75">
      <c r="AA652" s="646"/>
    </row>
    <row r="653" ht="12.75">
      <c r="AA653" s="646"/>
    </row>
    <row r="654" ht="12.75">
      <c r="AA654" s="646"/>
    </row>
    <row r="655" ht="12.75">
      <c r="AA655" s="646"/>
    </row>
    <row r="656" ht="12.75">
      <c r="AA656" s="646"/>
    </row>
    <row r="657" ht="12.75">
      <c r="AA657" s="646"/>
    </row>
    <row r="658" ht="12.75">
      <c r="AA658" s="646"/>
    </row>
    <row r="659" ht="12.75">
      <c r="AA659" s="646"/>
    </row>
    <row r="660" ht="12.75">
      <c r="AA660" s="646"/>
    </row>
    <row r="661" ht="12.75">
      <c r="AA661" s="646"/>
    </row>
    <row r="662" ht="12.75">
      <c r="AA662" s="646"/>
    </row>
    <row r="663" ht="12.75">
      <c r="AA663" s="646"/>
    </row>
    <row r="664" ht="12.75">
      <c r="AA664" s="646"/>
    </row>
    <row r="665" ht="12.75">
      <c r="AA665" s="646"/>
    </row>
    <row r="666" ht="12.75">
      <c r="AA666" s="646"/>
    </row>
    <row r="667" ht="12.75">
      <c r="AA667" s="646"/>
    </row>
    <row r="668" ht="12.75">
      <c r="AA668" s="646"/>
    </row>
    <row r="669" ht="12.75">
      <c r="AA669" s="646"/>
    </row>
    <row r="670" ht="12.75">
      <c r="AA670" s="646"/>
    </row>
    <row r="671" ht="12.75">
      <c r="AA671" s="646"/>
    </row>
    <row r="672" ht="12.75">
      <c r="AA672" s="646"/>
    </row>
    <row r="673" ht="12.75">
      <c r="AA673" s="646"/>
    </row>
    <row r="674" ht="12.75">
      <c r="AA674" s="646"/>
    </row>
    <row r="675" ht="12.75">
      <c r="AA675" s="646"/>
    </row>
    <row r="676" ht="12.75">
      <c r="AA676" s="646"/>
    </row>
    <row r="677" ht="12.75">
      <c r="AA677" s="646"/>
    </row>
    <row r="678" ht="12.75">
      <c r="AA678" s="646"/>
    </row>
    <row r="679" ht="12.75">
      <c r="AA679" s="646"/>
    </row>
    <row r="680" ht="12.75">
      <c r="AA680" s="646"/>
    </row>
    <row r="681" ht="12.75">
      <c r="AA681" s="646"/>
    </row>
    <row r="682" ht="12.75">
      <c r="AA682" s="646"/>
    </row>
    <row r="683" ht="12.75">
      <c r="AA683" s="646"/>
    </row>
    <row r="684" ht="12.75">
      <c r="AA684" s="646"/>
    </row>
    <row r="685" ht="12.75">
      <c r="AA685" s="646"/>
    </row>
    <row r="686" ht="12.75">
      <c r="AA686" s="646"/>
    </row>
    <row r="687" ht="12.75">
      <c r="AA687" s="646"/>
    </row>
    <row r="688" ht="12.75">
      <c r="AA688" s="646"/>
    </row>
    <row r="689" ht="12.75">
      <c r="AA689" s="646"/>
    </row>
    <row r="690" ht="12.75">
      <c r="AA690" s="646"/>
    </row>
    <row r="691" ht="12.75">
      <c r="AA691" s="646"/>
    </row>
    <row r="692" ht="12.75">
      <c r="AA692" s="646"/>
    </row>
    <row r="693" ht="12.75">
      <c r="AA693" s="646"/>
    </row>
    <row r="694" ht="12.75">
      <c r="AA694" s="646"/>
    </row>
    <row r="695" ht="12.75">
      <c r="AA695" s="646"/>
    </row>
    <row r="696" ht="12.75">
      <c r="AA696" s="646"/>
    </row>
    <row r="697" ht="12.75">
      <c r="AA697" s="646"/>
    </row>
    <row r="698" ht="12.75">
      <c r="AA698" s="646"/>
    </row>
    <row r="699" ht="12.75">
      <c r="AA699" s="646"/>
    </row>
    <row r="700" ht="12.75">
      <c r="AA700" s="646"/>
    </row>
    <row r="701" ht="12.75">
      <c r="AA701" s="646"/>
    </row>
    <row r="702" ht="12.75">
      <c r="AA702" s="646"/>
    </row>
    <row r="703" ht="12.75">
      <c r="AA703" s="646"/>
    </row>
    <row r="704" ht="12.75">
      <c r="AA704" s="646"/>
    </row>
    <row r="705" ht="12.75">
      <c r="AA705" s="646"/>
    </row>
    <row r="706" ht="12.75">
      <c r="AA706" s="646"/>
    </row>
    <row r="707" ht="12.75">
      <c r="AA707" s="646"/>
    </row>
    <row r="708" ht="12.75">
      <c r="AA708" s="646"/>
    </row>
    <row r="709" ht="12.75">
      <c r="AA709" s="646"/>
    </row>
    <row r="710" ht="12.75">
      <c r="AA710" s="646"/>
    </row>
    <row r="711" ht="12.75">
      <c r="AA711" s="646"/>
    </row>
    <row r="712" ht="12.75">
      <c r="AA712" s="646"/>
    </row>
    <row r="713" ht="12.75">
      <c r="AA713" s="646"/>
    </row>
    <row r="714" ht="12.75">
      <c r="AA714" s="646"/>
    </row>
    <row r="715" ht="12.75">
      <c r="AA715" s="646"/>
    </row>
    <row r="716" ht="12.75">
      <c r="AA716" s="646"/>
    </row>
    <row r="717" ht="12.75">
      <c r="AA717" s="646"/>
    </row>
    <row r="718" ht="12.75">
      <c r="AA718" s="646"/>
    </row>
    <row r="719" ht="12.75">
      <c r="AA719" s="646"/>
    </row>
    <row r="720" ht="12.75">
      <c r="AA720" s="646"/>
    </row>
    <row r="721" ht="12.75">
      <c r="AA721" s="646"/>
    </row>
    <row r="722" ht="12.75">
      <c r="AA722" s="646"/>
    </row>
    <row r="723" ht="12.75">
      <c r="AA723" s="646"/>
    </row>
    <row r="724" ht="12.75">
      <c r="AA724" s="646"/>
    </row>
    <row r="725" ht="12.75">
      <c r="AA725" s="646"/>
    </row>
    <row r="726" ht="12.75">
      <c r="AA726" s="646"/>
    </row>
    <row r="727" ht="12.75">
      <c r="AA727" s="646"/>
    </row>
    <row r="728" ht="12.75">
      <c r="AA728" s="646"/>
    </row>
    <row r="729" ht="12.75">
      <c r="AA729" s="646"/>
    </row>
    <row r="730" ht="12.75">
      <c r="AA730" s="646"/>
    </row>
    <row r="731" ht="12.75">
      <c r="AA731" s="646"/>
    </row>
    <row r="732" ht="12.75">
      <c r="AA732" s="646"/>
    </row>
    <row r="733" ht="12.75">
      <c r="AA733" s="646"/>
    </row>
    <row r="734" ht="12.75">
      <c r="AA734" s="646"/>
    </row>
    <row r="735" ht="12.75">
      <c r="AA735" s="646"/>
    </row>
    <row r="736" ht="12.75">
      <c r="AA736" s="646"/>
    </row>
    <row r="737" ht="12.75">
      <c r="AA737" s="646"/>
    </row>
    <row r="738" ht="12.75">
      <c r="AA738" s="646"/>
    </row>
    <row r="739" ht="12.75">
      <c r="AA739" s="646"/>
    </row>
    <row r="740" ht="12.75">
      <c r="AA740" s="646"/>
    </row>
  </sheetData>
  <conditionalFormatting sqref="J32:J34">
    <cfRule type="cellIs" priority="1" dxfId="0" operator="lessThan" stopIfTrue="1">
      <formula>0</formula>
    </cfRule>
  </conditionalFormatting>
  <printOptions/>
  <pageMargins left="0.1968503937007874" right="0.1968503937007874" top="0.3937007874015748" bottom="0.5905511811023623" header="0.5118110236220472" footer="0.5118110236220472"/>
  <pageSetup firstPageNumber="40" useFirstPageNumber="1" horizontalDpi="600" verticalDpi="600" orientation="landscape" paperSize="9" scale="53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4"/>
  <sheetViews>
    <sheetView zoomScale="75" zoomScaleNormal="75" workbookViewId="0" topLeftCell="A4">
      <selection activeCell="B32" sqref="B32:B33"/>
    </sheetView>
  </sheetViews>
  <sheetFormatPr defaultColWidth="9.00390625" defaultRowHeight="12.75"/>
  <cols>
    <col min="1" max="1" width="6.00390625" style="77" customWidth="1"/>
    <col min="2" max="2" width="8.25390625" style="77" customWidth="1"/>
    <col min="3" max="3" width="47.875" style="78" customWidth="1"/>
    <col min="4" max="4" width="18.75390625" style="79" customWidth="1"/>
    <col min="5" max="12" width="13.75390625" style="79" customWidth="1"/>
    <col min="13" max="16" width="13.75390625" style="80" customWidth="1"/>
    <col min="17" max="17" width="28.125" style="79" customWidth="1"/>
    <col min="18" max="18" width="46.00390625" style="79" customWidth="1"/>
    <col min="19" max="19" width="46.25390625" style="79" customWidth="1"/>
    <col min="20" max="20" width="33.875" style="79" customWidth="1"/>
    <col min="21" max="21" width="37.125" style="79" customWidth="1"/>
    <col min="22" max="16384" width="9.125" style="79" customWidth="1"/>
  </cols>
  <sheetData>
    <row r="1" spans="14:15" ht="15">
      <c r="N1" s="79" t="s">
        <v>570</v>
      </c>
      <c r="O1" s="79"/>
    </row>
    <row r="2" spans="2:15" ht="15" customHeight="1">
      <c r="B2" s="8"/>
      <c r="N2" s="79" t="s">
        <v>163</v>
      </c>
      <c r="O2" s="79"/>
    </row>
    <row r="3" spans="3:15" ht="15.75">
      <c r="C3" s="81" t="s">
        <v>283</v>
      </c>
      <c r="N3" s="79" t="s">
        <v>284</v>
      </c>
      <c r="O3" s="79"/>
    </row>
    <row r="4" spans="14:15" ht="14.25" customHeight="1">
      <c r="N4" s="79" t="s">
        <v>355</v>
      </c>
      <c r="O4" s="79"/>
    </row>
    <row r="5" spans="3:12" ht="6" customHeight="1">
      <c r="C5" s="82"/>
      <c r="D5" s="80"/>
      <c r="E5" s="80"/>
      <c r="F5" s="80"/>
      <c r="G5" s="80"/>
      <c r="H5" s="80"/>
      <c r="I5" s="80"/>
      <c r="J5" s="80"/>
      <c r="K5" s="80"/>
      <c r="L5" s="80"/>
    </row>
    <row r="6" spans="3:16" ht="20.25" customHeight="1" thickBot="1">
      <c r="C6" s="82"/>
      <c r="D6" s="80"/>
      <c r="E6" s="80"/>
      <c r="F6" s="80"/>
      <c r="G6" s="80"/>
      <c r="H6" s="80"/>
      <c r="I6" s="80"/>
      <c r="J6" s="80"/>
      <c r="K6" s="80"/>
      <c r="L6" s="80"/>
      <c r="M6" s="83"/>
      <c r="N6" s="83"/>
      <c r="O6" s="83"/>
      <c r="P6" s="439" t="s">
        <v>184</v>
      </c>
    </row>
    <row r="7" spans="1:16" ht="18" customHeight="1" thickTop="1">
      <c r="A7" s="84"/>
      <c r="B7" s="84"/>
      <c r="C7" s="85" t="s">
        <v>277</v>
      </c>
      <c r="D7" s="1578" t="s">
        <v>187</v>
      </c>
      <c r="E7" s="1575" t="s">
        <v>285</v>
      </c>
      <c r="F7" s="1576"/>
      <c r="G7" s="1576"/>
      <c r="H7" s="1576"/>
      <c r="I7" s="1576"/>
      <c r="J7" s="1576"/>
      <c r="K7" s="1576"/>
      <c r="L7" s="1576"/>
      <c r="M7" s="1576"/>
      <c r="N7" s="1576"/>
      <c r="O7" s="1576"/>
      <c r="P7" s="1577"/>
    </row>
    <row r="8" spans="1:16" ht="26.25" customHeight="1" thickBot="1">
      <c r="A8" s="86" t="s">
        <v>179</v>
      </c>
      <c r="B8" s="87" t="s">
        <v>286</v>
      </c>
      <c r="C8" s="88" t="s">
        <v>287</v>
      </c>
      <c r="D8" s="1579"/>
      <c r="E8" s="88" t="s">
        <v>289</v>
      </c>
      <c r="F8" s="88" t="s">
        <v>290</v>
      </c>
      <c r="G8" s="88" t="s">
        <v>291</v>
      </c>
      <c r="H8" s="88" t="s">
        <v>292</v>
      </c>
      <c r="I8" s="88" t="s">
        <v>293</v>
      </c>
      <c r="J8" s="88" t="s">
        <v>294</v>
      </c>
      <c r="K8" s="88" t="s">
        <v>295</v>
      </c>
      <c r="L8" s="88" t="s">
        <v>296</v>
      </c>
      <c r="M8" s="89" t="s">
        <v>297</v>
      </c>
      <c r="N8" s="89" t="s">
        <v>298</v>
      </c>
      <c r="O8" s="89" t="s">
        <v>299</v>
      </c>
      <c r="P8" s="89" t="s">
        <v>300</v>
      </c>
    </row>
    <row r="9" spans="1:22" s="94" customFormat="1" ht="14.25" thickBot="1" thickTop="1">
      <c r="A9" s="90">
        <v>1</v>
      </c>
      <c r="B9" s="90">
        <v>2</v>
      </c>
      <c r="C9" s="91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  <c r="I9" s="92">
        <v>9</v>
      </c>
      <c r="J9" s="92">
        <v>10</v>
      </c>
      <c r="K9" s="92">
        <v>11</v>
      </c>
      <c r="L9" s="92">
        <v>12</v>
      </c>
      <c r="M9" s="92">
        <v>13</v>
      </c>
      <c r="N9" s="92">
        <v>14</v>
      </c>
      <c r="O9" s="92">
        <v>15</v>
      </c>
      <c r="P9" s="92">
        <v>16</v>
      </c>
      <c r="Q9" s="93"/>
      <c r="R9" s="93"/>
      <c r="S9" s="93"/>
      <c r="T9" s="93"/>
      <c r="U9" s="93"/>
      <c r="V9" s="93"/>
    </row>
    <row r="10" spans="1:26" s="8" customFormat="1" ht="30.75" customHeight="1" thickBot="1" thickTop="1">
      <c r="A10" s="95"/>
      <c r="B10" s="96"/>
      <c r="C10" s="97" t="s">
        <v>301</v>
      </c>
      <c r="D10" s="99">
        <f>SUM(E10:P10)</f>
        <v>1236426</v>
      </c>
      <c r="E10" s="99"/>
      <c r="F10" s="99"/>
      <c r="G10" s="99"/>
      <c r="H10" s="99"/>
      <c r="I10" s="99"/>
      <c r="J10" s="99">
        <f>J11</f>
        <v>1047583</v>
      </c>
      <c r="K10" s="99">
        <f>K11</f>
        <v>182067</v>
      </c>
      <c r="L10" s="99">
        <f aca="true" t="shared" si="0" ref="L10:P11">L11</f>
        <v>775</v>
      </c>
      <c r="M10" s="99">
        <f t="shared" si="0"/>
        <v>775</v>
      </c>
      <c r="N10" s="99">
        <f t="shared" si="0"/>
        <v>3675</v>
      </c>
      <c r="O10" s="99">
        <f t="shared" si="0"/>
        <v>775</v>
      </c>
      <c r="P10" s="99">
        <f t="shared" si="0"/>
        <v>776</v>
      </c>
      <c r="Q10" s="100"/>
      <c r="R10" s="101"/>
      <c r="S10" s="101"/>
      <c r="T10" s="101"/>
      <c r="U10" s="101"/>
      <c r="V10" s="101"/>
      <c r="W10" s="102"/>
      <c r="X10" s="102"/>
      <c r="Y10" s="102"/>
      <c r="Z10" s="102"/>
    </row>
    <row r="11" spans="1:26" s="108" customFormat="1" ht="24" customHeight="1" thickBot="1" thickTop="1">
      <c r="A11" s="103"/>
      <c r="B11" s="103"/>
      <c r="C11" s="104" t="s">
        <v>280</v>
      </c>
      <c r="D11" s="105">
        <f aca="true" t="shared" si="1" ref="D11:D30">SUM(E11:P11)</f>
        <v>1236426</v>
      </c>
      <c r="E11" s="105"/>
      <c r="F11" s="105"/>
      <c r="G11" s="105"/>
      <c r="H11" s="105"/>
      <c r="I11" s="105"/>
      <c r="J11" s="105">
        <f>J12</f>
        <v>1047583</v>
      </c>
      <c r="K11" s="105">
        <f>K12</f>
        <v>182067</v>
      </c>
      <c r="L11" s="105">
        <f t="shared" si="0"/>
        <v>775</v>
      </c>
      <c r="M11" s="105">
        <f t="shared" si="0"/>
        <v>775</v>
      </c>
      <c r="N11" s="105">
        <f t="shared" si="0"/>
        <v>3675</v>
      </c>
      <c r="O11" s="105">
        <f t="shared" si="0"/>
        <v>775</v>
      </c>
      <c r="P11" s="105">
        <f t="shared" si="0"/>
        <v>776</v>
      </c>
      <c r="Q11" s="106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16" ht="23.25" customHeight="1" thickTop="1">
      <c r="A12" s="421"/>
      <c r="B12" s="421"/>
      <c r="C12" s="422" t="s">
        <v>304</v>
      </c>
      <c r="D12" s="109">
        <f t="shared" si="1"/>
        <v>1236426</v>
      </c>
      <c r="E12" s="109"/>
      <c r="F12" s="109"/>
      <c r="G12" s="109"/>
      <c r="H12" s="109"/>
      <c r="I12" s="109"/>
      <c r="J12" s="109">
        <f aca="true" t="shared" si="2" ref="J12:P12">J13+J20</f>
        <v>1047583</v>
      </c>
      <c r="K12" s="109">
        <f t="shared" si="2"/>
        <v>182067</v>
      </c>
      <c r="L12" s="109">
        <f t="shared" si="2"/>
        <v>775</v>
      </c>
      <c r="M12" s="109">
        <f t="shared" si="2"/>
        <v>775</v>
      </c>
      <c r="N12" s="109">
        <f t="shared" si="2"/>
        <v>3675</v>
      </c>
      <c r="O12" s="109">
        <f t="shared" si="2"/>
        <v>775</v>
      </c>
      <c r="P12" s="109">
        <f t="shared" si="2"/>
        <v>776</v>
      </c>
    </row>
    <row r="13" spans="1:16" s="112" customFormat="1" ht="23.25" customHeight="1">
      <c r="A13" s="423"/>
      <c r="B13" s="423"/>
      <c r="C13" s="1297" t="s">
        <v>302</v>
      </c>
      <c r="D13" s="114">
        <f t="shared" si="1"/>
        <v>33297</v>
      </c>
      <c r="E13" s="114"/>
      <c r="F13" s="114"/>
      <c r="G13" s="114"/>
      <c r="H13" s="114"/>
      <c r="I13" s="114"/>
      <c r="J13" s="114">
        <f>J17+J14</f>
        <v>33297</v>
      </c>
      <c r="K13" s="114"/>
      <c r="L13" s="114"/>
      <c r="M13" s="114"/>
      <c r="N13" s="114"/>
      <c r="O13" s="114"/>
      <c r="P13" s="114"/>
    </row>
    <row r="14" spans="1:16" s="112" customFormat="1" ht="33" customHeight="1" thickBot="1">
      <c r="A14" s="435"/>
      <c r="B14" s="424"/>
      <c r="C14" s="425" t="s">
        <v>190</v>
      </c>
      <c r="D14" s="111">
        <f t="shared" si="1"/>
        <v>9697</v>
      </c>
      <c r="E14" s="111"/>
      <c r="F14" s="111"/>
      <c r="G14" s="111"/>
      <c r="H14" s="111"/>
      <c r="I14" s="111"/>
      <c r="J14" s="111">
        <f>J15</f>
        <v>9697</v>
      </c>
      <c r="K14" s="111"/>
      <c r="L14" s="111"/>
      <c r="M14" s="111"/>
      <c r="N14" s="111"/>
      <c r="O14" s="111"/>
      <c r="P14" s="111"/>
    </row>
    <row r="15" spans="1:16" s="113" customFormat="1" ht="24" customHeight="1" thickBot="1" thickTop="1">
      <c r="A15" s="426">
        <v>801</v>
      </c>
      <c r="B15" s="426"/>
      <c r="C15" s="428" t="s">
        <v>395</v>
      </c>
      <c r="D15" s="98">
        <f t="shared" si="1"/>
        <v>9697</v>
      </c>
      <c r="E15" s="98"/>
      <c r="F15" s="98"/>
      <c r="G15" s="98"/>
      <c r="H15" s="98"/>
      <c r="I15" s="98"/>
      <c r="J15" s="98">
        <f>J16</f>
        <v>9697</v>
      </c>
      <c r="K15" s="98"/>
      <c r="L15" s="98"/>
      <c r="M15" s="98"/>
      <c r="N15" s="98"/>
      <c r="O15" s="98"/>
      <c r="P15" s="98"/>
    </row>
    <row r="16" spans="1:16" ht="21.75" customHeight="1">
      <c r="A16" s="1296"/>
      <c r="B16" s="427">
        <v>80195</v>
      </c>
      <c r="C16" s="429" t="s">
        <v>401</v>
      </c>
      <c r="D16" s="115">
        <f t="shared" si="1"/>
        <v>9697</v>
      </c>
      <c r="E16" s="115"/>
      <c r="F16" s="115"/>
      <c r="G16" s="115"/>
      <c r="H16" s="115"/>
      <c r="I16" s="115"/>
      <c r="J16" s="115">
        <v>9697</v>
      </c>
      <c r="K16" s="115"/>
      <c r="L16" s="115"/>
      <c r="M16" s="115"/>
      <c r="N16" s="115"/>
      <c r="O16" s="115"/>
      <c r="P16" s="115"/>
    </row>
    <row r="17" spans="1:16" s="112" customFormat="1" ht="51.75" customHeight="1" thickBot="1">
      <c r="A17" s="435"/>
      <c r="B17" s="424"/>
      <c r="C17" s="425" t="s">
        <v>158</v>
      </c>
      <c r="D17" s="111">
        <f t="shared" si="1"/>
        <v>23600</v>
      </c>
      <c r="E17" s="111"/>
      <c r="F17" s="111"/>
      <c r="G17" s="111"/>
      <c r="H17" s="111"/>
      <c r="I17" s="111"/>
      <c r="J17" s="111">
        <f>J18</f>
        <v>23600</v>
      </c>
      <c r="K17" s="111"/>
      <c r="L17" s="111"/>
      <c r="M17" s="111"/>
      <c r="N17" s="111"/>
      <c r="O17" s="111"/>
      <c r="P17" s="111"/>
    </row>
    <row r="18" spans="1:16" s="113" customFormat="1" ht="24" customHeight="1" thickBot="1" thickTop="1">
      <c r="A18" s="426">
        <v>852</v>
      </c>
      <c r="B18" s="426"/>
      <c r="C18" s="428" t="s">
        <v>324</v>
      </c>
      <c r="D18" s="98">
        <f t="shared" si="1"/>
        <v>23600</v>
      </c>
      <c r="E18" s="98"/>
      <c r="F18" s="98"/>
      <c r="G18" s="98"/>
      <c r="H18" s="98"/>
      <c r="I18" s="98"/>
      <c r="J18" s="98">
        <f>J19</f>
        <v>23600</v>
      </c>
      <c r="K18" s="98"/>
      <c r="L18" s="98"/>
      <c r="M18" s="98"/>
      <c r="N18" s="98"/>
      <c r="O18" s="98"/>
      <c r="P18" s="98"/>
    </row>
    <row r="19" spans="1:16" ht="21.75" customHeight="1">
      <c r="A19" s="1296"/>
      <c r="B19" s="427">
        <v>85278</v>
      </c>
      <c r="C19" s="429" t="s">
        <v>157</v>
      </c>
      <c r="D19" s="115">
        <f t="shared" si="1"/>
        <v>23600</v>
      </c>
      <c r="E19" s="115"/>
      <c r="F19" s="115"/>
      <c r="G19" s="115"/>
      <c r="H19" s="115"/>
      <c r="I19" s="115"/>
      <c r="J19" s="115">
        <v>23600</v>
      </c>
      <c r="K19" s="115"/>
      <c r="L19" s="115"/>
      <c r="M19" s="115"/>
      <c r="N19" s="115"/>
      <c r="O19" s="115"/>
      <c r="P19" s="115"/>
    </row>
    <row r="20" spans="1:16" ht="24" customHeight="1">
      <c r="A20" s="367"/>
      <c r="B20" s="367"/>
      <c r="C20" s="1213" t="s">
        <v>282</v>
      </c>
      <c r="D20" s="116">
        <f t="shared" si="1"/>
        <v>1203129</v>
      </c>
      <c r="E20" s="116"/>
      <c r="F20" s="116"/>
      <c r="G20" s="116"/>
      <c r="H20" s="116"/>
      <c r="I20" s="116"/>
      <c r="J20" s="116">
        <f>J24+J21</f>
        <v>1014286</v>
      </c>
      <c r="K20" s="116">
        <f aca="true" t="shared" si="3" ref="K20:P20">K24+K21</f>
        <v>182067</v>
      </c>
      <c r="L20" s="116">
        <f t="shared" si="3"/>
        <v>775</v>
      </c>
      <c r="M20" s="116">
        <f t="shared" si="3"/>
        <v>775</v>
      </c>
      <c r="N20" s="116">
        <f t="shared" si="3"/>
        <v>3675</v>
      </c>
      <c r="O20" s="116">
        <f t="shared" si="3"/>
        <v>775</v>
      </c>
      <c r="P20" s="116">
        <f t="shared" si="3"/>
        <v>776</v>
      </c>
    </row>
    <row r="21" spans="1:16" s="112" customFormat="1" ht="51" customHeight="1" thickBot="1">
      <c r="A21" s="424"/>
      <c r="B21" s="424"/>
      <c r="C21" s="425" t="s">
        <v>691</v>
      </c>
      <c r="D21" s="111">
        <f t="shared" si="1"/>
        <v>11558</v>
      </c>
      <c r="E21" s="111"/>
      <c r="F21" s="111"/>
      <c r="G21" s="111"/>
      <c r="H21" s="111"/>
      <c r="I21" s="111"/>
      <c r="J21" s="111">
        <f>J22</f>
        <v>1016</v>
      </c>
      <c r="K21" s="111">
        <f>K22</f>
        <v>7642</v>
      </c>
      <c r="L21" s="111"/>
      <c r="M21" s="111"/>
      <c r="N21" s="111">
        <f>N22</f>
        <v>2900</v>
      </c>
      <c r="O21" s="111"/>
      <c r="P21" s="111"/>
    </row>
    <row r="22" spans="1:16" s="113" customFormat="1" ht="33" thickBot="1" thickTop="1">
      <c r="A22" s="426">
        <v>853</v>
      </c>
      <c r="B22" s="426"/>
      <c r="C22" s="437" t="s">
        <v>389</v>
      </c>
      <c r="D22" s="98">
        <f t="shared" si="1"/>
        <v>11558</v>
      </c>
      <c r="E22" s="98"/>
      <c r="F22" s="98"/>
      <c r="G22" s="98"/>
      <c r="H22" s="98"/>
      <c r="I22" s="98"/>
      <c r="J22" s="98">
        <f>J23</f>
        <v>1016</v>
      </c>
      <c r="K22" s="98">
        <f>K23</f>
        <v>7642</v>
      </c>
      <c r="L22" s="98"/>
      <c r="M22" s="98"/>
      <c r="N22" s="98">
        <f>N23</f>
        <v>2900</v>
      </c>
      <c r="O22" s="98"/>
      <c r="P22" s="98"/>
    </row>
    <row r="23" spans="1:16" ht="30">
      <c r="A23" s="427"/>
      <c r="B23" s="427">
        <v>85311</v>
      </c>
      <c r="C23" s="1101" t="s">
        <v>216</v>
      </c>
      <c r="D23" s="115">
        <f t="shared" si="1"/>
        <v>11558</v>
      </c>
      <c r="E23" s="115"/>
      <c r="F23" s="115"/>
      <c r="G23" s="115"/>
      <c r="H23" s="115"/>
      <c r="I23" s="115"/>
      <c r="J23" s="115">
        <v>1016</v>
      </c>
      <c r="K23" s="115">
        <v>7642</v>
      </c>
      <c r="L23" s="115"/>
      <c r="M23" s="115"/>
      <c r="N23" s="115">
        <v>2900</v>
      </c>
      <c r="O23" s="115"/>
      <c r="P23" s="115"/>
    </row>
    <row r="24" spans="1:16" s="112" customFormat="1" ht="45.75" thickBot="1">
      <c r="A24" s="435"/>
      <c r="B24" s="424"/>
      <c r="C24" s="425" t="s">
        <v>756</v>
      </c>
      <c r="D24" s="111">
        <f t="shared" si="1"/>
        <v>1191571</v>
      </c>
      <c r="E24" s="111"/>
      <c r="F24" s="111"/>
      <c r="G24" s="111"/>
      <c r="H24" s="111"/>
      <c r="I24" s="111"/>
      <c r="J24" s="111">
        <f aca="true" t="shared" si="4" ref="J24:P24">J29+J27+J25</f>
        <v>1013270</v>
      </c>
      <c r="K24" s="111">
        <f t="shared" si="4"/>
        <v>174425</v>
      </c>
      <c r="L24" s="111">
        <f t="shared" si="4"/>
        <v>775</v>
      </c>
      <c r="M24" s="111">
        <f t="shared" si="4"/>
        <v>775</v>
      </c>
      <c r="N24" s="111">
        <f t="shared" si="4"/>
        <v>775</v>
      </c>
      <c r="O24" s="111">
        <f t="shared" si="4"/>
        <v>775</v>
      </c>
      <c r="P24" s="111">
        <f t="shared" si="4"/>
        <v>776</v>
      </c>
    </row>
    <row r="25" spans="1:16" s="113" customFormat="1" ht="24" customHeight="1" thickBot="1" thickTop="1">
      <c r="A25" s="426">
        <v>700</v>
      </c>
      <c r="B25" s="426"/>
      <c r="C25" s="1299" t="s">
        <v>621</v>
      </c>
      <c r="D25" s="98">
        <f t="shared" si="1"/>
        <v>173650</v>
      </c>
      <c r="E25" s="98"/>
      <c r="F25" s="98"/>
      <c r="G25" s="98"/>
      <c r="H25" s="98"/>
      <c r="I25" s="98"/>
      <c r="J25" s="98"/>
      <c r="K25" s="98">
        <f>K26</f>
        <v>173650</v>
      </c>
      <c r="L25" s="98"/>
      <c r="M25" s="98"/>
      <c r="N25" s="98"/>
      <c r="O25" s="98"/>
      <c r="P25" s="98"/>
    </row>
    <row r="26" spans="1:16" ht="21.75" customHeight="1">
      <c r="A26" s="1296"/>
      <c r="B26" s="427">
        <v>70005</v>
      </c>
      <c r="C26" s="1300" t="s">
        <v>622</v>
      </c>
      <c r="D26" s="115">
        <f t="shared" si="1"/>
        <v>173650</v>
      </c>
      <c r="E26" s="115"/>
      <c r="F26" s="115"/>
      <c r="G26" s="115"/>
      <c r="H26" s="115"/>
      <c r="I26" s="115"/>
      <c r="J26" s="1298"/>
      <c r="K26" s="115">
        <v>173650</v>
      </c>
      <c r="L26" s="115"/>
      <c r="M26" s="115"/>
      <c r="N26" s="115"/>
      <c r="O26" s="115"/>
      <c r="P26" s="115"/>
    </row>
    <row r="27" spans="1:16" s="113" customFormat="1" ht="32.25" thickBot="1">
      <c r="A27" s="426">
        <v>754</v>
      </c>
      <c r="B27" s="426"/>
      <c r="C27" s="437" t="s">
        <v>309</v>
      </c>
      <c r="D27" s="98">
        <f t="shared" si="1"/>
        <v>1010100</v>
      </c>
      <c r="E27" s="98"/>
      <c r="F27" s="98"/>
      <c r="G27" s="98"/>
      <c r="H27" s="98"/>
      <c r="I27" s="98"/>
      <c r="J27" s="98">
        <f>J28</f>
        <v>1010100</v>
      </c>
      <c r="K27" s="98"/>
      <c r="L27" s="98"/>
      <c r="M27" s="98"/>
      <c r="N27" s="98"/>
      <c r="O27" s="98"/>
      <c r="P27" s="98"/>
    </row>
    <row r="28" spans="1:16" ht="30">
      <c r="A28" s="427"/>
      <c r="B28" s="427">
        <v>75411</v>
      </c>
      <c r="C28" s="436" t="s">
        <v>360</v>
      </c>
      <c r="D28" s="115">
        <f t="shared" si="1"/>
        <v>1010100</v>
      </c>
      <c r="E28" s="115"/>
      <c r="F28" s="115"/>
      <c r="G28" s="115"/>
      <c r="H28" s="115"/>
      <c r="I28" s="115"/>
      <c r="J28" s="115">
        <f>948000+62100</f>
        <v>1010100</v>
      </c>
      <c r="K28" s="115"/>
      <c r="L28" s="115"/>
      <c r="M28" s="115"/>
      <c r="N28" s="115"/>
      <c r="O28" s="115"/>
      <c r="P28" s="115"/>
    </row>
    <row r="29" spans="1:16" s="113" customFormat="1" ht="32.25" thickBot="1">
      <c r="A29" s="426">
        <v>853</v>
      </c>
      <c r="B29" s="426"/>
      <c r="C29" s="428" t="s">
        <v>389</v>
      </c>
      <c r="D29" s="98">
        <f t="shared" si="1"/>
        <v>7821</v>
      </c>
      <c r="E29" s="98"/>
      <c r="F29" s="98"/>
      <c r="G29" s="98"/>
      <c r="H29" s="98"/>
      <c r="I29" s="98"/>
      <c r="J29" s="98">
        <f aca="true" t="shared" si="5" ref="J29:P29">J30</f>
        <v>3170</v>
      </c>
      <c r="K29" s="98">
        <f t="shared" si="5"/>
        <v>775</v>
      </c>
      <c r="L29" s="98">
        <f t="shared" si="5"/>
        <v>775</v>
      </c>
      <c r="M29" s="98">
        <f t="shared" si="5"/>
        <v>775</v>
      </c>
      <c r="N29" s="98">
        <f t="shared" si="5"/>
        <v>775</v>
      </c>
      <c r="O29" s="98">
        <f t="shared" si="5"/>
        <v>775</v>
      </c>
      <c r="P29" s="98">
        <f t="shared" si="5"/>
        <v>776</v>
      </c>
    </row>
    <row r="30" spans="1:16" ht="24" customHeight="1">
      <c r="A30" s="427"/>
      <c r="B30" s="427">
        <v>85334</v>
      </c>
      <c r="C30" s="429" t="s">
        <v>623</v>
      </c>
      <c r="D30" s="115">
        <f t="shared" si="1"/>
        <v>7821</v>
      </c>
      <c r="E30" s="115"/>
      <c r="F30" s="115"/>
      <c r="G30" s="115"/>
      <c r="H30" s="115"/>
      <c r="I30" s="115"/>
      <c r="J30" s="115">
        <f>849+2321</f>
        <v>3170</v>
      </c>
      <c r="K30" s="115">
        <v>775</v>
      </c>
      <c r="L30" s="115">
        <v>775</v>
      </c>
      <c r="M30" s="115">
        <v>775</v>
      </c>
      <c r="N30" s="115">
        <v>775</v>
      </c>
      <c r="O30" s="115">
        <v>775</v>
      </c>
      <c r="P30" s="115">
        <v>776</v>
      </c>
    </row>
    <row r="31" spans="1:16" s="110" customFormat="1" ht="21" customHeight="1">
      <c r="A31" s="118"/>
      <c r="B31" s="118"/>
      <c r="C31" s="119"/>
      <c r="D31" s="117"/>
      <c r="E31" s="117"/>
      <c r="F31" s="117"/>
      <c r="G31" s="117"/>
      <c r="H31" s="117"/>
      <c r="I31" s="117"/>
      <c r="J31" s="117"/>
      <c r="K31" s="117"/>
      <c r="L31" s="117"/>
      <c r="M31" s="120"/>
      <c r="N31" s="120"/>
      <c r="O31" s="120"/>
      <c r="P31" s="120"/>
    </row>
    <row r="32" spans="1:16" s="110" customFormat="1" ht="21" customHeight="1">
      <c r="A32" s="118"/>
      <c r="B32" s="1588" t="s">
        <v>17</v>
      </c>
      <c r="C32" s="119"/>
      <c r="D32" s="117"/>
      <c r="E32" s="117"/>
      <c r="F32" s="117"/>
      <c r="G32" s="117"/>
      <c r="H32" s="117"/>
      <c r="I32" s="117"/>
      <c r="J32" s="117"/>
      <c r="K32" s="117"/>
      <c r="L32" s="117"/>
      <c r="N32" s="1593" t="s">
        <v>20</v>
      </c>
      <c r="O32" s="120"/>
      <c r="P32" s="120"/>
    </row>
    <row r="33" spans="1:16" s="110" customFormat="1" ht="21" customHeight="1">
      <c r="A33" s="118"/>
      <c r="B33" s="1589" t="s">
        <v>19</v>
      </c>
      <c r="C33" s="119"/>
      <c r="D33" s="117"/>
      <c r="E33" s="117"/>
      <c r="F33" s="117"/>
      <c r="H33" s="117"/>
      <c r="I33" s="117"/>
      <c r="J33" s="117"/>
      <c r="K33" s="117"/>
      <c r="L33" s="117"/>
      <c r="N33" s="1594" t="s">
        <v>18</v>
      </c>
      <c r="O33" s="120"/>
      <c r="P33" s="120"/>
    </row>
    <row r="34" spans="1:16" s="110" customFormat="1" ht="21" customHeight="1">
      <c r="A34" s="118"/>
      <c r="B34" s="118"/>
      <c r="C34" s="119"/>
      <c r="D34" s="117"/>
      <c r="E34" s="117"/>
      <c r="F34" s="117"/>
      <c r="G34" s="117"/>
      <c r="H34" s="117"/>
      <c r="I34" s="117"/>
      <c r="J34" s="117"/>
      <c r="K34" s="117"/>
      <c r="L34" s="117"/>
      <c r="M34" s="120"/>
      <c r="N34" s="120"/>
      <c r="O34" s="120"/>
      <c r="P34" s="120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19.5" customHeight="1"/>
    <row r="43" ht="12.75"/>
    <row r="44" ht="12.75"/>
    <row r="45" ht="12.75"/>
    <row r="46" ht="27" customHeight="1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2">
    <mergeCell ref="E7:P7"/>
    <mergeCell ref="D7:D8"/>
  </mergeCells>
  <printOptions horizontalCentered="1"/>
  <pageMargins left="0.31496062992125984" right="0.2755905511811024" top="0.6692913385826772" bottom="0.4724409448818898" header="0.5118110236220472" footer="0.31496062992125984"/>
  <pageSetup firstPageNumber="44" useFirstPageNumber="1" horizontalDpi="600" verticalDpi="600" orientation="landscape" paperSize="9" scale="56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473"/>
  <sheetViews>
    <sheetView zoomScale="70" zoomScaleNormal="70" workbookViewId="0" topLeftCell="A8">
      <pane ySplit="1650" topLeftCell="BM202" activePane="bottomLeft" state="split"/>
      <selection pane="topLeft" activeCell="D58" sqref="D58"/>
      <selection pane="bottomLeft" activeCell="B212" sqref="B212:B213"/>
    </sheetView>
  </sheetViews>
  <sheetFormatPr defaultColWidth="9.00390625" defaultRowHeight="12.75"/>
  <cols>
    <col min="1" max="1" width="6.25390625" style="553" customWidth="1"/>
    <col min="2" max="2" width="8.125" style="553" customWidth="1"/>
    <col min="3" max="3" width="47.875" style="553" customWidth="1"/>
    <col min="4" max="4" width="18.75390625" style="554" customWidth="1"/>
    <col min="5" max="16" width="14.375" style="554" customWidth="1"/>
    <col min="17" max="17" width="12.00390625" style="553" bestFit="1" customWidth="1"/>
    <col min="18" max="16384" width="9.125" style="553" customWidth="1"/>
  </cols>
  <sheetData>
    <row r="1" spans="4:16" s="79" customFormat="1" ht="19.5" customHeight="1">
      <c r="D1" s="80"/>
      <c r="E1" s="80"/>
      <c r="F1" s="80"/>
      <c r="G1" s="80"/>
      <c r="H1" s="80"/>
      <c r="I1" s="80"/>
      <c r="J1" s="80"/>
      <c r="K1" s="80"/>
      <c r="L1" s="80"/>
      <c r="M1" s="80"/>
      <c r="N1" s="471" t="s">
        <v>571</v>
      </c>
      <c r="O1" s="80"/>
      <c r="P1" s="80"/>
    </row>
    <row r="2" spans="4:16" s="79" customFormat="1" ht="19.5" customHeight="1">
      <c r="D2" s="80"/>
      <c r="E2" s="80"/>
      <c r="F2" s="80"/>
      <c r="G2" s="80"/>
      <c r="H2" s="80"/>
      <c r="I2" s="80"/>
      <c r="J2" s="80"/>
      <c r="K2" s="80"/>
      <c r="L2" s="80"/>
      <c r="M2" s="80"/>
      <c r="N2" s="471" t="s">
        <v>163</v>
      </c>
      <c r="O2" s="80"/>
      <c r="P2" s="80"/>
    </row>
    <row r="3" spans="3:16" s="79" customFormat="1" ht="19.5" customHeight="1">
      <c r="C3" s="472" t="s">
        <v>305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471" t="s">
        <v>272</v>
      </c>
      <c r="O3" s="80"/>
      <c r="P3" s="80"/>
    </row>
    <row r="4" spans="3:16" s="79" customFormat="1" ht="19.5" customHeight="1">
      <c r="C4" s="113"/>
      <c r="D4" s="80"/>
      <c r="E4" s="80"/>
      <c r="F4" s="80"/>
      <c r="G4" s="80"/>
      <c r="H4" s="80"/>
      <c r="I4" s="80"/>
      <c r="J4" s="80"/>
      <c r="K4" s="80"/>
      <c r="L4" s="80"/>
      <c r="M4" s="80"/>
      <c r="N4" s="471" t="s">
        <v>355</v>
      </c>
      <c r="O4" s="80"/>
      <c r="P4" s="80"/>
    </row>
    <row r="5" spans="3:16" s="79" customFormat="1" ht="18" customHeight="1">
      <c r="C5" s="11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4:16" s="79" customFormat="1" ht="15.75" thickBot="1">
      <c r="D6" s="80"/>
      <c r="E6" s="80"/>
      <c r="F6" s="80"/>
      <c r="G6" s="80"/>
      <c r="H6" s="473"/>
      <c r="I6" s="80"/>
      <c r="J6" s="80"/>
      <c r="K6" s="80"/>
      <c r="L6" s="80"/>
      <c r="M6" s="80"/>
      <c r="N6" s="80"/>
      <c r="O6" s="80"/>
      <c r="P6" s="561" t="s">
        <v>184</v>
      </c>
    </row>
    <row r="7" spans="1:16" s="79" customFormat="1" ht="19.5" customHeight="1" thickTop="1">
      <c r="A7" s="474"/>
      <c r="B7" s="474"/>
      <c r="C7" s="475" t="s">
        <v>277</v>
      </c>
      <c r="D7" s="476" t="s">
        <v>187</v>
      </c>
      <c r="E7" s="477"/>
      <c r="F7" s="478" t="s">
        <v>285</v>
      </c>
      <c r="G7" s="478"/>
      <c r="H7" s="478"/>
      <c r="I7" s="478"/>
      <c r="J7" s="478"/>
      <c r="K7" s="478"/>
      <c r="L7" s="478"/>
      <c r="M7" s="478"/>
      <c r="N7" s="478"/>
      <c r="O7" s="478"/>
      <c r="P7" s="479"/>
    </row>
    <row r="8" spans="1:16" s="79" customFormat="1" ht="23.25" customHeight="1" thickBot="1">
      <c r="A8" s="480" t="s">
        <v>179</v>
      </c>
      <c r="B8" s="480" t="s">
        <v>186</v>
      </c>
      <c r="C8" s="481" t="s">
        <v>306</v>
      </c>
      <c r="D8" s="482"/>
      <c r="E8" s="483" t="s">
        <v>289</v>
      </c>
      <c r="F8" s="483" t="s">
        <v>290</v>
      </c>
      <c r="G8" s="483" t="s">
        <v>291</v>
      </c>
      <c r="H8" s="483" t="s">
        <v>292</v>
      </c>
      <c r="I8" s="483" t="s">
        <v>293</v>
      </c>
      <c r="J8" s="483" t="s">
        <v>294</v>
      </c>
      <c r="K8" s="483" t="s">
        <v>295</v>
      </c>
      <c r="L8" s="483" t="s">
        <v>296</v>
      </c>
      <c r="M8" s="483" t="s">
        <v>297</v>
      </c>
      <c r="N8" s="483" t="s">
        <v>298</v>
      </c>
      <c r="O8" s="483" t="s">
        <v>299</v>
      </c>
      <c r="P8" s="483" t="s">
        <v>300</v>
      </c>
    </row>
    <row r="9" spans="1:16" s="486" customFormat="1" ht="14.25" customHeight="1" thickBot="1" thickTop="1">
      <c r="A9" s="484">
        <v>1</v>
      </c>
      <c r="B9" s="484">
        <v>2</v>
      </c>
      <c r="C9" s="484">
        <v>3</v>
      </c>
      <c r="D9" s="485">
        <v>4</v>
      </c>
      <c r="E9" s="485">
        <v>5</v>
      </c>
      <c r="F9" s="485">
        <v>6</v>
      </c>
      <c r="G9" s="485">
        <v>7</v>
      </c>
      <c r="H9" s="485">
        <v>8</v>
      </c>
      <c r="I9" s="485">
        <v>9</v>
      </c>
      <c r="J9" s="485">
        <v>10</v>
      </c>
      <c r="K9" s="485">
        <v>11</v>
      </c>
      <c r="L9" s="485">
        <v>12</v>
      </c>
      <c r="M9" s="485">
        <v>13</v>
      </c>
      <c r="N9" s="485">
        <v>14</v>
      </c>
      <c r="O9" s="485">
        <v>15</v>
      </c>
      <c r="P9" s="485">
        <v>16</v>
      </c>
    </row>
    <row r="10" spans="1:18" s="94" customFormat="1" ht="24.75" customHeight="1" thickBot="1" thickTop="1">
      <c r="A10" s="487"/>
      <c r="B10" s="487"/>
      <c r="C10" s="488" t="s">
        <v>307</v>
      </c>
      <c r="D10" s="489">
        <f>SUM(E10:P10)</f>
        <v>1236426</v>
      </c>
      <c r="E10" s="489"/>
      <c r="F10" s="489"/>
      <c r="G10" s="489"/>
      <c r="H10" s="489">
        <f aca="true" t="shared" si="0" ref="H10:P10">H12+H126+H130+H152+H165+H161</f>
        <v>-103908</v>
      </c>
      <c r="I10" s="489">
        <f t="shared" si="0"/>
        <v>-41196719</v>
      </c>
      <c r="J10" s="489">
        <f t="shared" si="0"/>
        <v>30460858</v>
      </c>
      <c r="K10" s="489">
        <f t="shared" si="0"/>
        <v>9449094</v>
      </c>
      <c r="L10" s="489">
        <f t="shared" si="0"/>
        <v>1063031</v>
      </c>
      <c r="M10" s="489">
        <f t="shared" si="0"/>
        <v>637046</v>
      </c>
      <c r="N10" s="489">
        <f t="shared" si="0"/>
        <v>357941</v>
      </c>
      <c r="O10" s="489">
        <f t="shared" si="0"/>
        <v>279267</v>
      </c>
      <c r="P10" s="489">
        <f t="shared" si="0"/>
        <v>289816</v>
      </c>
      <c r="Q10" s="100"/>
      <c r="R10" s="511"/>
    </row>
    <row r="11" spans="1:16" s="94" customFormat="1" ht="12.75" customHeight="1">
      <c r="A11" s="490"/>
      <c r="B11" s="490"/>
      <c r="C11" s="491" t="s">
        <v>182</v>
      </c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</row>
    <row r="12" spans="1:16" s="94" customFormat="1" ht="24" customHeight="1">
      <c r="A12" s="490"/>
      <c r="B12" s="490"/>
      <c r="C12" s="493" t="s">
        <v>280</v>
      </c>
      <c r="D12" s="494">
        <f>SUM(E12:P12)</f>
        <v>-473678</v>
      </c>
      <c r="E12" s="494"/>
      <c r="F12" s="494"/>
      <c r="G12" s="494"/>
      <c r="H12" s="494"/>
      <c r="I12" s="494">
        <f aca="true" t="shared" si="1" ref="I12:P12">I13+I27+I39+I73+I89+I122+I23</f>
        <v>-23187121</v>
      </c>
      <c r="J12" s="494">
        <f t="shared" si="1"/>
        <v>18933222</v>
      </c>
      <c r="K12" s="494">
        <f t="shared" si="1"/>
        <v>3509868</v>
      </c>
      <c r="L12" s="494">
        <f t="shared" si="1"/>
        <v>-140880</v>
      </c>
      <c r="M12" s="494">
        <f t="shared" si="1"/>
        <v>267920</v>
      </c>
      <c r="N12" s="494">
        <f t="shared" si="1"/>
        <v>-16110</v>
      </c>
      <c r="O12" s="494">
        <f t="shared" si="1"/>
        <v>159390</v>
      </c>
      <c r="P12" s="494">
        <f t="shared" si="1"/>
        <v>33</v>
      </c>
    </row>
    <row r="13" spans="1:16" s="93" customFormat="1" ht="25.5" customHeight="1">
      <c r="A13" s="498"/>
      <c r="B13" s="498"/>
      <c r="C13" s="422" t="s">
        <v>166</v>
      </c>
      <c r="D13" s="109">
        <f aca="true" t="shared" si="2" ref="D13:D26">SUM(E13:P13)</f>
        <v>-150650</v>
      </c>
      <c r="E13" s="109"/>
      <c r="F13" s="109"/>
      <c r="G13" s="109"/>
      <c r="H13" s="109"/>
      <c r="I13" s="109"/>
      <c r="J13" s="109">
        <f>J14</f>
        <v>-149633</v>
      </c>
      <c r="K13" s="109"/>
      <c r="L13" s="109"/>
      <c r="M13" s="109"/>
      <c r="N13" s="109"/>
      <c r="O13" s="109"/>
      <c r="P13" s="109">
        <f>P14</f>
        <v>-1017</v>
      </c>
    </row>
    <row r="14" spans="1:16" s="93" customFormat="1" ht="21" customHeight="1" thickBot="1">
      <c r="A14" s="499"/>
      <c r="B14" s="499"/>
      <c r="C14" s="495" t="s">
        <v>192</v>
      </c>
      <c r="D14" s="111">
        <f t="shared" si="2"/>
        <v>-150650</v>
      </c>
      <c r="E14" s="111"/>
      <c r="F14" s="111"/>
      <c r="G14" s="111"/>
      <c r="H14" s="111"/>
      <c r="I14" s="111"/>
      <c r="J14" s="111">
        <f>J15+J17+J21+J19</f>
        <v>-149633</v>
      </c>
      <c r="K14" s="111"/>
      <c r="L14" s="111"/>
      <c r="M14" s="111"/>
      <c r="N14" s="111"/>
      <c r="O14" s="111"/>
      <c r="P14" s="111">
        <f>P15+P17+P21</f>
        <v>-1017</v>
      </c>
    </row>
    <row r="15" spans="1:16" s="93" customFormat="1" ht="21" customHeight="1" thickBot="1" thickTop="1">
      <c r="A15" s="504" t="s">
        <v>200</v>
      </c>
      <c r="B15" s="505"/>
      <c r="C15" s="508" t="s">
        <v>51</v>
      </c>
      <c r="D15" s="507">
        <f t="shared" si="2"/>
        <v>0</v>
      </c>
      <c r="E15" s="507"/>
      <c r="F15" s="507"/>
      <c r="G15" s="507"/>
      <c r="H15" s="507"/>
      <c r="I15" s="507"/>
      <c r="J15" s="507">
        <f>J16</f>
        <v>1017</v>
      </c>
      <c r="K15" s="507"/>
      <c r="L15" s="507"/>
      <c r="M15" s="507"/>
      <c r="N15" s="507"/>
      <c r="O15" s="507"/>
      <c r="P15" s="507">
        <f>P16</f>
        <v>-1017</v>
      </c>
    </row>
    <row r="16" spans="1:16" s="93" customFormat="1" ht="20.25" customHeight="1">
      <c r="A16" s="380"/>
      <c r="B16" s="371" t="s">
        <v>201</v>
      </c>
      <c r="C16" s="496" t="s">
        <v>52</v>
      </c>
      <c r="D16" s="497">
        <f t="shared" si="2"/>
        <v>0</v>
      </c>
      <c r="E16" s="497"/>
      <c r="F16" s="497"/>
      <c r="G16" s="497"/>
      <c r="H16" s="497"/>
      <c r="I16" s="497"/>
      <c r="J16" s="497">
        <v>1017</v>
      </c>
      <c r="K16" s="497"/>
      <c r="L16" s="497"/>
      <c r="M16" s="497"/>
      <c r="N16" s="497"/>
      <c r="O16" s="497"/>
      <c r="P16" s="497">
        <v>-1017</v>
      </c>
    </row>
    <row r="17" spans="1:16" s="93" customFormat="1" ht="21" customHeight="1" thickBot="1">
      <c r="A17" s="504">
        <v>758</v>
      </c>
      <c r="B17" s="505"/>
      <c r="C17" s="508" t="s">
        <v>391</v>
      </c>
      <c r="D17" s="507">
        <f t="shared" si="2"/>
        <v>-151070</v>
      </c>
      <c r="E17" s="507"/>
      <c r="F17" s="507"/>
      <c r="G17" s="507"/>
      <c r="H17" s="507"/>
      <c r="I17" s="507"/>
      <c r="J17" s="507">
        <f>J18</f>
        <v>-151070</v>
      </c>
      <c r="K17" s="507"/>
      <c r="L17" s="507"/>
      <c r="M17" s="507"/>
      <c r="N17" s="507"/>
      <c r="O17" s="507"/>
      <c r="P17" s="507"/>
    </row>
    <row r="18" spans="1:16" s="93" customFormat="1" ht="20.25" customHeight="1">
      <c r="A18" s="420"/>
      <c r="B18" s="371">
        <v>75818</v>
      </c>
      <c r="C18" s="496" t="s">
        <v>392</v>
      </c>
      <c r="D18" s="497">
        <f t="shared" si="2"/>
        <v>-151070</v>
      </c>
      <c r="E18" s="497"/>
      <c r="F18" s="497"/>
      <c r="G18" s="497"/>
      <c r="H18" s="497"/>
      <c r="I18" s="497"/>
      <c r="J18" s="497">
        <f>-147000-70-4000</f>
        <v>-151070</v>
      </c>
      <c r="K18" s="497"/>
      <c r="L18" s="497"/>
      <c r="M18" s="497"/>
      <c r="N18" s="497"/>
      <c r="O18" s="497"/>
      <c r="P18" s="497"/>
    </row>
    <row r="19" spans="1:16" s="93" customFormat="1" ht="21" customHeight="1" thickBot="1">
      <c r="A19" s="631">
        <v>801</v>
      </c>
      <c r="B19" s="505"/>
      <c r="C19" s="508" t="s">
        <v>395</v>
      </c>
      <c r="D19" s="507">
        <f t="shared" si="2"/>
        <v>350</v>
      </c>
      <c r="E19" s="507"/>
      <c r="F19" s="507"/>
      <c r="G19" s="507"/>
      <c r="H19" s="507"/>
      <c r="I19" s="507"/>
      <c r="J19" s="507">
        <f>J20</f>
        <v>350</v>
      </c>
      <c r="K19" s="507"/>
      <c r="L19" s="507"/>
      <c r="M19" s="507"/>
      <c r="N19" s="507"/>
      <c r="O19" s="507"/>
      <c r="P19" s="507"/>
    </row>
    <row r="20" spans="1:16" s="93" customFormat="1" ht="20.25" customHeight="1">
      <c r="A20" s="380"/>
      <c r="B20" s="371">
        <v>80101</v>
      </c>
      <c r="C20" s="496" t="s">
        <v>396</v>
      </c>
      <c r="D20" s="497">
        <f t="shared" si="2"/>
        <v>350</v>
      </c>
      <c r="E20" s="497"/>
      <c r="F20" s="497"/>
      <c r="G20" s="497"/>
      <c r="H20" s="497"/>
      <c r="I20" s="497"/>
      <c r="J20" s="497">
        <v>350</v>
      </c>
      <c r="K20" s="497"/>
      <c r="L20" s="497"/>
      <c r="M20" s="497"/>
      <c r="N20" s="497"/>
      <c r="O20" s="497"/>
      <c r="P20" s="497"/>
    </row>
    <row r="21" spans="1:16" s="93" customFormat="1" ht="21" customHeight="1" thickBot="1">
      <c r="A21" s="631">
        <v>852</v>
      </c>
      <c r="B21" s="505"/>
      <c r="C21" s="508" t="s">
        <v>324</v>
      </c>
      <c r="D21" s="507">
        <f t="shared" si="2"/>
        <v>70</v>
      </c>
      <c r="E21" s="507"/>
      <c r="F21" s="507"/>
      <c r="G21" s="507"/>
      <c r="H21" s="507"/>
      <c r="I21" s="507"/>
      <c r="J21" s="507">
        <f>J22</f>
        <v>70</v>
      </c>
      <c r="K21" s="507"/>
      <c r="L21" s="507"/>
      <c r="M21" s="507"/>
      <c r="N21" s="507"/>
      <c r="O21" s="507"/>
      <c r="P21" s="507"/>
    </row>
    <row r="22" spans="1:16" s="93" customFormat="1" ht="20.25" customHeight="1">
      <c r="A22" s="977"/>
      <c r="B22" s="371">
        <v>85295</v>
      </c>
      <c r="C22" s="496" t="s">
        <v>401</v>
      </c>
      <c r="D22" s="497">
        <f t="shared" si="2"/>
        <v>70</v>
      </c>
      <c r="E22" s="497"/>
      <c r="F22" s="497"/>
      <c r="G22" s="497"/>
      <c r="H22" s="497"/>
      <c r="I22" s="497"/>
      <c r="J22" s="497">
        <v>70</v>
      </c>
      <c r="K22" s="497"/>
      <c r="L22" s="497"/>
      <c r="M22" s="497"/>
      <c r="N22" s="497"/>
      <c r="O22" s="497"/>
      <c r="P22" s="497"/>
    </row>
    <row r="23" spans="1:16" s="93" customFormat="1" ht="36" customHeight="1">
      <c r="A23" s="498"/>
      <c r="B23" s="498"/>
      <c r="C23" s="422" t="s">
        <v>637</v>
      </c>
      <c r="D23" s="109">
        <f t="shared" si="2"/>
        <v>173650</v>
      </c>
      <c r="E23" s="109"/>
      <c r="F23" s="109"/>
      <c r="G23" s="109"/>
      <c r="H23" s="109"/>
      <c r="I23" s="109"/>
      <c r="J23" s="109"/>
      <c r="K23" s="109"/>
      <c r="L23" s="109">
        <f>L24</f>
        <v>173650</v>
      </c>
      <c r="M23" s="109"/>
      <c r="N23" s="109"/>
      <c r="O23" s="109"/>
      <c r="P23" s="109"/>
    </row>
    <row r="24" spans="1:16" s="93" customFormat="1" ht="45.75" thickBot="1">
      <c r="A24" s="499"/>
      <c r="B24" s="499"/>
      <c r="C24" s="425" t="s">
        <v>308</v>
      </c>
      <c r="D24" s="111">
        <f t="shared" si="2"/>
        <v>173650</v>
      </c>
      <c r="E24" s="111"/>
      <c r="F24" s="111"/>
      <c r="G24" s="111"/>
      <c r="H24" s="111"/>
      <c r="I24" s="111"/>
      <c r="J24" s="111"/>
      <c r="K24" s="111"/>
      <c r="L24" s="111">
        <f>L25</f>
        <v>173650</v>
      </c>
      <c r="M24" s="111"/>
      <c r="N24" s="111"/>
      <c r="O24" s="111"/>
      <c r="P24" s="111"/>
    </row>
    <row r="25" spans="1:16" s="93" customFormat="1" ht="21" customHeight="1" thickBot="1" thickTop="1">
      <c r="A25" s="504">
        <v>700</v>
      </c>
      <c r="B25" s="505"/>
      <c r="C25" s="508" t="s">
        <v>165</v>
      </c>
      <c r="D25" s="507">
        <f t="shared" si="2"/>
        <v>173650</v>
      </c>
      <c r="E25" s="507"/>
      <c r="F25" s="507"/>
      <c r="G25" s="507"/>
      <c r="H25" s="507"/>
      <c r="I25" s="507"/>
      <c r="J25" s="507"/>
      <c r="K25" s="507"/>
      <c r="L25" s="507">
        <f>L26</f>
        <v>173650</v>
      </c>
      <c r="M25" s="507"/>
      <c r="N25" s="507"/>
      <c r="O25" s="507"/>
      <c r="P25" s="507"/>
    </row>
    <row r="26" spans="1:16" s="93" customFormat="1" ht="20.25" customHeight="1">
      <c r="A26" s="380"/>
      <c r="B26" s="371">
        <v>70005</v>
      </c>
      <c r="C26" s="496" t="s">
        <v>698</v>
      </c>
      <c r="D26" s="497">
        <f t="shared" si="2"/>
        <v>173650</v>
      </c>
      <c r="E26" s="497"/>
      <c r="F26" s="497"/>
      <c r="G26" s="497"/>
      <c r="H26" s="497"/>
      <c r="I26" s="497"/>
      <c r="J26" s="1323"/>
      <c r="K26" s="497"/>
      <c r="L26" s="497">
        <v>173650</v>
      </c>
      <c r="M26" s="497"/>
      <c r="N26" s="497"/>
      <c r="O26" s="497"/>
      <c r="P26" s="497"/>
    </row>
    <row r="27" spans="1:16" s="93" customFormat="1" ht="25.5" customHeight="1">
      <c r="A27" s="420"/>
      <c r="B27" s="420"/>
      <c r="C27" s="422" t="s">
        <v>677</v>
      </c>
      <c r="D27" s="634">
        <f aca="true" t="shared" si="3" ref="D27:D35">SUM(E27:P27)</f>
        <v>-218716</v>
      </c>
      <c r="E27" s="634"/>
      <c r="F27" s="634"/>
      <c r="G27" s="634"/>
      <c r="H27" s="634"/>
      <c r="I27" s="634"/>
      <c r="J27" s="634">
        <f aca="true" t="shared" si="4" ref="J27:P27">J28+J36</f>
        <v>-97496</v>
      </c>
      <c r="K27" s="634">
        <f t="shared" si="4"/>
        <v>890</v>
      </c>
      <c r="L27" s="634">
        <f t="shared" si="4"/>
        <v>-311830</v>
      </c>
      <c r="M27" s="634">
        <f t="shared" si="4"/>
        <v>890</v>
      </c>
      <c r="N27" s="634">
        <f t="shared" si="4"/>
        <v>-16110</v>
      </c>
      <c r="O27" s="634">
        <f t="shared" si="4"/>
        <v>203890</v>
      </c>
      <c r="P27" s="634">
        <f t="shared" si="4"/>
        <v>1050</v>
      </c>
    </row>
    <row r="28" spans="1:16" s="93" customFormat="1" ht="21" customHeight="1" thickBot="1">
      <c r="A28" s="380"/>
      <c r="B28" s="380"/>
      <c r="C28" s="425" t="s">
        <v>192</v>
      </c>
      <c r="D28" s="500">
        <f t="shared" si="3"/>
        <v>-226537</v>
      </c>
      <c r="E28" s="500"/>
      <c r="F28" s="500"/>
      <c r="G28" s="500"/>
      <c r="H28" s="500"/>
      <c r="I28" s="500"/>
      <c r="J28" s="500">
        <f>J29+J33</f>
        <v>-99817</v>
      </c>
      <c r="K28" s="500">
        <f>K29+K33</f>
        <v>0</v>
      </c>
      <c r="L28" s="500">
        <f>L29+L33</f>
        <v>-312720</v>
      </c>
      <c r="M28" s="500"/>
      <c r="N28" s="500">
        <f>N29+N33</f>
        <v>-17000</v>
      </c>
      <c r="O28" s="500">
        <f>O29+O33</f>
        <v>203000</v>
      </c>
      <c r="P28" s="500"/>
    </row>
    <row r="29" spans="1:16" s="93" customFormat="1" ht="21" customHeight="1" thickBot="1" thickTop="1">
      <c r="A29" s="509">
        <v>801</v>
      </c>
      <c r="B29" s="505"/>
      <c r="C29" s="508" t="s">
        <v>395</v>
      </c>
      <c r="D29" s="510">
        <f t="shared" si="3"/>
        <v>-126720</v>
      </c>
      <c r="E29" s="510"/>
      <c r="F29" s="510"/>
      <c r="G29" s="510"/>
      <c r="H29" s="510"/>
      <c r="I29" s="510"/>
      <c r="J29" s="510"/>
      <c r="K29" s="510"/>
      <c r="L29" s="510">
        <f>SUM(L30:L32)</f>
        <v>-312720</v>
      </c>
      <c r="M29" s="510"/>
      <c r="N29" s="510">
        <f>SUM(N30:N32)</f>
        <v>-17000</v>
      </c>
      <c r="O29" s="510">
        <f>SUM(O30:O32)</f>
        <v>203000</v>
      </c>
      <c r="P29" s="510"/>
    </row>
    <row r="30" spans="1:16" s="93" customFormat="1" ht="20.25" customHeight="1">
      <c r="A30" s="420"/>
      <c r="B30" s="635">
        <v>80101</v>
      </c>
      <c r="C30" s="496" t="s">
        <v>396</v>
      </c>
      <c r="D30" s="501">
        <f t="shared" si="3"/>
        <v>-17000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>
        <v>-17000</v>
      </c>
      <c r="O30" s="501"/>
      <c r="P30" s="501"/>
    </row>
    <row r="31" spans="1:16" s="93" customFormat="1" ht="20.25" customHeight="1">
      <c r="A31" s="420"/>
      <c r="B31" s="635">
        <v>80120</v>
      </c>
      <c r="C31" s="496" t="s">
        <v>597</v>
      </c>
      <c r="D31" s="501">
        <f t="shared" si="3"/>
        <v>-108728</v>
      </c>
      <c r="E31" s="501"/>
      <c r="F31" s="501"/>
      <c r="G31" s="501"/>
      <c r="H31" s="501"/>
      <c r="I31" s="501"/>
      <c r="J31" s="501"/>
      <c r="K31" s="501"/>
      <c r="L31" s="501">
        <v>-108728</v>
      </c>
      <c r="M31" s="501"/>
      <c r="N31" s="501"/>
      <c r="O31" s="501"/>
      <c r="P31" s="501"/>
    </row>
    <row r="32" spans="1:16" s="93" customFormat="1" ht="20.25" customHeight="1">
      <c r="A32" s="380"/>
      <c r="B32" s="635">
        <v>80130</v>
      </c>
      <c r="C32" s="496" t="s">
        <v>399</v>
      </c>
      <c r="D32" s="501">
        <f t="shared" si="3"/>
        <v>-992</v>
      </c>
      <c r="E32" s="501"/>
      <c r="F32" s="501"/>
      <c r="G32" s="501"/>
      <c r="H32" s="501"/>
      <c r="I32" s="501"/>
      <c r="J32" s="501"/>
      <c r="K32" s="501"/>
      <c r="L32" s="501">
        <f>-203000-992</f>
        <v>-203992</v>
      </c>
      <c r="M32" s="501"/>
      <c r="N32" s="501"/>
      <c r="O32" s="501">
        <v>203000</v>
      </c>
      <c r="P32" s="501"/>
    </row>
    <row r="33" spans="1:16" s="93" customFormat="1" ht="21" customHeight="1" thickBot="1">
      <c r="A33" s="509">
        <v>852</v>
      </c>
      <c r="B33" s="505"/>
      <c r="C33" s="508" t="s">
        <v>324</v>
      </c>
      <c r="D33" s="510">
        <f t="shared" si="3"/>
        <v>-99817</v>
      </c>
      <c r="E33" s="510"/>
      <c r="F33" s="510"/>
      <c r="G33" s="510"/>
      <c r="H33" s="510"/>
      <c r="I33" s="510"/>
      <c r="J33" s="510">
        <f>SUM(J34:J35)</f>
        <v>-99817</v>
      </c>
      <c r="K33" s="510"/>
      <c r="L33" s="510"/>
      <c r="M33" s="510"/>
      <c r="N33" s="510"/>
      <c r="O33" s="510"/>
      <c r="P33" s="510"/>
    </row>
    <row r="34" spans="1:16" s="93" customFormat="1" ht="20.25" customHeight="1">
      <c r="A34" s="420"/>
      <c r="B34" s="635">
        <v>85202</v>
      </c>
      <c r="C34" s="496" t="s">
        <v>620</v>
      </c>
      <c r="D34" s="501">
        <f t="shared" si="3"/>
        <v>-85000</v>
      </c>
      <c r="E34" s="501"/>
      <c r="F34" s="501"/>
      <c r="G34" s="501"/>
      <c r="H34" s="501"/>
      <c r="I34" s="501"/>
      <c r="J34" s="501">
        <v>-85000</v>
      </c>
      <c r="K34" s="501"/>
      <c r="L34" s="501"/>
      <c r="M34" s="501"/>
      <c r="N34" s="501"/>
      <c r="O34" s="501"/>
      <c r="P34" s="501"/>
    </row>
    <row r="35" spans="1:16" s="93" customFormat="1" ht="20.25" customHeight="1">
      <c r="A35" s="420"/>
      <c r="B35" s="855">
        <v>85295</v>
      </c>
      <c r="C35" s="856" t="s">
        <v>401</v>
      </c>
      <c r="D35" s="665">
        <f t="shared" si="3"/>
        <v>-14817</v>
      </c>
      <c r="E35" s="665"/>
      <c r="F35" s="665"/>
      <c r="G35" s="665"/>
      <c r="H35" s="665"/>
      <c r="I35" s="665"/>
      <c r="J35" s="665">
        <v>-14817</v>
      </c>
      <c r="K35" s="665"/>
      <c r="L35" s="665"/>
      <c r="M35" s="665"/>
      <c r="N35" s="665"/>
      <c r="O35" s="665"/>
      <c r="P35" s="665"/>
    </row>
    <row r="36" spans="1:16" s="93" customFormat="1" ht="45.75" thickBot="1">
      <c r="A36" s="380"/>
      <c r="B36" s="380"/>
      <c r="C36" s="425" t="s">
        <v>308</v>
      </c>
      <c r="D36" s="500">
        <f>SUM(E36:P36)</f>
        <v>7821</v>
      </c>
      <c r="E36" s="500"/>
      <c r="F36" s="500"/>
      <c r="G36" s="500"/>
      <c r="H36" s="500"/>
      <c r="I36" s="500"/>
      <c r="J36" s="500">
        <f aca="true" t="shared" si="5" ref="J36:P37">J37</f>
        <v>2321</v>
      </c>
      <c r="K36" s="500">
        <f t="shared" si="5"/>
        <v>890</v>
      </c>
      <c r="L36" s="500">
        <f t="shared" si="5"/>
        <v>890</v>
      </c>
      <c r="M36" s="500">
        <f t="shared" si="5"/>
        <v>890</v>
      </c>
      <c r="N36" s="500">
        <f t="shared" si="5"/>
        <v>890</v>
      </c>
      <c r="O36" s="500">
        <f t="shared" si="5"/>
        <v>890</v>
      </c>
      <c r="P36" s="500">
        <f t="shared" si="5"/>
        <v>1050</v>
      </c>
    </row>
    <row r="37" spans="1:16" s="93" customFormat="1" ht="33" thickBot="1" thickTop="1">
      <c r="A37" s="509">
        <v>853</v>
      </c>
      <c r="B37" s="505"/>
      <c r="C37" s="508" t="s">
        <v>389</v>
      </c>
      <c r="D37" s="510">
        <f>SUM(E37:P37)</f>
        <v>7821</v>
      </c>
      <c r="E37" s="510"/>
      <c r="F37" s="510"/>
      <c r="G37" s="510"/>
      <c r="H37" s="510"/>
      <c r="I37" s="510"/>
      <c r="J37" s="510">
        <f t="shared" si="5"/>
        <v>2321</v>
      </c>
      <c r="K37" s="510">
        <f t="shared" si="5"/>
        <v>890</v>
      </c>
      <c r="L37" s="510">
        <f t="shared" si="5"/>
        <v>890</v>
      </c>
      <c r="M37" s="510">
        <f t="shared" si="5"/>
        <v>890</v>
      </c>
      <c r="N37" s="510">
        <f t="shared" si="5"/>
        <v>890</v>
      </c>
      <c r="O37" s="510">
        <f t="shared" si="5"/>
        <v>890</v>
      </c>
      <c r="P37" s="510">
        <f t="shared" si="5"/>
        <v>1050</v>
      </c>
    </row>
    <row r="38" spans="1:16" s="93" customFormat="1" ht="20.25" customHeight="1">
      <c r="A38" s="420"/>
      <c r="B38" s="635">
        <v>85334</v>
      </c>
      <c r="C38" s="496" t="s">
        <v>623</v>
      </c>
      <c r="D38" s="501">
        <f>SUM(E38:P38)</f>
        <v>7821</v>
      </c>
      <c r="E38" s="501"/>
      <c r="F38" s="501"/>
      <c r="G38" s="501"/>
      <c r="H38" s="501"/>
      <c r="I38" s="501"/>
      <c r="J38" s="501">
        <v>2321</v>
      </c>
      <c r="K38" s="501">
        <v>890</v>
      </c>
      <c r="L38" s="501">
        <v>890</v>
      </c>
      <c r="M38" s="501">
        <v>890</v>
      </c>
      <c r="N38" s="501">
        <v>890</v>
      </c>
      <c r="O38" s="501">
        <v>890</v>
      </c>
      <c r="P38" s="501">
        <v>1050</v>
      </c>
    </row>
    <row r="39" spans="1:16" s="93" customFormat="1" ht="25.5" customHeight="1">
      <c r="A39" s="420"/>
      <c r="B39" s="976"/>
      <c r="C39" s="978" t="s">
        <v>678</v>
      </c>
      <c r="D39" s="634">
        <f aca="true" t="shared" si="6" ref="D39:D72">SUM(E39:P39)</f>
        <v>-289962</v>
      </c>
      <c r="E39" s="634"/>
      <c r="F39" s="634"/>
      <c r="G39" s="634"/>
      <c r="H39" s="634"/>
      <c r="I39" s="634">
        <f>I40+I69</f>
        <v>-237919</v>
      </c>
      <c r="J39" s="634">
        <f>J40+J69</f>
        <v>-3039728</v>
      </c>
      <c r="K39" s="634">
        <f>K40+K69</f>
        <v>2992446</v>
      </c>
      <c r="L39" s="634">
        <f>L40+L69</f>
        <v>-2700</v>
      </c>
      <c r="M39" s="634">
        <f>M40+M69</f>
        <v>-2061</v>
      </c>
      <c r="N39" s="634"/>
      <c r="O39" s="634"/>
      <c r="P39" s="634"/>
    </row>
    <row r="40" spans="1:16" s="93" customFormat="1" ht="21" customHeight="1" thickBot="1">
      <c r="A40" s="907"/>
      <c r="B40" s="380"/>
      <c r="C40" s="979" t="s">
        <v>192</v>
      </c>
      <c r="D40" s="500">
        <f t="shared" si="6"/>
        <v>-289962</v>
      </c>
      <c r="E40" s="500"/>
      <c r="F40" s="500"/>
      <c r="G40" s="500"/>
      <c r="H40" s="500"/>
      <c r="I40" s="500">
        <f>I41+I60</f>
        <v>-221919</v>
      </c>
      <c r="J40" s="500">
        <f>J41+J60</f>
        <v>-3030894</v>
      </c>
      <c r="K40" s="500">
        <f>K41+K60</f>
        <v>2967612</v>
      </c>
      <c r="L40" s="500">
        <f>L41+L60</f>
        <v>-2700</v>
      </c>
      <c r="M40" s="500">
        <f>M41+M60</f>
        <v>-2061</v>
      </c>
      <c r="N40" s="500"/>
      <c r="O40" s="500"/>
      <c r="P40" s="500"/>
    </row>
    <row r="41" spans="1:16" s="93" customFormat="1" ht="21" customHeight="1" thickBot="1" thickTop="1">
      <c r="A41" s="980">
        <v>801</v>
      </c>
      <c r="B41" s="509"/>
      <c r="C41" s="981" t="s">
        <v>395</v>
      </c>
      <c r="D41" s="662">
        <f t="shared" si="6"/>
        <v>-228623</v>
      </c>
      <c r="E41" s="662"/>
      <c r="F41" s="662"/>
      <c r="G41" s="662"/>
      <c r="H41" s="662"/>
      <c r="I41" s="662">
        <f>SUM(I42:I59)</f>
        <v>-19689</v>
      </c>
      <c r="J41" s="662">
        <f>SUM(J42:J59)</f>
        <v>-2768983</v>
      </c>
      <c r="K41" s="662">
        <f>SUM(K42:K59)</f>
        <v>2562122</v>
      </c>
      <c r="L41" s="662">
        <f>SUM(L42:L59)</f>
        <v>-2700</v>
      </c>
      <c r="M41" s="662">
        <f>SUM(M42:M59)</f>
        <v>627</v>
      </c>
      <c r="N41" s="662"/>
      <c r="O41" s="662"/>
      <c r="P41" s="662"/>
    </row>
    <row r="42" spans="1:16" s="93" customFormat="1" ht="20.25" customHeight="1">
      <c r="A42" s="1204"/>
      <c r="B42" s="1204">
        <v>80101</v>
      </c>
      <c r="C42" s="1472" t="s">
        <v>396</v>
      </c>
      <c r="D42" s="501">
        <f t="shared" si="6"/>
        <v>-117981</v>
      </c>
      <c r="E42" s="501"/>
      <c r="F42" s="501"/>
      <c r="G42" s="501"/>
      <c r="H42" s="501"/>
      <c r="I42" s="501"/>
      <c r="J42" s="501">
        <v>-692634</v>
      </c>
      <c r="K42" s="501">
        <v>574653</v>
      </c>
      <c r="L42" s="501"/>
      <c r="M42" s="501"/>
      <c r="N42" s="501"/>
      <c r="O42" s="501"/>
      <c r="P42" s="501"/>
    </row>
    <row r="43" spans="1:16" s="93" customFormat="1" ht="20.25" customHeight="1">
      <c r="A43" s="420"/>
      <c r="B43" s="420">
        <v>80102</v>
      </c>
      <c r="C43" s="496" t="s">
        <v>593</v>
      </c>
      <c r="D43" s="665">
        <f t="shared" si="6"/>
        <v>-2652</v>
      </c>
      <c r="E43" s="665"/>
      <c r="F43" s="665"/>
      <c r="G43" s="665"/>
      <c r="H43" s="665"/>
      <c r="I43" s="665"/>
      <c r="J43" s="665">
        <v>-7652</v>
      </c>
      <c r="K43" s="665">
        <v>5000</v>
      </c>
      <c r="L43" s="665"/>
      <c r="M43" s="665"/>
      <c r="N43" s="665"/>
      <c r="O43" s="665"/>
      <c r="P43" s="665"/>
    </row>
    <row r="44" spans="1:16" s="93" customFormat="1" ht="30">
      <c r="A44" s="420"/>
      <c r="B44" s="663">
        <v>80103</v>
      </c>
      <c r="C44" s="856" t="s">
        <v>594</v>
      </c>
      <c r="D44" s="665">
        <f t="shared" si="6"/>
        <v>0</v>
      </c>
      <c r="E44" s="665"/>
      <c r="F44" s="665"/>
      <c r="G44" s="665"/>
      <c r="H44" s="665"/>
      <c r="I44" s="665"/>
      <c r="J44" s="665">
        <v>-48170</v>
      </c>
      <c r="K44" s="665">
        <v>48170</v>
      </c>
      <c r="L44" s="665"/>
      <c r="M44" s="665"/>
      <c r="N44" s="665"/>
      <c r="O44" s="665"/>
      <c r="P44" s="665"/>
    </row>
    <row r="45" spans="1:16" s="93" customFormat="1" ht="20.25" customHeight="1">
      <c r="A45" s="420"/>
      <c r="B45" s="420">
        <v>80104</v>
      </c>
      <c r="C45" s="877" t="s">
        <v>603</v>
      </c>
      <c r="D45" s="501">
        <f t="shared" si="6"/>
        <v>-1750</v>
      </c>
      <c r="E45" s="501"/>
      <c r="F45" s="501"/>
      <c r="G45" s="501"/>
      <c r="H45" s="501"/>
      <c r="I45" s="501">
        <v>-4650</v>
      </c>
      <c r="J45" s="501">
        <v>-507836</v>
      </c>
      <c r="K45" s="501">
        <v>510736</v>
      </c>
      <c r="L45" s="501"/>
      <c r="M45" s="501"/>
      <c r="N45" s="501"/>
      <c r="O45" s="501"/>
      <c r="P45" s="501"/>
    </row>
    <row r="46" spans="1:16" s="93" customFormat="1" ht="20.25" customHeight="1">
      <c r="A46" s="420"/>
      <c r="B46" s="976">
        <v>80105</v>
      </c>
      <c r="C46" s="664" t="s">
        <v>53</v>
      </c>
      <c r="D46" s="665">
        <f t="shared" si="6"/>
        <v>0</v>
      </c>
      <c r="E46" s="665"/>
      <c r="F46" s="665"/>
      <c r="G46" s="665"/>
      <c r="H46" s="665"/>
      <c r="I46" s="665"/>
      <c r="J46" s="665">
        <v>-102</v>
      </c>
      <c r="K46" s="665">
        <v>102</v>
      </c>
      <c r="L46" s="665"/>
      <c r="M46" s="665"/>
      <c r="N46" s="665"/>
      <c r="O46" s="665"/>
      <c r="P46" s="665"/>
    </row>
    <row r="47" spans="1:16" s="93" customFormat="1" ht="20.25" customHeight="1">
      <c r="A47" s="420"/>
      <c r="B47" s="976">
        <v>80110</v>
      </c>
      <c r="C47" s="664" t="s">
        <v>596</v>
      </c>
      <c r="D47" s="665">
        <f t="shared" si="6"/>
        <v>-35064</v>
      </c>
      <c r="E47" s="665"/>
      <c r="F47" s="665"/>
      <c r="G47" s="665"/>
      <c r="H47" s="665"/>
      <c r="I47" s="665"/>
      <c r="J47" s="665">
        <v>-251007</v>
      </c>
      <c r="K47" s="665">
        <v>215943</v>
      </c>
      <c r="L47" s="665"/>
      <c r="M47" s="665"/>
      <c r="N47" s="665"/>
      <c r="O47" s="665"/>
      <c r="P47" s="665"/>
    </row>
    <row r="48" spans="1:16" s="93" customFormat="1" ht="20.25" customHeight="1">
      <c r="A48" s="420"/>
      <c r="B48" s="976">
        <v>80111</v>
      </c>
      <c r="C48" s="664" t="s">
        <v>54</v>
      </c>
      <c r="D48" s="665">
        <f t="shared" si="6"/>
        <v>0</v>
      </c>
      <c r="E48" s="665"/>
      <c r="F48" s="665"/>
      <c r="G48" s="665"/>
      <c r="H48" s="665"/>
      <c r="I48" s="665"/>
      <c r="J48" s="665">
        <v>-5374</v>
      </c>
      <c r="K48" s="665">
        <v>5374</v>
      </c>
      <c r="L48" s="665"/>
      <c r="M48" s="665"/>
      <c r="N48" s="665"/>
      <c r="O48" s="665"/>
      <c r="P48" s="665"/>
    </row>
    <row r="49" spans="1:16" s="93" customFormat="1" ht="20.25" customHeight="1">
      <c r="A49" s="420"/>
      <c r="B49" s="976">
        <v>80113</v>
      </c>
      <c r="C49" s="664" t="s">
        <v>55</v>
      </c>
      <c r="D49" s="665">
        <f t="shared" si="6"/>
        <v>-19373</v>
      </c>
      <c r="E49" s="665"/>
      <c r="F49" s="665"/>
      <c r="G49" s="665"/>
      <c r="H49" s="665"/>
      <c r="I49" s="665"/>
      <c r="J49" s="665">
        <v>-20000</v>
      </c>
      <c r="K49" s="665"/>
      <c r="L49" s="665"/>
      <c r="M49" s="665">
        <v>627</v>
      </c>
      <c r="N49" s="665"/>
      <c r="O49" s="665"/>
      <c r="P49" s="665"/>
    </row>
    <row r="50" spans="1:16" s="93" customFormat="1" ht="20.25" customHeight="1">
      <c r="A50" s="420"/>
      <c r="B50" s="976">
        <v>80120</v>
      </c>
      <c r="C50" s="664" t="s">
        <v>597</v>
      </c>
      <c r="D50" s="665">
        <f t="shared" si="6"/>
        <v>-27800</v>
      </c>
      <c r="E50" s="665"/>
      <c r="F50" s="665"/>
      <c r="G50" s="665"/>
      <c r="H50" s="665"/>
      <c r="I50" s="665"/>
      <c r="J50" s="665">
        <v>-534802</v>
      </c>
      <c r="K50" s="665">
        <v>507002</v>
      </c>
      <c r="L50" s="665"/>
      <c r="M50" s="665"/>
      <c r="N50" s="665"/>
      <c r="O50" s="665"/>
      <c r="P50" s="665"/>
    </row>
    <row r="51" spans="1:16" s="93" customFormat="1" ht="20.25" customHeight="1">
      <c r="A51" s="420"/>
      <c r="B51" s="976">
        <v>80121</v>
      </c>
      <c r="C51" s="664" t="s">
        <v>56</v>
      </c>
      <c r="D51" s="665">
        <f t="shared" si="6"/>
        <v>0</v>
      </c>
      <c r="E51" s="665"/>
      <c r="F51" s="665"/>
      <c r="G51" s="665"/>
      <c r="H51" s="665"/>
      <c r="I51" s="665"/>
      <c r="J51" s="665">
        <v>-20238</v>
      </c>
      <c r="K51" s="665">
        <v>20238</v>
      </c>
      <c r="L51" s="665"/>
      <c r="M51" s="665"/>
      <c r="N51" s="665"/>
      <c r="O51" s="665"/>
      <c r="P51" s="665"/>
    </row>
    <row r="52" spans="1:16" s="93" customFormat="1" ht="20.25" customHeight="1">
      <c r="A52" s="420"/>
      <c r="B52" s="976">
        <v>80123</v>
      </c>
      <c r="C52" s="664" t="s">
        <v>598</v>
      </c>
      <c r="D52" s="665">
        <f t="shared" si="6"/>
        <v>0</v>
      </c>
      <c r="E52" s="665"/>
      <c r="F52" s="665"/>
      <c r="G52" s="665"/>
      <c r="H52" s="665"/>
      <c r="I52" s="665"/>
      <c r="J52" s="665">
        <v>-25533</v>
      </c>
      <c r="K52" s="665">
        <v>25533</v>
      </c>
      <c r="L52" s="665"/>
      <c r="M52" s="665"/>
      <c r="N52" s="665"/>
      <c r="O52" s="665"/>
      <c r="P52" s="665"/>
    </row>
    <row r="53" spans="1:16" s="93" customFormat="1" ht="20.25" customHeight="1">
      <c r="A53" s="420"/>
      <c r="B53" s="976">
        <v>80130</v>
      </c>
      <c r="C53" s="664" t="s">
        <v>399</v>
      </c>
      <c r="D53" s="665">
        <f t="shared" si="6"/>
        <v>-31000</v>
      </c>
      <c r="E53" s="665"/>
      <c r="F53" s="665"/>
      <c r="G53" s="665"/>
      <c r="H53" s="665"/>
      <c r="I53" s="665"/>
      <c r="J53" s="665">
        <v>-629244</v>
      </c>
      <c r="K53" s="665">
        <v>598244</v>
      </c>
      <c r="L53" s="665"/>
      <c r="M53" s="665"/>
      <c r="N53" s="665"/>
      <c r="O53" s="665"/>
      <c r="P53" s="665"/>
    </row>
    <row r="54" spans="1:16" s="93" customFormat="1" ht="20.25" customHeight="1">
      <c r="A54" s="420"/>
      <c r="B54" s="976">
        <v>80132</v>
      </c>
      <c r="C54" s="664" t="s">
        <v>57</v>
      </c>
      <c r="D54" s="665">
        <f t="shared" si="6"/>
        <v>0</v>
      </c>
      <c r="E54" s="665"/>
      <c r="F54" s="665"/>
      <c r="G54" s="665"/>
      <c r="H54" s="665"/>
      <c r="I54" s="665"/>
      <c r="J54" s="665">
        <v>-408</v>
      </c>
      <c r="K54" s="665">
        <v>408</v>
      </c>
      <c r="L54" s="665"/>
      <c r="M54" s="665"/>
      <c r="N54" s="665"/>
      <c r="O54" s="665"/>
      <c r="P54" s="665"/>
    </row>
    <row r="55" spans="1:16" s="93" customFormat="1" ht="20.25" customHeight="1">
      <c r="A55" s="420"/>
      <c r="B55" s="976">
        <v>80134</v>
      </c>
      <c r="C55" s="664" t="s">
        <v>58</v>
      </c>
      <c r="D55" s="665">
        <f t="shared" si="6"/>
        <v>0</v>
      </c>
      <c r="E55" s="665"/>
      <c r="F55" s="665"/>
      <c r="G55" s="665"/>
      <c r="H55" s="665"/>
      <c r="I55" s="665"/>
      <c r="J55" s="665">
        <v>-25248</v>
      </c>
      <c r="K55" s="665">
        <v>25248</v>
      </c>
      <c r="L55" s="665"/>
      <c r="M55" s="665"/>
      <c r="N55" s="665"/>
      <c r="O55" s="665"/>
      <c r="P55" s="665"/>
    </row>
    <row r="56" spans="1:16" s="93" customFormat="1" ht="45">
      <c r="A56" s="420"/>
      <c r="B56" s="976">
        <v>80140</v>
      </c>
      <c r="C56" s="664" t="s">
        <v>14</v>
      </c>
      <c r="D56" s="665">
        <f t="shared" si="6"/>
        <v>0</v>
      </c>
      <c r="E56" s="665"/>
      <c r="F56" s="665"/>
      <c r="G56" s="665"/>
      <c r="H56" s="665"/>
      <c r="I56" s="665"/>
      <c r="J56" s="665">
        <v>-15774</v>
      </c>
      <c r="K56" s="665">
        <v>15774</v>
      </c>
      <c r="L56" s="665"/>
      <c r="M56" s="665"/>
      <c r="N56" s="665"/>
      <c r="O56" s="665"/>
      <c r="P56" s="665"/>
    </row>
    <row r="57" spans="1:16" s="93" customFormat="1" ht="20.25" customHeight="1">
      <c r="A57" s="420"/>
      <c r="B57" s="976">
        <v>80146</v>
      </c>
      <c r="C57" s="856" t="s">
        <v>604</v>
      </c>
      <c r="D57" s="665">
        <f t="shared" si="6"/>
        <v>-2700</v>
      </c>
      <c r="E57" s="665"/>
      <c r="F57" s="665"/>
      <c r="G57" s="665"/>
      <c r="H57" s="665"/>
      <c r="I57" s="665"/>
      <c r="J57" s="665"/>
      <c r="K57" s="665"/>
      <c r="L57" s="665">
        <v>-2700</v>
      </c>
      <c r="M57" s="665"/>
      <c r="N57" s="665"/>
      <c r="O57" s="665"/>
      <c r="P57" s="665"/>
    </row>
    <row r="58" spans="1:16" s="93" customFormat="1" ht="20.25" customHeight="1">
      <c r="A58" s="420"/>
      <c r="B58" s="976">
        <v>80195</v>
      </c>
      <c r="C58" s="856" t="s">
        <v>401</v>
      </c>
      <c r="D58" s="665">
        <f t="shared" si="6"/>
        <v>9697</v>
      </c>
      <c r="E58" s="665"/>
      <c r="F58" s="665"/>
      <c r="G58" s="665"/>
      <c r="H58" s="665"/>
      <c r="I58" s="665">
        <v>-11549</v>
      </c>
      <c r="J58" s="665">
        <v>11549</v>
      </c>
      <c r="K58" s="665">
        <v>9697</v>
      </c>
      <c r="L58" s="665"/>
      <c r="M58" s="665"/>
      <c r="N58" s="665"/>
      <c r="O58" s="665"/>
      <c r="P58" s="665"/>
    </row>
    <row r="59" spans="1:16" s="93" customFormat="1" ht="20.25" customHeight="1">
      <c r="A59" s="420"/>
      <c r="B59" s="976">
        <v>80197</v>
      </c>
      <c r="C59" s="856" t="s">
        <v>60</v>
      </c>
      <c r="D59" s="665">
        <f t="shared" si="6"/>
        <v>0</v>
      </c>
      <c r="E59" s="665"/>
      <c r="F59" s="665"/>
      <c r="G59" s="665"/>
      <c r="H59" s="665"/>
      <c r="I59" s="665">
        <v>-3490</v>
      </c>
      <c r="J59" s="665">
        <v>3490</v>
      </c>
      <c r="K59" s="665"/>
      <c r="L59" s="665"/>
      <c r="M59" s="665"/>
      <c r="N59" s="665"/>
      <c r="O59" s="665"/>
      <c r="P59" s="665"/>
    </row>
    <row r="60" spans="1:16" s="93" customFormat="1" ht="21" customHeight="1" thickBot="1">
      <c r="A60" s="509">
        <v>854</v>
      </c>
      <c r="B60" s="509"/>
      <c r="C60" s="661" t="s">
        <v>403</v>
      </c>
      <c r="D60" s="662">
        <f t="shared" si="6"/>
        <v>-61339</v>
      </c>
      <c r="E60" s="662"/>
      <c r="F60" s="662"/>
      <c r="G60" s="662"/>
      <c r="H60" s="662"/>
      <c r="I60" s="662">
        <f>SUM(I61:I68)</f>
        <v>-202230</v>
      </c>
      <c r="J60" s="662">
        <f>SUM(J61:J68)</f>
        <v>-261911</v>
      </c>
      <c r="K60" s="662">
        <f>SUM(K61:K68)</f>
        <v>405490</v>
      </c>
      <c r="L60" s="662"/>
      <c r="M60" s="662">
        <f>SUM(M61:M68)</f>
        <v>-2688</v>
      </c>
      <c r="N60" s="662"/>
      <c r="O60" s="662"/>
      <c r="P60" s="662"/>
    </row>
    <row r="61" spans="1:16" s="93" customFormat="1" ht="20.25" customHeight="1">
      <c r="A61" s="420"/>
      <c r="B61" s="420">
        <v>85401</v>
      </c>
      <c r="C61" s="877" t="s">
        <v>61</v>
      </c>
      <c r="D61" s="501">
        <f t="shared" si="6"/>
        <v>-4759</v>
      </c>
      <c r="E61" s="501"/>
      <c r="F61" s="501"/>
      <c r="G61" s="501"/>
      <c r="H61" s="501"/>
      <c r="I61" s="501"/>
      <c r="J61" s="501">
        <v>-149773</v>
      </c>
      <c r="K61" s="501">
        <v>145014</v>
      </c>
      <c r="L61" s="501"/>
      <c r="M61" s="501"/>
      <c r="N61" s="501"/>
      <c r="O61" s="501"/>
      <c r="P61" s="501"/>
    </row>
    <row r="62" spans="1:16" s="93" customFormat="1" ht="20.25" customHeight="1">
      <c r="A62" s="420"/>
      <c r="B62" s="976">
        <v>85403</v>
      </c>
      <c r="C62" s="664" t="s">
        <v>599</v>
      </c>
      <c r="D62" s="665">
        <f t="shared" si="6"/>
        <v>0</v>
      </c>
      <c r="E62" s="665"/>
      <c r="F62" s="665"/>
      <c r="G62" s="665"/>
      <c r="H62" s="665"/>
      <c r="I62" s="665"/>
      <c r="J62" s="665">
        <v>-76355</v>
      </c>
      <c r="K62" s="665">
        <v>76355</v>
      </c>
      <c r="L62" s="665"/>
      <c r="M62" s="665"/>
      <c r="N62" s="665"/>
      <c r="O62" s="665"/>
      <c r="P62" s="665"/>
    </row>
    <row r="63" spans="1:16" s="93" customFormat="1" ht="30">
      <c r="A63" s="420"/>
      <c r="B63" s="976">
        <v>85406</v>
      </c>
      <c r="C63" s="664" t="s">
        <v>13</v>
      </c>
      <c r="D63" s="665">
        <f t="shared" si="6"/>
        <v>-34500</v>
      </c>
      <c r="E63" s="665"/>
      <c r="F63" s="665"/>
      <c r="G63" s="665"/>
      <c r="H63" s="665"/>
      <c r="I63" s="665"/>
      <c r="J63" s="665">
        <v>-56650</v>
      </c>
      <c r="K63" s="665">
        <v>22150</v>
      </c>
      <c r="L63" s="665"/>
      <c r="M63" s="665"/>
      <c r="N63" s="665"/>
      <c r="O63" s="665"/>
      <c r="P63" s="665"/>
    </row>
    <row r="64" spans="1:16" s="93" customFormat="1" ht="20.25" customHeight="1">
      <c r="A64" s="420"/>
      <c r="B64" s="976">
        <v>85407</v>
      </c>
      <c r="C64" s="664" t="s">
        <v>15</v>
      </c>
      <c r="D64" s="665">
        <f t="shared" si="6"/>
        <v>0</v>
      </c>
      <c r="E64" s="665"/>
      <c r="F64" s="665"/>
      <c r="G64" s="665"/>
      <c r="H64" s="665"/>
      <c r="I64" s="665"/>
      <c r="J64" s="665">
        <v>-75600</v>
      </c>
      <c r="K64" s="665">
        <v>75600</v>
      </c>
      <c r="L64" s="665"/>
      <c r="M64" s="665"/>
      <c r="N64" s="665"/>
      <c r="O64" s="665"/>
      <c r="P64" s="665"/>
    </row>
    <row r="65" spans="1:16" s="93" customFormat="1" ht="20.25" customHeight="1">
      <c r="A65" s="420"/>
      <c r="B65" s="976">
        <v>85410</v>
      </c>
      <c r="C65" s="664" t="s">
        <v>16</v>
      </c>
      <c r="D65" s="665">
        <f t="shared" si="6"/>
        <v>0</v>
      </c>
      <c r="E65" s="665"/>
      <c r="F65" s="665"/>
      <c r="G65" s="665"/>
      <c r="H65" s="665"/>
      <c r="I65" s="665"/>
      <c r="J65" s="665">
        <v>-86337</v>
      </c>
      <c r="K65" s="665">
        <v>86337</v>
      </c>
      <c r="L65" s="665"/>
      <c r="M65" s="665"/>
      <c r="N65" s="665"/>
      <c r="O65" s="665"/>
      <c r="P65" s="665"/>
    </row>
    <row r="66" spans="1:16" s="93" customFormat="1" ht="20.25" customHeight="1">
      <c r="A66" s="420"/>
      <c r="B66" s="663">
        <v>85415</v>
      </c>
      <c r="C66" s="983" t="s">
        <v>600</v>
      </c>
      <c r="D66" s="665">
        <f t="shared" si="6"/>
        <v>-16080</v>
      </c>
      <c r="E66" s="665"/>
      <c r="F66" s="665"/>
      <c r="G66" s="665"/>
      <c r="H66" s="665"/>
      <c r="I66" s="665">
        <v>-107942</v>
      </c>
      <c r="J66" s="665">
        <v>94550</v>
      </c>
      <c r="K66" s="665"/>
      <c r="L66" s="665"/>
      <c r="M66" s="665">
        <v>-2688</v>
      </c>
      <c r="N66" s="665"/>
      <c r="O66" s="665"/>
      <c r="P66" s="665"/>
    </row>
    <row r="67" spans="1:16" s="93" customFormat="1" ht="20.25" customHeight="1">
      <c r="A67" s="984"/>
      <c r="B67" s="380">
        <v>85421</v>
      </c>
      <c r="C67" s="856" t="s">
        <v>37</v>
      </c>
      <c r="D67" s="665">
        <f t="shared" si="6"/>
        <v>0</v>
      </c>
      <c r="E67" s="665"/>
      <c r="F67" s="665"/>
      <c r="G67" s="665"/>
      <c r="H67" s="665"/>
      <c r="I67" s="665"/>
      <c r="J67" s="665">
        <v>-34</v>
      </c>
      <c r="K67" s="665">
        <v>34</v>
      </c>
      <c r="L67" s="665"/>
      <c r="M67" s="665"/>
      <c r="N67" s="665"/>
      <c r="O67" s="665"/>
      <c r="P67" s="665"/>
    </row>
    <row r="68" spans="1:16" s="93" customFormat="1" ht="20.25" customHeight="1">
      <c r="A68" s="984"/>
      <c r="B68" s="380">
        <v>85495</v>
      </c>
      <c r="C68" s="856" t="s">
        <v>401</v>
      </c>
      <c r="D68" s="665">
        <f t="shared" si="6"/>
        <v>-6000</v>
      </c>
      <c r="E68" s="665"/>
      <c r="F68" s="665"/>
      <c r="G68" s="665"/>
      <c r="H68" s="665"/>
      <c r="I68" s="665">
        <v>-94288</v>
      </c>
      <c r="J68" s="665">
        <v>88288</v>
      </c>
      <c r="K68" s="665"/>
      <c r="L68" s="665"/>
      <c r="M68" s="665"/>
      <c r="N68" s="665"/>
      <c r="O68" s="665"/>
      <c r="P68" s="665"/>
    </row>
    <row r="69" spans="1:16" s="93" customFormat="1" ht="30.75" thickBot="1">
      <c r="A69" s="907"/>
      <c r="B69" s="380"/>
      <c r="C69" s="979" t="s">
        <v>195</v>
      </c>
      <c r="D69" s="500">
        <f t="shared" si="6"/>
        <v>0</v>
      </c>
      <c r="E69" s="500"/>
      <c r="F69" s="500"/>
      <c r="G69" s="500"/>
      <c r="H69" s="500"/>
      <c r="I69" s="500">
        <f>I70</f>
        <v>-16000</v>
      </c>
      <c r="J69" s="500">
        <f>J70</f>
        <v>-8834</v>
      </c>
      <c r="K69" s="500">
        <f>K70</f>
        <v>24834</v>
      </c>
      <c r="L69" s="500"/>
      <c r="M69" s="500"/>
      <c r="N69" s="500"/>
      <c r="O69" s="500"/>
      <c r="P69" s="500"/>
    </row>
    <row r="70" spans="1:16" s="93" customFormat="1" ht="21" customHeight="1" thickBot="1" thickTop="1">
      <c r="A70" s="980">
        <v>801</v>
      </c>
      <c r="B70" s="509"/>
      <c r="C70" s="981" t="s">
        <v>395</v>
      </c>
      <c r="D70" s="662">
        <f t="shared" si="6"/>
        <v>0</v>
      </c>
      <c r="E70" s="662"/>
      <c r="F70" s="662"/>
      <c r="G70" s="662"/>
      <c r="H70" s="662"/>
      <c r="I70" s="662">
        <f>SUM(I72:I72)</f>
        <v>-16000</v>
      </c>
      <c r="J70" s="662">
        <f>SUM(J71:J72)</f>
        <v>-8834</v>
      </c>
      <c r="K70" s="662">
        <f>SUM(K71:K72)</f>
        <v>24834</v>
      </c>
      <c r="L70" s="662"/>
      <c r="M70" s="662"/>
      <c r="N70" s="662"/>
      <c r="O70" s="662"/>
      <c r="P70" s="662"/>
    </row>
    <row r="71" spans="1:16" s="93" customFormat="1" ht="20.25" customHeight="1">
      <c r="A71" s="420"/>
      <c r="B71" s="1204">
        <v>80104</v>
      </c>
      <c r="C71" s="429" t="s">
        <v>595</v>
      </c>
      <c r="D71" s="501">
        <f t="shared" si="6"/>
        <v>0</v>
      </c>
      <c r="E71" s="1205"/>
      <c r="F71" s="1205"/>
      <c r="G71" s="1205"/>
      <c r="H71" s="1205"/>
      <c r="I71" s="1205"/>
      <c r="J71" s="1205">
        <v>-24834</v>
      </c>
      <c r="K71" s="1205">
        <v>24834</v>
      </c>
      <c r="L71" s="1205"/>
      <c r="M71" s="1205"/>
      <c r="N71" s="1205"/>
      <c r="O71" s="1205"/>
      <c r="P71" s="1205"/>
    </row>
    <row r="72" spans="1:16" s="93" customFormat="1" ht="20.25" customHeight="1">
      <c r="A72" s="420"/>
      <c r="B72" s="380">
        <v>80195</v>
      </c>
      <c r="C72" s="496" t="s">
        <v>401</v>
      </c>
      <c r="D72" s="501">
        <f t="shared" si="6"/>
        <v>0</v>
      </c>
      <c r="E72" s="501"/>
      <c r="F72" s="501"/>
      <c r="G72" s="501"/>
      <c r="H72" s="501"/>
      <c r="I72" s="501">
        <v>-16000</v>
      </c>
      <c r="J72" s="501">
        <v>16000</v>
      </c>
      <c r="K72" s="501"/>
      <c r="L72" s="501"/>
      <c r="M72" s="501"/>
      <c r="N72" s="501"/>
      <c r="O72" s="501"/>
      <c r="P72" s="501"/>
    </row>
    <row r="73" spans="1:16" s="93" customFormat="1" ht="25.5" customHeight="1">
      <c r="A73" s="420"/>
      <c r="B73" s="420"/>
      <c r="C73" s="422" t="s">
        <v>679</v>
      </c>
      <c r="D73" s="634">
        <f aca="true" t="shared" si="7" ref="D73:D84">SUM(E73:P73)</f>
        <v>54000</v>
      </c>
      <c r="E73" s="634"/>
      <c r="F73" s="634"/>
      <c r="G73" s="634"/>
      <c r="H73" s="634"/>
      <c r="I73" s="634">
        <f>I74</f>
        <v>-117263</v>
      </c>
      <c r="J73" s="634">
        <f>J74</f>
        <v>-656360</v>
      </c>
      <c r="K73" s="634">
        <f>K74</f>
        <v>516532</v>
      </c>
      <c r="L73" s="634">
        <f>L74</f>
        <v>42000</v>
      </c>
      <c r="M73" s="634">
        <f>M74</f>
        <v>269091</v>
      </c>
      <c r="N73" s="634"/>
      <c r="O73" s="634"/>
      <c r="P73" s="634"/>
    </row>
    <row r="74" spans="1:16" s="93" customFormat="1" ht="21" customHeight="1" thickBot="1">
      <c r="A74" s="380"/>
      <c r="B74" s="380"/>
      <c r="C74" s="425" t="s">
        <v>192</v>
      </c>
      <c r="D74" s="500">
        <f t="shared" si="7"/>
        <v>54000</v>
      </c>
      <c r="E74" s="500"/>
      <c r="F74" s="500"/>
      <c r="G74" s="500"/>
      <c r="H74" s="500"/>
      <c r="I74" s="500">
        <f>I75+I77+I79+I85+I87</f>
        <v>-117263</v>
      </c>
      <c r="J74" s="500">
        <f>J75+J77+J79+J85+J87</f>
        <v>-656360</v>
      </c>
      <c r="K74" s="500">
        <f>K75+K77+K79+K85+K87</f>
        <v>516532</v>
      </c>
      <c r="L74" s="500">
        <f>L75+L77+L79+L85+L87</f>
        <v>42000</v>
      </c>
      <c r="M74" s="500">
        <f>M75+M77+M79+M85+M87</f>
        <v>269091</v>
      </c>
      <c r="N74" s="500"/>
      <c r="O74" s="500"/>
      <c r="P74" s="500"/>
    </row>
    <row r="75" spans="1:16" s="93" customFormat="1" ht="21" customHeight="1" thickBot="1" thickTop="1">
      <c r="A75" s="509">
        <v>700</v>
      </c>
      <c r="B75" s="505"/>
      <c r="C75" s="508" t="s">
        <v>161</v>
      </c>
      <c r="D75" s="510">
        <f t="shared" si="7"/>
        <v>0</v>
      </c>
      <c r="E75" s="510"/>
      <c r="F75" s="510"/>
      <c r="G75" s="510"/>
      <c r="H75" s="510"/>
      <c r="I75" s="510"/>
      <c r="J75" s="510">
        <f>J76</f>
        <v>1309</v>
      </c>
      <c r="K75" s="510">
        <f>K76</f>
        <v>-1309</v>
      </c>
      <c r="L75" s="510"/>
      <c r="M75" s="510"/>
      <c r="N75" s="510"/>
      <c r="O75" s="510"/>
      <c r="P75" s="510"/>
    </row>
    <row r="76" spans="1:16" s="93" customFormat="1" ht="20.25" customHeight="1">
      <c r="A76" s="420"/>
      <c r="B76" s="380">
        <v>70001</v>
      </c>
      <c r="C76" s="496" t="s">
        <v>197</v>
      </c>
      <c r="D76" s="501">
        <f t="shared" si="7"/>
        <v>0</v>
      </c>
      <c r="E76" s="501"/>
      <c r="F76" s="501"/>
      <c r="G76" s="501"/>
      <c r="H76" s="501"/>
      <c r="I76" s="501"/>
      <c r="J76" s="501">
        <v>1309</v>
      </c>
      <c r="K76" s="501">
        <v>-1309</v>
      </c>
      <c r="L76" s="501"/>
      <c r="M76" s="501"/>
      <c r="N76" s="501"/>
      <c r="O76" s="501"/>
      <c r="P76" s="501"/>
    </row>
    <row r="77" spans="1:16" s="93" customFormat="1" ht="21" customHeight="1" thickBot="1">
      <c r="A77" s="509">
        <v>750</v>
      </c>
      <c r="B77" s="505"/>
      <c r="C77" s="508" t="s">
        <v>319</v>
      </c>
      <c r="D77" s="510">
        <f t="shared" si="7"/>
        <v>42000</v>
      </c>
      <c r="E77" s="510"/>
      <c r="F77" s="510"/>
      <c r="G77" s="510"/>
      <c r="H77" s="510"/>
      <c r="I77" s="510"/>
      <c r="J77" s="510"/>
      <c r="K77" s="510"/>
      <c r="L77" s="510">
        <f>L78</f>
        <v>42000</v>
      </c>
      <c r="M77" s="510"/>
      <c r="N77" s="510"/>
      <c r="O77" s="510"/>
      <c r="P77" s="510"/>
    </row>
    <row r="78" spans="1:16" s="93" customFormat="1" ht="20.25" customHeight="1">
      <c r="A78" s="420"/>
      <c r="B78" s="380">
        <v>75075</v>
      </c>
      <c r="C78" s="496" t="s">
        <v>126</v>
      </c>
      <c r="D78" s="501">
        <f t="shared" si="7"/>
        <v>42000</v>
      </c>
      <c r="E78" s="501"/>
      <c r="F78" s="501"/>
      <c r="G78" s="501"/>
      <c r="H78" s="501"/>
      <c r="I78" s="501"/>
      <c r="J78" s="735"/>
      <c r="K78" s="735"/>
      <c r="L78" s="501">
        <v>42000</v>
      </c>
      <c r="M78" s="501"/>
      <c r="N78" s="501"/>
      <c r="O78" s="501"/>
      <c r="P78" s="501"/>
    </row>
    <row r="79" spans="1:16" s="93" customFormat="1" ht="21" customHeight="1" thickBot="1">
      <c r="A79" s="509">
        <v>851</v>
      </c>
      <c r="B79" s="505"/>
      <c r="C79" s="508" t="s">
        <v>323</v>
      </c>
      <c r="D79" s="510">
        <f t="shared" si="7"/>
        <v>12000</v>
      </c>
      <c r="E79" s="510"/>
      <c r="F79" s="510"/>
      <c r="G79" s="510"/>
      <c r="H79" s="510"/>
      <c r="I79" s="510">
        <f>SUM(I80:I84)</f>
        <v>-112743</v>
      </c>
      <c r="J79" s="510">
        <f>SUM(J80:J84)</f>
        <v>-241292</v>
      </c>
      <c r="K79" s="510">
        <f>SUM(K80:K84)</f>
        <v>366944</v>
      </c>
      <c r="L79" s="510"/>
      <c r="M79" s="510">
        <f>SUM(M80:M84)</f>
        <v>-909</v>
      </c>
      <c r="N79" s="510"/>
      <c r="O79" s="510"/>
      <c r="P79" s="510"/>
    </row>
    <row r="80" spans="1:16" s="93" customFormat="1" ht="20.25" customHeight="1">
      <c r="A80" s="420"/>
      <c r="B80" s="380">
        <v>85121</v>
      </c>
      <c r="C80" s="496" t="s">
        <v>552</v>
      </c>
      <c r="D80" s="501">
        <f t="shared" si="7"/>
        <v>0</v>
      </c>
      <c r="E80" s="501"/>
      <c r="F80" s="501"/>
      <c r="G80" s="501"/>
      <c r="H80" s="501"/>
      <c r="I80" s="501">
        <v>-44585</v>
      </c>
      <c r="J80" s="501">
        <v>-110000</v>
      </c>
      <c r="K80" s="501">
        <v>154585</v>
      </c>
      <c r="L80" s="501"/>
      <c r="M80" s="501"/>
      <c r="N80" s="501"/>
      <c r="O80" s="501"/>
      <c r="P80" s="501"/>
    </row>
    <row r="81" spans="1:16" s="93" customFormat="1" ht="20.25" customHeight="1">
      <c r="A81" s="420"/>
      <c r="B81" s="380">
        <v>85131</v>
      </c>
      <c r="C81" s="496" t="s">
        <v>553</v>
      </c>
      <c r="D81" s="501">
        <f t="shared" si="7"/>
        <v>0</v>
      </c>
      <c r="E81" s="501"/>
      <c r="F81" s="501"/>
      <c r="G81" s="501"/>
      <c r="H81" s="501"/>
      <c r="I81" s="501"/>
      <c r="J81" s="501">
        <v>909</v>
      </c>
      <c r="K81" s="501"/>
      <c r="L81" s="501"/>
      <c r="M81" s="501">
        <v>-909</v>
      </c>
      <c r="N81" s="501"/>
      <c r="O81" s="501"/>
      <c r="P81" s="501"/>
    </row>
    <row r="82" spans="1:16" s="93" customFormat="1" ht="20.25" customHeight="1">
      <c r="A82" s="420"/>
      <c r="B82" s="380">
        <v>85153</v>
      </c>
      <c r="C82" s="496" t="s">
        <v>67</v>
      </c>
      <c r="D82" s="501">
        <f t="shared" si="7"/>
        <v>0</v>
      </c>
      <c r="E82" s="501"/>
      <c r="F82" s="501"/>
      <c r="G82" s="501"/>
      <c r="H82" s="501"/>
      <c r="I82" s="501">
        <v>-68158</v>
      </c>
      <c r="J82" s="501">
        <v>-2201</v>
      </c>
      <c r="K82" s="501">
        <v>70359</v>
      </c>
      <c r="L82" s="501"/>
      <c r="M82" s="501"/>
      <c r="N82" s="501"/>
      <c r="O82" s="501"/>
      <c r="P82" s="501"/>
    </row>
    <row r="83" spans="1:16" s="93" customFormat="1" ht="20.25" customHeight="1">
      <c r="A83" s="420"/>
      <c r="B83" s="380">
        <v>85154</v>
      </c>
      <c r="C83" s="496" t="s">
        <v>334</v>
      </c>
      <c r="D83" s="501">
        <f t="shared" si="7"/>
        <v>12000</v>
      </c>
      <c r="E83" s="501"/>
      <c r="F83" s="501"/>
      <c r="G83" s="501"/>
      <c r="H83" s="501"/>
      <c r="I83" s="501"/>
      <c r="J83" s="501"/>
      <c r="K83" s="501">
        <v>12000</v>
      </c>
      <c r="L83" s="501"/>
      <c r="M83" s="501"/>
      <c r="N83" s="501"/>
      <c r="O83" s="501"/>
      <c r="P83" s="501"/>
    </row>
    <row r="84" spans="1:16" s="93" customFormat="1" ht="20.25" customHeight="1">
      <c r="A84" s="380"/>
      <c r="B84" s="380">
        <v>85195</v>
      </c>
      <c r="C84" s="496" t="s">
        <v>401</v>
      </c>
      <c r="D84" s="501">
        <f t="shared" si="7"/>
        <v>0</v>
      </c>
      <c r="E84" s="501"/>
      <c r="F84" s="501"/>
      <c r="G84" s="501"/>
      <c r="H84" s="501"/>
      <c r="I84" s="501"/>
      <c r="J84" s="501">
        <v>-130000</v>
      </c>
      <c r="K84" s="501">
        <v>130000</v>
      </c>
      <c r="L84" s="501"/>
      <c r="M84" s="501"/>
      <c r="N84" s="501"/>
      <c r="O84" s="501"/>
      <c r="P84" s="501"/>
    </row>
    <row r="85" spans="1:16" s="93" customFormat="1" ht="21.75" customHeight="1" thickBot="1">
      <c r="A85" s="509">
        <v>921</v>
      </c>
      <c r="B85" s="505"/>
      <c r="C85" s="508" t="s">
        <v>697</v>
      </c>
      <c r="D85" s="510">
        <f aca="true" t="shared" si="8" ref="D85:D100">SUM(E85:P85)</f>
        <v>0</v>
      </c>
      <c r="E85" s="510"/>
      <c r="F85" s="510"/>
      <c r="G85" s="510"/>
      <c r="H85" s="510"/>
      <c r="I85" s="510">
        <f>SUM(I86:I86)</f>
        <v>-4520</v>
      </c>
      <c r="J85" s="510">
        <f>SUM(J86:J86)</f>
        <v>-146377</v>
      </c>
      <c r="K85" s="510">
        <f>SUM(K86:K86)</f>
        <v>150897</v>
      </c>
      <c r="L85" s="510"/>
      <c r="M85" s="510"/>
      <c r="N85" s="510"/>
      <c r="O85" s="510"/>
      <c r="P85" s="510"/>
    </row>
    <row r="86" spans="1:16" s="93" customFormat="1" ht="20.25" customHeight="1">
      <c r="A86" s="1204"/>
      <c r="B86" s="427">
        <v>92105</v>
      </c>
      <c r="C86" s="429" t="s">
        <v>615</v>
      </c>
      <c r="D86" s="1205">
        <f t="shared" si="8"/>
        <v>0</v>
      </c>
      <c r="E86" s="1205"/>
      <c r="F86" s="1205"/>
      <c r="G86" s="1205"/>
      <c r="H86" s="1205"/>
      <c r="I86" s="1205">
        <v>-4520</v>
      </c>
      <c r="J86" s="1205">
        <v>-146377</v>
      </c>
      <c r="K86" s="1205">
        <v>150897</v>
      </c>
      <c r="L86" s="1205"/>
      <c r="M86" s="1205"/>
      <c r="N86" s="1205"/>
      <c r="O86" s="1205"/>
      <c r="P86" s="1205"/>
    </row>
    <row r="87" spans="1:16" s="93" customFormat="1" ht="21" customHeight="1" thickBot="1">
      <c r="A87" s="509">
        <v>926</v>
      </c>
      <c r="B87" s="505"/>
      <c r="C87" s="508" t="s">
        <v>601</v>
      </c>
      <c r="D87" s="510">
        <f>SUM(E87:P87)</f>
        <v>0</v>
      </c>
      <c r="E87" s="510"/>
      <c r="F87" s="510"/>
      <c r="G87" s="510"/>
      <c r="H87" s="510"/>
      <c r="I87" s="510"/>
      <c r="J87" s="510">
        <f>SUM(J88:J88)</f>
        <v>-270000</v>
      </c>
      <c r="K87" s="510"/>
      <c r="L87" s="510"/>
      <c r="M87" s="510">
        <f>SUM(M88:M88)</f>
        <v>270000</v>
      </c>
      <c r="N87" s="510"/>
      <c r="O87" s="510"/>
      <c r="P87" s="510"/>
    </row>
    <row r="88" spans="1:16" s="93" customFormat="1" ht="20.25" customHeight="1">
      <c r="A88" s="420"/>
      <c r="B88" s="635">
        <v>92604</v>
      </c>
      <c r="C88" s="496" t="s">
        <v>754</v>
      </c>
      <c r="D88" s="501">
        <f>SUM(E88:P88)</f>
        <v>0</v>
      </c>
      <c r="E88" s="501"/>
      <c r="F88" s="501"/>
      <c r="G88" s="501"/>
      <c r="H88" s="501"/>
      <c r="I88" s="501"/>
      <c r="J88" s="501">
        <v>-270000</v>
      </c>
      <c r="K88" s="501"/>
      <c r="L88" s="501"/>
      <c r="M88" s="501">
        <v>270000</v>
      </c>
      <c r="N88" s="501"/>
      <c r="O88" s="501"/>
      <c r="P88" s="501"/>
    </row>
    <row r="89" spans="1:16" s="93" customFormat="1" ht="25.5" customHeight="1">
      <c r="A89" s="420"/>
      <c r="B89" s="420"/>
      <c r="C89" s="422" t="s">
        <v>680</v>
      </c>
      <c r="D89" s="634">
        <f t="shared" si="8"/>
        <v>0</v>
      </c>
      <c r="E89" s="634"/>
      <c r="F89" s="634"/>
      <c r="G89" s="634"/>
      <c r="H89" s="634"/>
      <c r="I89" s="634">
        <f>I90</f>
        <v>-22831939</v>
      </c>
      <c r="J89" s="634">
        <f>J90</f>
        <v>22876439</v>
      </c>
      <c r="K89" s="634"/>
      <c r="L89" s="634"/>
      <c r="M89" s="634"/>
      <c r="N89" s="634"/>
      <c r="O89" s="634">
        <f>O90</f>
        <v>-44500</v>
      </c>
      <c r="P89" s="634"/>
    </row>
    <row r="90" spans="1:16" s="93" customFormat="1" ht="21" customHeight="1" thickBot="1">
      <c r="A90" s="380"/>
      <c r="B90" s="380"/>
      <c r="C90" s="425" t="s">
        <v>192</v>
      </c>
      <c r="D90" s="500">
        <f t="shared" si="8"/>
        <v>0</v>
      </c>
      <c r="E90" s="500"/>
      <c r="F90" s="500"/>
      <c r="G90" s="500"/>
      <c r="H90" s="500"/>
      <c r="I90" s="500">
        <f>I91+I95+I98+I101+I107+I109+I115+I118</f>
        <v>-22831939</v>
      </c>
      <c r="J90" s="500">
        <f>J91+J95+J98+J101+J107+J109+J115+J118</f>
        <v>22876439</v>
      </c>
      <c r="K90" s="500"/>
      <c r="L90" s="500"/>
      <c r="M90" s="500"/>
      <c r="N90" s="500"/>
      <c r="O90" s="500">
        <f>O91+O95+O98+O101+O107+O109+O115+O118</f>
        <v>-44500</v>
      </c>
      <c r="P90" s="500"/>
    </row>
    <row r="91" spans="1:16" s="93" customFormat="1" ht="21" customHeight="1" thickBot="1" thickTop="1">
      <c r="A91" s="505">
        <v>600</v>
      </c>
      <c r="B91" s="876"/>
      <c r="C91" s="508" t="s">
        <v>162</v>
      </c>
      <c r="D91" s="510">
        <f t="shared" si="8"/>
        <v>0</v>
      </c>
      <c r="E91" s="510"/>
      <c r="F91" s="510"/>
      <c r="G91" s="510"/>
      <c r="H91" s="510"/>
      <c r="I91" s="510">
        <f>SUM(I92:I94)</f>
        <v>-7095655</v>
      </c>
      <c r="J91" s="510">
        <f>SUM(J92:J94)</f>
        <v>7095655</v>
      </c>
      <c r="K91" s="510"/>
      <c r="L91" s="510"/>
      <c r="M91" s="510"/>
      <c r="N91" s="510"/>
      <c r="O91" s="510"/>
      <c r="P91" s="510"/>
    </row>
    <row r="92" spans="1:16" s="93" customFormat="1" ht="20.25" customHeight="1">
      <c r="A92" s="420"/>
      <c r="B92" s="380">
        <v>60004</v>
      </c>
      <c r="C92" s="496" t="s">
        <v>748</v>
      </c>
      <c r="D92" s="501">
        <f t="shared" si="8"/>
        <v>0</v>
      </c>
      <c r="E92" s="501"/>
      <c r="F92" s="501"/>
      <c r="G92" s="501"/>
      <c r="H92" s="501"/>
      <c r="I92" s="501">
        <v>-50000</v>
      </c>
      <c r="J92" s="501">
        <v>50000</v>
      </c>
      <c r="K92" s="501"/>
      <c r="L92" s="501"/>
      <c r="M92" s="501"/>
      <c r="N92" s="501"/>
      <c r="O92" s="501"/>
      <c r="P92" s="501"/>
    </row>
    <row r="93" spans="1:16" s="93" customFormat="1" ht="30">
      <c r="A93" s="420"/>
      <c r="B93" s="663">
        <v>60015</v>
      </c>
      <c r="C93" s="856" t="s">
        <v>169</v>
      </c>
      <c r="D93" s="665">
        <f t="shared" si="8"/>
        <v>0</v>
      </c>
      <c r="E93" s="665"/>
      <c r="F93" s="665"/>
      <c r="G93" s="665"/>
      <c r="H93" s="665"/>
      <c r="I93" s="665">
        <v>-6526188</v>
      </c>
      <c r="J93" s="665">
        <v>6526188</v>
      </c>
      <c r="K93" s="665"/>
      <c r="L93" s="665"/>
      <c r="M93" s="665"/>
      <c r="N93" s="665"/>
      <c r="O93" s="665"/>
      <c r="P93" s="665"/>
    </row>
    <row r="94" spans="1:16" s="93" customFormat="1" ht="20.25" customHeight="1">
      <c r="A94" s="420"/>
      <c r="B94" s="380">
        <v>60016</v>
      </c>
      <c r="C94" s="856" t="s">
        <v>170</v>
      </c>
      <c r="D94" s="665">
        <f t="shared" si="8"/>
        <v>0</v>
      </c>
      <c r="E94" s="501"/>
      <c r="F94" s="501"/>
      <c r="G94" s="501"/>
      <c r="H94" s="501"/>
      <c r="I94" s="501">
        <v>-519467</v>
      </c>
      <c r="J94" s="501">
        <v>519467</v>
      </c>
      <c r="K94" s="501"/>
      <c r="L94" s="501"/>
      <c r="M94" s="501"/>
      <c r="N94" s="501"/>
      <c r="O94" s="501"/>
      <c r="P94" s="501"/>
    </row>
    <row r="95" spans="1:16" s="93" customFormat="1" ht="21" customHeight="1" thickBot="1">
      <c r="A95" s="509">
        <v>700</v>
      </c>
      <c r="B95" s="505"/>
      <c r="C95" s="508" t="s">
        <v>621</v>
      </c>
      <c r="D95" s="510">
        <f t="shared" si="8"/>
        <v>0</v>
      </c>
      <c r="E95" s="510"/>
      <c r="F95" s="510"/>
      <c r="G95" s="510"/>
      <c r="H95" s="510"/>
      <c r="I95" s="510">
        <f>SUM(I96:I97)</f>
        <v>-566331</v>
      </c>
      <c r="J95" s="510">
        <f>SUM(J96:J97)</f>
        <v>566331</v>
      </c>
      <c r="K95" s="510"/>
      <c r="L95" s="510"/>
      <c r="M95" s="510"/>
      <c r="N95" s="510"/>
      <c r="O95" s="510"/>
      <c r="P95" s="510"/>
    </row>
    <row r="96" spans="1:16" s="93" customFormat="1" ht="20.25" customHeight="1">
      <c r="A96" s="420"/>
      <c r="B96" s="380">
        <v>70005</v>
      </c>
      <c r="C96" s="496" t="s">
        <v>698</v>
      </c>
      <c r="D96" s="501">
        <f t="shared" si="8"/>
        <v>0</v>
      </c>
      <c r="E96" s="501"/>
      <c r="F96" s="501"/>
      <c r="G96" s="501"/>
      <c r="H96" s="501"/>
      <c r="I96" s="501">
        <v>-5000</v>
      </c>
      <c r="J96" s="501">
        <v>5000</v>
      </c>
      <c r="K96" s="501"/>
      <c r="L96" s="501"/>
      <c r="M96" s="501"/>
      <c r="N96" s="501"/>
      <c r="O96" s="501"/>
      <c r="P96" s="501"/>
    </row>
    <row r="97" spans="1:16" s="93" customFormat="1" ht="20.25" customHeight="1">
      <c r="A97" s="380"/>
      <c r="B97" s="380">
        <v>70095</v>
      </c>
      <c r="C97" s="856" t="s">
        <v>401</v>
      </c>
      <c r="D97" s="665">
        <f t="shared" si="8"/>
        <v>0</v>
      </c>
      <c r="E97" s="501"/>
      <c r="F97" s="501"/>
      <c r="G97" s="501"/>
      <c r="H97" s="501"/>
      <c r="I97" s="501">
        <v>-561331</v>
      </c>
      <c r="J97" s="501">
        <v>561331</v>
      </c>
      <c r="K97" s="501"/>
      <c r="L97" s="501"/>
      <c r="M97" s="501"/>
      <c r="N97" s="501"/>
      <c r="O97" s="501"/>
      <c r="P97" s="501"/>
    </row>
    <row r="98" spans="1:16" s="93" customFormat="1" ht="21" customHeight="1" thickBot="1">
      <c r="A98" s="505">
        <v>710</v>
      </c>
      <c r="B98" s="505"/>
      <c r="C98" s="508" t="s">
        <v>330</v>
      </c>
      <c r="D98" s="510">
        <f t="shared" si="8"/>
        <v>0</v>
      </c>
      <c r="E98" s="510"/>
      <c r="F98" s="510"/>
      <c r="G98" s="510"/>
      <c r="H98" s="510"/>
      <c r="I98" s="510">
        <f>SUM(I99:I100)</f>
        <v>-179511</v>
      </c>
      <c r="J98" s="510">
        <f>SUM(J99:J100)</f>
        <v>179511</v>
      </c>
      <c r="K98" s="510"/>
      <c r="L98" s="510"/>
      <c r="M98" s="510"/>
      <c r="N98" s="510"/>
      <c r="O98" s="510"/>
      <c r="P98" s="510"/>
    </row>
    <row r="99" spans="1:16" s="93" customFormat="1" ht="20.25" customHeight="1">
      <c r="A99" s="420"/>
      <c r="B99" s="380">
        <v>71004</v>
      </c>
      <c r="C99" s="496" t="s">
        <v>171</v>
      </c>
      <c r="D99" s="501">
        <f t="shared" si="8"/>
        <v>0</v>
      </c>
      <c r="E99" s="501"/>
      <c r="F99" s="501"/>
      <c r="G99" s="501"/>
      <c r="H99" s="501"/>
      <c r="I99" s="501">
        <v>-22073</v>
      </c>
      <c r="J99" s="501">
        <v>22073</v>
      </c>
      <c r="K99" s="501"/>
      <c r="L99" s="501"/>
      <c r="M99" s="501"/>
      <c r="N99" s="501"/>
      <c r="O99" s="501"/>
      <c r="P99" s="501"/>
    </row>
    <row r="100" spans="1:16" s="93" customFormat="1" ht="20.25" customHeight="1">
      <c r="A100" s="380"/>
      <c r="B100" s="663">
        <v>71035</v>
      </c>
      <c r="C100" s="856" t="s">
        <v>172</v>
      </c>
      <c r="D100" s="501">
        <f t="shared" si="8"/>
        <v>0</v>
      </c>
      <c r="E100" s="665"/>
      <c r="F100" s="665"/>
      <c r="G100" s="665"/>
      <c r="H100" s="665"/>
      <c r="I100" s="665">
        <v>-157438</v>
      </c>
      <c r="J100" s="665">
        <v>157438</v>
      </c>
      <c r="K100" s="665"/>
      <c r="L100" s="665"/>
      <c r="M100" s="665"/>
      <c r="N100" s="665"/>
      <c r="O100" s="665"/>
      <c r="P100" s="665"/>
    </row>
    <row r="101" spans="1:16" s="93" customFormat="1" ht="21" customHeight="1" thickBot="1">
      <c r="A101" s="509">
        <v>801</v>
      </c>
      <c r="B101" s="505"/>
      <c r="C101" s="508" t="s">
        <v>395</v>
      </c>
      <c r="D101" s="510">
        <f aca="true" t="shared" si="9" ref="D101:D108">SUM(E101:P101)</f>
        <v>0</v>
      </c>
      <c r="E101" s="510"/>
      <c r="F101" s="510"/>
      <c r="G101" s="510"/>
      <c r="H101" s="510"/>
      <c r="I101" s="510">
        <f>SUM(I102:I106)</f>
        <v>-4401706</v>
      </c>
      <c r="J101" s="510">
        <f>SUM(J102:J106)</f>
        <v>4401706</v>
      </c>
      <c r="K101" s="510"/>
      <c r="L101" s="510"/>
      <c r="M101" s="510"/>
      <c r="N101" s="510"/>
      <c r="O101" s="510"/>
      <c r="P101" s="510"/>
    </row>
    <row r="102" spans="1:16" s="93" customFormat="1" ht="20.25" customHeight="1">
      <c r="A102" s="420"/>
      <c r="B102" s="635">
        <v>80101</v>
      </c>
      <c r="C102" s="496" t="s">
        <v>396</v>
      </c>
      <c r="D102" s="501">
        <f t="shared" si="9"/>
        <v>0</v>
      </c>
      <c r="E102" s="501"/>
      <c r="F102" s="501"/>
      <c r="G102" s="501"/>
      <c r="H102" s="501"/>
      <c r="I102" s="501">
        <v>-4148459</v>
      </c>
      <c r="J102" s="501">
        <v>4148459</v>
      </c>
      <c r="K102" s="501"/>
      <c r="L102" s="501"/>
      <c r="M102" s="501"/>
      <c r="N102" s="501"/>
      <c r="O102" s="501"/>
      <c r="P102" s="501"/>
    </row>
    <row r="103" spans="1:16" s="93" customFormat="1" ht="20.25" customHeight="1">
      <c r="A103" s="420"/>
      <c r="B103" s="635">
        <v>80104</v>
      </c>
      <c r="C103" s="496" t="s">
        <v>595</v>
      </c>
      <c r="D103" s="501">
        <f t="shared" si="9"/>
        <v>0</v>
      </c>
      <c r="E103" s="501"/>
      <c r="F103" s="501"/>
      <c r="G103" s="501"/>
      <c r="H103" s="501"/>
      <c r="I103" s="501">
        <v>-110248</v>
      </c>
      <c r="J103" s="501">
        <v>110248</v>
      </c>
      <c r="K103" s="501"/>
      <c r="L103" s="501"/>
      <c r="M103" s="501"/>
      <c r="N103" s="501"/>
      <c r="O103" s="501"/>
      <c r="P103" s="501"/>
    </row>
    <row r="104" spans="1:16" s="93" customFormat="1" ht="20.25" customHeight="1">
      <c r="A104" s="420"/>
      <c r="B104" s="635">
        <v>80110</v>
      </c>
      <c r="C104" s="496" t="s">
        <v>596</v>
      </c>
      <c r="D104" s="501">
        <f t="shared" si="9"/>
        <v>0</v>
      </c>
      <c r="E104" s="501"/>
      <c r="F104" s="501"/>
      <c r="G104" s="501"/>
      <c r="H104" s="501"/>
      <c r="I104" s="501">
        <v>-1000</v>
      </c>
      <c r="J104" s="501">
        <v>1000</v>
      </c>
      <c r="K104" s="501"/>
      <c r="L104" s="501"/>
      <c r="M104" s="501"/>
      <c r="N104" s="501"/>
      <c r="O104" s="501"/>
      <c r="P104" s="501"/>
    </row>
    <row r="105" spans="1:16" s="93" customFormat="1" ht="20.25" customHeight="1">
      <c r="A105" s="420"/>
      <c r="B105" s="663">
        <v>80120</v>
      </c>
      <c r="C105" s="856" t="s">
        <v>597</v>
      </c>
      <c r="D105" s="501">
        <f t="shared" si="9"/>
        <v>0</v>
      </c>
      <c r="E105" s="665"/>
      <c r="F105" s="665"/>
      <c r="G105" s="665"/>
      <c r="H105" s="665"/>
      <c r="I105" s="665">
        <v>-9500</v>
      </c>
      <c r="J105" s="665">
        <v>9500</v>
      </c>
      <c r="K105" s="665"/>
      <c r="L105" s="665"/>
      <c r="M105" s="665"/>
      <c r="N105" s="665"/>
      <c r="O105" s="665"/>
      <c r="P105" s="665"/>
    </row>
    <row r="106" spans="1:16" s="93" customFormat="1" ht="20.25" customHeight="1">
      <c r="A106" s="380"/>
      <c r="B106" s="635">
        <v>80130</v>
      </c>
      <c r="C106" s="496" t="s">
        <v>398</v>
      </c>
      <c r="D106" s="501">
        <f t="shared" si="9"/>
        <v>0</v>
      </c>
      <c r="E106" s="501"/>
      <c r="F106" s="501"/>
      <c r="G106" s="501"/>
      <c r="H106" s="501"/>
      <c r="I106" s="501">
        <v>-132499</v>
      </c>
      <c r="J106" s="501">
        <v>132499</v>
      </c>
      <c r="K106" s="501"/>
      <c r="L106" s="501"/>
      <c r="M106" s="501"/>
      <c r="N106" s="501"/>
      <c r="O106" s="501"/>
      <c r="P106" s="501"/>
    </row>
    <row r="107" spans="1:16" s="93" customFormat="1" ht="21" customHeight="1" thickBot="1">
      <c r="A107" s="509">
        <v>852</v>
      </c>
      <c r="B107" s="505"/>
      <c r="C107" s="508" t="s">
        <v>324</v>
      </c>
      <c r="D107" s="510">
        <f t="shared" si="9"/>
        <v>0</v>
      </c>
      <c r="E107" s="510"/>
      <c r="F107" s="510"/>
      <c r="G107" s="510"/>
      <c r="H107" s="510"/>
      <c r="I107" s="510">
        <f>SUM(I108)</f>
        <v>-3600</v>
      </c>
      <c r="J107" s="510">
        <f>SUM(J108)</f>
        <v>3600</v>
      </c>
      <c r="K107" s="510"/>
      <c r="L107" s="510"/>
      <c r="M107" s="510"/>
      <c r="N107" s="510"/>
      <c r="O107" s="510"/>
      <c r="P107" s="510"/>
    </row>
    <row r="108" spans="1:16" s="93" customFormat="1" ht="20.25" customHeight="1">
      <c r="A108" s="420"/>
      <c r="B108" s="635">
        <v>85202</v>
      </c>
      <c r="C108" s="496" t="s">
        <v>620</v>
      </c>
      <c r="D108" s="501">
        <f t="shared" si="9"/>
        <v>0</v>
      </c>
      <c r="E108" s="501"/>
      <c r="F108" s="501"/>
      <c r="G108" s="501"/>
      <c r="H108" s="501"/>
      <c r="I108" s="501">
        <v>-3600</v>
      </c>
      <c r="J108" s="501">
        <v>3600</v>
      </c>
      <c r="K108" s="501"/>
      <c r="L108" s="501"/>
      <c r="M108" s="501"/>
      <c r="N108" s="501"/>
      <c r="O108" s="501"/>
      <c r="P108" s="501"/>
    </row>
    <row r="109" spans="1:16" s="93" customFormat="1" ht="32.25" thickBot="1">
      <c r="A109" s="509">
        <v>900</v>
      </c>
      <c r="B109" s="505"/>
      <c r="C109" s="508" t="s">
        <v>378</v>
      </c>
      <c r="D109" s="510">
        <f aca="true" t="shared" si="10" ref="D109:D125">SUM(E109:P109)</f>
        <v>0</v>
      </c>
      <c r="E109" s="510"/>
      <c r="F109" s="510"/>
      <c r="G109" s="510"/>
      <c r="H109" s="510"/>
      <c r="I109" s="510">
        <f>SUM(I110:I114)</f>
        <v>-7894839</v>
      </c>
      <c r="J109" s="510">
        <f>SUM(J110:J114)</f>
        <v>7894839</v>
      </c>
      <c r="K109" s="510"/>
      <c r="L109" s="510"/>
      <c r="M109" s="510"/>
      <c r="N109" s="510"/>
      <c r="O109" s="510"/>
      <c r="P109" s="510"/>
    </row>
    <row r="110" spans="1:16" s="93" customFormat="1" ht="20.25" customHeight="1">
      <c r="A110" s="420"/>
      <c r="B110" s="635">
        <v>90001</v>
      </c>
      <c r="C110" s="496" t="s">
        <v>341</v>
      </c>
      <c r="D110" s="501">
        <f t="shared" si="10"/>
        <v>0</v>
      </c>
      <c r="E110" s="501"/>
      <c r="F110" s="501"/>
      <c r="G110" s="501"/>
      <c r="H110" s="501"/>
      <c r="I110" s="501">
        <v>-1923636</v>
      </c>
      <c r="J110" s="501">
        <v>1923636</v>
      </c>
      <c r="K110" s="501"/>
      <c r="L110" s="501"/>
      <c r="M110" s="501"/>
      <c r="N110" s="501"/>
      <c r="O110" s="501"/>
      <c r="P110" s="501"/>
    </row>
    <row r="111" spans="1:16" s="93" customFormat="1" ht="20.25" customHeight="1">
      <c r="A111" s="420"/>
      <c r="B111" s="635">
        <v>90002</v>
      </c>
      <c r="C111" s="496" t="s">
        <v>632</v>
      </c>
      <c r="D111" s="501">
        <f t="shared" si="10"/>
        <v>0</v>
      </c>
      <c r="E111" s="501"/>
      <c r="F111" s="501"/>
      <c r="G111" s="501"/>
      <c r="H111" s="501"/>
      <c r="I111" s="501">
        <v>-70000</v>
      </c>
      <c r="J111" s="501">
        <v>70000</v>
      </c>
      <c r="K111" s="501"/>
      <c r="L111" s="501"/>
      <c r="M111" s="501"/>
      <c r="N111" s="501"/>
      <c r="O111" s="501"/>
      <c r="P111" s="501"/>
    </row>
    <row r="112" spans="1:16" s="93" customFormat="1" ht="20.25" customHeight="1">
      <c r="A112" s="420"/>
      <c r="B112" s="635">
        <v>90004</v>
      </c>
      <c r="C112" s="496" t="s">
        <v>749</v>
      </c>
      <c r="D112" s="501">
        <f t="shared" si="10"/>
        <v>0</v>
      </c>
      <c r="E112" s="501"/>
      <c r="F112" s="501"/>
      <c r="G112" s="501"/>
      <c r="H112" s="501"/>
      <c r="I112" s="501">
        <v>-400000</v>
      </c>
      <c r="J112" s="501">
        <v>400000</v>
      </c>
      <c r="K112" s="501"/>
      <c r="L112" s="501"/>
      <c r="M112" s="501"/>
      <c r="N112" s="501"/>
      <c r="O112" s="501"/>
      <c r="P112" s="501"/>
    </row>
    <row r="113" spans="1:16" s="93" customFormat="1" ht="20.25" customHeight="1">
      <c r="A113" s="420"/>
      <c r="B113" s="635">
        <v>90015</v>
      </c>
      <c r="C113" s="496" t="s">
        <v>750</v>
      </c>
      <c r="D113" s="501">
        <f t="shared" si="10"/>
        <v>0</v>
      </c>
      <c r="E113" s="501"/>
      <c r="F113" s="501"/>
      <c r="G113" s="501"/>
      <c r="H113" s="501"/>
      <c r="I113" s="501">
        <v>-30000</v>
      </c>
      <c r="J113" s="501">
        <v>30000</v>
      </c>
      <c r="K113" s="501"/>
      <c r="L113" s="501"/>
      <c r="M113" s="501"/>
      <c r="N113" s="501"/>
      <c r="O113" s="501"/>
      <c r="P113" s="501"/>
    </row>
    <row r="114" spans="1:16" s="93" customFormat="1" ht="20.25" customHeight="1">
      <c r="A114" s="380"/>
      <c r="B114" s="663">
        <v>90095</v>
      </c>
      <c r="C114" s="496" t="s">
        <v>401</v>
      </c>
      <c r="D114" s="501">
        <f t="shared" si="10"/>
        <v>0</v>
      </c>
      <c r="E114" s="665"/>
      <c r="F114" s="665"/>
      <c r="G114" s="665"/>
      <c r="H114" s="665"/>
      <c r="I114" s="665">
        <v>-5471203</v>
      </c>
      <c r="J114" s="665">
        <v>5471203</v>
      </c>
      <c r="K114" s="665"/>
      <c r="L114" s="665"/>
      <c r="M114" s="665"/>
      <c r="N114" s="665"/>
      <c r="O114" s="665"/>
      <c r="P114" s="665"/>
    </row>
    <row r="115" spans="1:16" s="93" customFormat="1" ht="32.25" thickBot="1">
      <c r="A115" s="509">
        <v>921</v>
      </c>
      <c r="B115" s="505"/>
      <c r="C115" s="508" t="s">
        <v>697</v>
      </c>
      <c r="D115" s="510">
        <f t="shared" si="10"/>
        <v>0</v>
      </c>
      <c r="E115" s="510"/>
      <c r="F115" s="510"/>
      <c r="G115" s="510"/>
      <c r="H115" s="510"/>
      <c r="I115" s="510">
        <f>SUM(I116:I117)</f>
        <v>-584197</v>
      </c>
      <c r="J115" s="510">
        <f>SUM(J116:J117)</f>
        <v>628697</v>
      </c>
      <c r="K115" s="510"/>
      <c r="L115" s="510"/>
      <c r="M115" s="510"/>
      <c r="N115" s="510"/>
      <c r="O115" s="510">
        <f>SUM(O116:O117)</f>
        <v>-44500</v>
      </c>
      <c r="P115" s="510"/>
    </row>
    <row r="116" spans="1:16" s="93" customFormat="1" ht="20.25" customHeight="1">
      <c r="A116" s="420"/>
      <c r="B116" s="635">
        <v>92113</v>
      </c>
      <c r="C116" s="496" t="s">
        <v>751</v>
      </c>
      <c r="D116" s="501">
        <f t="shared" si="10"/>
        <v>0</v>
      </c>
      <c r="E116" s="501"/>
      <c r="F116" s="501"/>
      <c r="G116" s="501"/>
      <c r="H116" s="501"/>
      <c r="I116" s="501">
        <v>-24197</v>
      </c>
      <c r="J116" s="501">
        <f>44500+24197</f>
        <v>68697</v>
      </c>
      <c r="K116" s="501"/>
      <c r="L116" s="501"/>
      <c r="M116" s="501"/>
      <c r="N116" s="501"/>
      <c r="O116" s="501">
        <v>-44500</v>
      </c>
      <c r="P116" s="501"/>
    </row>
    <row r="117" spans="1:16" s="93" customFormat="1" ht="20.25" customHeight="1">
      <c r="A117" s="420"/>
      <c r="B117" s="635">
        <v>92120</v>
      </c>
      <c r="C117" s="496" t="s">
        <v>752</v>
      </c>
      <c r="D117" s="501">
        <f t="shared" si="10"/>
        <v>0</v>
      </c>
      <c r="E117" s="501"/>
      <c r="F117" s="501"/>
      <c r="G117" s="501"/>
      <c r="H117" s="501"/>
      <c r="I117" s="501">
        <v>-560000</v>
      </c>
      <c r="J117" s="501">
        <v>560000</v>
      </c>
      <c r="K117" s="501"/>
      <c r="L117" s="501"/>
      <c r="M117" s="501"/>
      <c r="N117" s="501"/>
      <c r="O117" s="501"/>
      <c r="P117" s="501"/>
    </row>
    <row r="118" spans="1:16" s="93" customFormat="1" ht="21" customHeight="1" thickBot="1">
      <c r="A118" s="509">
        <v>926</v>
      </c>
      <c r="B118" s="509"/>
      <c r="C118" s="509" t="s">
        <v>601</v>
      </c>
      <c r="D118" s="662">
        <f t="shared" si="10"/>
        <v>0</v>
      </c>
      <c r="E118" s="662"/>
      <c r="F118" s="662"/>
      <c r="G118" s="662"/>
      <c r="H118" s="662"/>
      <c r="I118" s="662">
        <f>SUM(I119:I121)</f>
        <v>-2106100</v>
      </c>
      <c r="J118" s="662">
        <f>SUM(J119:J121)</f>
        <v>2106100</v>
      </c>
      <c r="K118" s="662"/>
      <c r="L118" s="662"/>
      <c r="M118" s="662"/>
      <c r="N118" s="662"/>
      <c r="O118" s="662"/>
      <c r="P118" s="662"/>
    </row>
    <row r="119" spans="1:16" s="93" customFormat="1" ht="20.25" customHeight="1">
      <c r="A119" s="420"/>
      <c r="B119" s="380">
        <v>92601</v>
      </c>
      <c r="C119" s="912" t="s">
        <v>753</v>
      </c>
      <c r="D119" s="501">
        <f t="shared" si="10"/>
        <v>0</v>
      </c>
      <c r="E119" s="501"/>
      <c r="F119" s="501"/>
      <c r="G119" s="501"/>
      <c r="H119" s="501"/>
      <c r="I119" s="501">
        <v>-50000</v>
      </c>
      <c r="J119" s="501">
        <v>50000</v>
      </c>
      <c r="K119" s="501"/>
      <c r="L119" s="501"/>
      <c r="M119" s="501"/>
      <c r="N119" s="501"/>
      <c r="O119" s="501"/>
      <c r="P119" s="501"/>
    </row>
    <row r="120" spans="1:16" s="93" customFormat="1" ht="20.25" customHeight="1">
      <c r="A120" s="420"/>
      <c r="B120" s="380">
        <v>92604</v>
      </c>
      <c r="C120" s="912" t="s">
        <v>754</v>
      </c>
      <c r="D120" s="501">
        <f t="shared" si="10"/>
        <v>0</v>
      </c>
      <c r="E120" s="665"/>
      <c r="F120" s="665"/>
      <c r="G120" s="665"/>
      <c r="H120" s="665"/>
      <c r="I120" s="665">
        <v>-1911810</v>
      </c>
      <c r="J120" s="665">
        <v>1911810</v>
      </c>
      <c r="K120" s="665"/>
      <c r="L120" s="665"/>
      <c r="M120" s="665"/>
      <c r="N120" s="665"/>
      <c r="O120" s="665"/>
      <c r="P120" s="665"/>
    </row>
    <row r="121" spans="1:16" s="93" customFormat="1" ht="20.25" customHeight="1">
      <c r="A121" s="420"/>
      <c r="B121" s="380">
        <v>92605</v>
      </c>
      <c r="C121" s="912" t="s">
        <v>602</v>
      </c>
      <c r="D121" s="665">
        <f t="shared" si="10"/>
        <v>0</v>
      </c>
      <c r="E121" s="665"/>
      <c r="F121" s="665"/>
      <c r="G121" s="665"/>
      <c r="H121" s="665"/>
      <c r="I121" s="665">
        <v>-144290</v>
      </c>
      <c r="J121" s="665">
        <v>144290</v>
      </c>
      <c r="K121" s="665"/>
      <c r="L121" s="665"/>
      <c r="M121" s="665"/>
      <c r="N121" s="665"/>
      <c r="O121" s="665"/>
      <c r="P121" s="665"/>
    </row>
    <row r="122" spans="1:16" s="93" customFormat="1" ht="25.5" customHeight="1">
      <c r="A122" s="420"/>
      <c r="B122" s="420"/>
      <c r="C122" s="422" t="s">
        <v>681</v>
      </c>
      <c r="D122" s="634">
        <f t="shared" si="10"/>
        <v>-42000</v>
      </c>
      <c r="E122" s="634"/>
      <c r="F122" s="634"/>
      <c r="G122" s="634"/>
      <c r="H122" s="634"/>
      <c r="I122" s="634"/>
      <c r="J122" s="634"/>
      <c r="K122" s="634"/>
      <c r="L122" s="634">
        <f>L123</f>
        <v>-42000</v>
      </c>
      <c r="M122" s="634"/>
      <c r="N122" s="634"/>
      <c r="O122" s="634"/>
      <c r="P122" s="634"/>
    </row>
    <row r="123" spans="1:16" s="93" customFormat="1" ht="21" customHeight="1" thickBot="1">
      <c r="A123" s="380"/>
      <c r="B123" s="380"/>
      <c r="C123" s="425" t="s">
        <v>192</v>
      </c>
      <c r="D123" s="500">
        <f t="shared" si="10"/>
        <v>-42000</v>
      </c>
      <c r="E123" s="500"/>
      <c r="F123" s="500"/>
      <c r="G123" s="500"/>
      <c r="H123" s="500"/>
      <c r="I123" s="500"/>
      <c r="J123" s="500"/>
      <c r="K123" s="500"/>
      <c r="L123" s="500">
        <f>L124</f>
        <v>-42000</v>
      </c>
      <c r="M123" s="500"/>
      <c r="N123" s="500"/>
      <c r="O123" s="500"/>
      <c r="P123" s="500"/>
    </row>
    <row r="124" spans="1:16" s="93" customFormat="1" ht="21" customHeight="1" thickBot="1" thickTop="1">
      <c r="A124" s="505">
        <v>750</v>
      </c>
      <c r="B124" s="876"/>
      <c r="C124" s="508" t="s">
        <v>319</v>
      </c>
      <c r="D124" s="510">
        <f t="shared" si="10"/>
        <v>-42000</v>
      </c>
      <c r="E124" s="510"/>
      <c r="F124" s="510"/>
      <c r="G124" s="510"/>
      <c r="H124" s="510"/>
      <c r="I124" s="510"/>
      <c r="J124" s="510"/>
      <c r="K124" s="510"/>
      <c r="L124" s="510">
        <f>L125</f>
        <v>-42000</v>
      </c>
      <c r="M124" s="510"/>
      <c r="N124" s="510"/>
      <c r="O124" s="510"/>
      <c r="P124" s="510"/>
    </row>
    <row r="125" spans="1:16" s="93" customFormat="1" ht="20.25" customHeight="1">
      <c r="A125" s="1204"/>
      <c r="B125" s="1204">
        <v>75075</v>
      </c>
      <c r="C125" s="429" t="s">
        <v>126</v>
      </c>
      <c r="D125" s="1205">
        <f t="shared" si="10"/>
        <v>-42000</v>
      </c>
      <c r="E125" s="1205"/>
      <c r="F125" s="1205"/>
      <c r="G125" s="1205"/>
      <c r="H125" s="1205"/>
      <c r="I125" s="1205"/>
      <c r="J125" s="1205"/>
      <c r="K125" s="1205"/>
      <c r="L125" s="1205">
        <v>-42000</v>
      </c>
      <c r="M125" s="1205"/>
      <c r="N125" s="1205"/>
      <c r="O125" s="1205"/>
      <c r="P125" s="1205"/>
    </row>
    <row r="126" spans="1:16" s="93" customFormat="1" ht="36.75" customHeight="1">
      <c r="A126" s="420"/>
      <c r="B126" s="420"/>
      <c r="C126" s="422" t="s">
        <v>682</v>
      </c>
      <c r="D126" s="634">
        <f>SUM(E126:P126)</f>
        <v>85000</v>
      </c>
      <c r="E126" s="634"/>
      <c r="F126" s="634"/>
      <c r="G126" s="634"/>
      <c r="H126" s="634"/>
      <c r="I126" s="634"/>
      <c r="J126" s="634"/>
      <c r="K126" s="634"/>
      <c r="L126" s="634"/>
      <c r="M126" s="634"/>
      <c r="N126" s="634">
        <f>N127</f>
        <v>85000</v>
      </c>
      <c r="O126" s="634"/>
      <c r="P126" s="634"/>
    </row>
    <row r="127" spans="1:16" s="93" customFormat="1" ht="21" customHeight="1" thickBot="1">
      <c r="A127" s="380"/>
      <c r="B127" s="380"/>
      <c r="C127" s="425" t="s">
        <v>192</v>
      </c>
      <c r="D127" s="500">
        <f>SUM(E127:P127)</f>
        <v>85000</v>
      </c>
      <c r="E127" s="500"/>
      <c r="F127" s="500"/>
      <c r="G127" s="500"/>
      <c r="H127" s="500"/>
      <c r="I127" s="500"/>
      <c r="J127" s="500"/>
      <c r="K127" s="500"/>
      <c r="L127" s="500"/>
      <c r="M127" s="500"/>
      <c r="N127" s="500">
        <f>N128</f>
        <v>85000</v>
      </c>
      <c r="O127" s="500"/>
      <c r="P127" s="500"/>
    </row>
    <row r="128" spans="1:16" s="93" customFormat="1" ht="21" customHeight="1" thickBot="1" thickTop="1">
      <c r="A128" s="505">
        <v>852</v>
      </c>
      <c r="B128" s="876"/>
      <c r="C128" s="508" t="s">
        <v>324</v>
      </c>
      <c r="D128" s="510">
        <f>SUM(E128:P128)</f>
        <v>85000</v>
      </c>
      <c r="E128" s="510"/>
      <c r="F128" s="510"/>
      <c r="G128" s="510"/>
      <c r="H128" s="510"/>
      <c r="I128" s="510"/>
      <c r="J128" s="510"/>
      <c r="K128" s="510"/>
      <c r="L128" s="510"/>
      <c r="M128" s="510"/>
      <c r="N128" s="510">
        <f>N129</f>
        <v>85000</v>
      </c>
      <c r="O128" s="510"/>
      <c r="P128" s="510"/>
    </row>
    <row r="129" spans="1:16" s="93" customFormat="1" ht="20.25" customHeight="1">
      <c r="A129" s="420"/>
      <c r="B129" s="380">
        <v>85202</v>
      </c>
      <c r="C129" s="496" t="s">
        <v>620</v>
      </c>
      <c r="D129" s="501">
        <f>SUM(E129:P129)</f>
        <v>85000</v>
      </c>
      <c r="E129" s="501"/>
      <c r="F129" s="501"/>
      <c r="G129" s="501"/>
      <c r="H129" s="501"/>
      <c r="I129" s="501"/>
      <c r="J129" s="501"/>
      <c r="K129" s="501"/>
      <c r="L129" s="501"/>
      <c r="M129" s="501"/>
      <c r="N129" s="501">
        <v>85000</v>
      </c>
      <c r="O129" s="501"/>
      <c r="P129" s="501"/>
    </row>
    <row r="130" spans="1:16" s="93" customFormat="1" ht="25.5" customHeight="1">
      <c r="A130" s="420"/>
      <c r="B130" s="420"/>
      <c r="C130" s="422" t="s">
        <v>68</v>
      </c>
      <c r="D130" s="634">
        <f aca="true" t="shared" si="11" ref="D130:D151">SUM(E130:P130)</f>
        <v>24662</v>
      </c>
      <c r="E130" s="634"/>
      <c r="F130" s="634"/>
      <c r="G130" s="634"/>
      <c r="H130" s="634">
        <f aca="true" t="shared" si="12" ref="H130:P130">H131+H148+H143</f>
        <v>-103789</v>
      </c>
      <c r="I130" s="634">
        <f t="shared" si="12"/>
        <v>-613399</v>
      </c>
      <c r="J130" s="634">
        <f t="shared" si="12"/>
        <v>226267</v>
      </c>
      <c r="K130" s="634">
        <f t="shared" si="12"/>
        <v>278392</v>
      </c>
      <c r="L130" s="634">
        <f t="shared" si="12"/>
        <v>61811</v>
      </c>
      <c r="M130" s="634">
        <f t="shared" si="12"/>
        <v>49036</v>
      </c>
      <c r="N130" s="634">
        <f t="shared" si="12"/>
        <v>52051</v>
      </c>
      <c r="O130" s="634">
        <f t="shared" si="12"/>
        <v>29877</v>
      </c>
      <c r="P130" s="634">
        <f t="shared" si="12"/>
        <v>44416</v>
      </c>
    </row>
    <row r="131" spans="1:16" s="93" customFormat="1" ht="21" customHeight="1" thickBot="1">
      <c r="A131" s="380"/>
      <c r="B131" s="380"/>
      <c r="C131" s="425" t="s">
        <v>192</v>
      </c>
      <c r="D131" s="500">
        <f t="shared" si="11"/>
        <v>-9246</v>
      </c>
      <c r="E131" s="500"/>
      <c r="F131" s="500"/>
      <c r="G131" s="500"/>
      <c r="H131" s="500">
        <f>H134+H132+H139+H141</f>
        <v>-93164</v>
      </c>
      <c r="I131" s="500">
        <f aca="true" t="shared" si="13" ref="I131:P131">I134+I132+I139+I141</f>
        <v>-553398</v>
      </c>
      <c r="J131" s="500">
        <f t="shared" si="13"/>
        <v>161004</v>
      </c>
      <c r="K131" s="500">
        <f t="shared" si="13"/>
        <v>254792</v>
      </c>
      <c r="L131" s="500">
        <f t="shared" si="13"/>
        <v>61811</v>
      </c>
      <c r="M131" s="500">
        <f t="shared" si="13"/>
        <v>45656</v>
      </c>
      <c r="N131" s="500">
        <f t="shared" si="13"/>
        <v>47955</v>
      </c>
      <c r="O131" s="500">
        <f t="shared" si="13"/>
        <v>25781</v>
      </c>
      <c r="P131" s="500">
        <f t="shared" si="13"/>
        <v>40317</v>
      </c>
    </row>
    <row r="132" spans="1:16" s="93" customFormat="1" ht="21" customHeight="1" thickBot="1" thickTop="1">
      <c r="A132" s="505">
        <v>851</v>
      </c>
      <c r="B132" s="505"/>
      <c r="C132" s="508" t="s">
        <v>323</v>
      </c>
      <c r="D132" s="510">
        <f t="shared" si="11"/>
        <v>0</v>
      </c>
      <c r="E132" s="510"/>
      <c r="F132" s="510"/>
      <c r="G132" s="510"/>
      <c r="H132" s="510"/>
      <c r="I132" s="510">
        <f>I133</f>
        <v>-9829</v>
      </c>
      <c r="J132" s="510">
        <f>J133</f>
        <v>9829</v>
      </c>
      <c r="K132" s="510"/>
      <c r="L132" s="510"/>
      <c r="M132" s="510"/>
      <c r="N132" s="510"/>
      <c r="O132" s="510"/>
      <c r="P132" s="510"/>
    </row>
    <row r="133" spans="1:16" s="93" customFormat="1" ht="20.25" customHeight="1">
      <c r="A133" s="420"/>
      <c r="B133" s="635">
        <v>85154</v>
      </c>
      <c r="C133" s="496" t="s">
        <v>334</v>
      </c>
      <c r="D133" s="501">
        <f t="shared" si="11"/>
        <v>0</v>
      </c>
      <c r="E133" s="501"/>
      <c r="F133" s="501"/>
      <c r="G133" s="501"/>
      <c r="H133" s="501"/>
      <c r="I133" s="501">
        <v>-9829</v>
      </c>
      <c r="J133" s="501">
        <v>9829</v>
      </c>
      <c r="K133" s="501"/>
      <c r="L133" s="501"/>
      <c r="M133" s="501"/>
      <c r="N133" s="501"/>
      <c r="O133" s="501"/>
      <c r="P133" s="501"/>
    </row>
    <row r="134" spans="1:16" s="93" customFormat="1" ht="21" customHeight="1" thickBot="1">
      <c r="A134" s="509">
        <v>852</v>
      </c>
      <c r="B134" s="505"/>
      <c r="C134" s="508" t="s">
        <v>324</v>
      </c>
      <c r="D134" s="510">
        <f t="shared" si="11"/>
        <v>-10496</v>
      </c>
      <c r="E134" s="510"/>
      <c r="F134" s="510"/>
      <c r="G134" s="510"/>
      <c r="H134" s="510">
        <f aca="true" t="shared" si="14" ref="H134:P134">SUM(H135:H138)</f>
        <v>-78016</v>
      </c>
      <c r="I134" s="510">
        <f t="shared" si="14"/>
        <v>-522971</v>
      </c>
      <c r="J134" s="510">
        <f t="shared" si="14"/>
        <v>128662</v>
      </c>
      <c r="K134" s="510">
        <f t="shared" si="14"/>
        <v>279956</v>
      </c>
      <c r="L134" s="510">
        <f t="shared" si="14"/>
        <v>22164</v>
      </c>
      <c r="M134" s="510">
        <f t="shared" si="14"/>
        <v>45656</v>
      </c>
      <c r="N134" s="510">
        <f t="shared" si="14"/>
        <v>47955</v>
      </c>
      <c r="O134" s="510">
        <f t="shared" si="14"/>
        <v>25781</v>
      </c>
      <c r="P134" s="510">
        <f t="shared" si="14"/>
        <v>40317</v>
      </c>
    </row>
    <row r="135" spans="1:16" s="93" customFormat="1" ht="20.25" customHeight="1">
      <c r="A135" s="420"/>
      <c r="B135" s="855">
        <v>85203</v>
      </c>
      <c r="C135" s="856" t="s">
        <v>390</v>
      </c>
      <c r="D135" s="665">
        <f t="shared" si="11"/>
        <v>0</v>
      </c>
      <c r="E135" s="665"/>
      <c r="F135" s="665"/>
      <c r="G135" s="665"/>
      <c r="H135" s="665">
        <v>-16496</v>
      </c>
      <c r="I135" s="665">
        <v>-31978</v>
      </c>
      <c r="J135" s="665"/>
      <c r="K135" s="665"/>
      <c r="L135" s="665"/>
      <c r="M135" s="665">
        <v>24419</v>
      </c>
      <c r="N135" s="665">
        <v>24055</v>
      </c>
      <c r="O135" s="665"/>
      <c r="P135" s="665"/>
    </row>
    <row r="136" spans="1:16" s="93" customFormat="1" ht="20.25" customHeight="1">
      <c r="A136" s="420"/>
      <c r="B136" s="855">
        <v>85204</v>
      </c>
      <c r="C136" s="856" t="s">
        <v>153</v>
      </c>
      <c r="D136" s="665">
        <f t="shared" si="11"/>
        <v>0</v>
      </c>
      <c r="E136" s="665"/>
      <c r="F136" s="665"/>
      <c r="G136" s="665"/>
      <c r="H136" s="665">
        <v>-61520</v>
      </c>
      <c r="I136" s="665">
        <v>-75708</v>
      </c>
      <c r="J136" s="665">
        <v>6267</v>
      </c>
      <c r="K136" s="665">
        <v>-2438</v>
      </c>
      <c r="L136" s="665">
        <v>22164</v>
      </c>
      <c r="M136" s="665">
        <v>21237</v>
      </c>
      <c r="N136" s="665">
        <v>23900</v>
      </c>
      <c r="O136" s="665">
        <v>25781</v>
      </c>
      <c r="P136" s="665">
        <v>40317</v>
      </c>
    </row>
    <row r="137" spans="1:16" s="93" customFormat="1" ht="30">
      <c r="A137" s="420"/>
      <c r="B137" s="855">
        <v>85214</v>
      </c>
      <c r="C137" s="856" t="s">
        <v>156</v>
      </c>
      <c r="D137" s="665">
        <f t="shared" si="11"/>
        <v>0</v>
      </c>
      <c r="E137" s="665"/>
      <c r="F137" s="665"/>
      <c r="G137" s="665"/>
      <c r="H137" s="665"/>
      <c r="I137" s="665">
        <v>-415285</v>
      </c>
      <c r="J137" s="665">
        <v>122395</v>
      </c>
      <c r="K137" s="665">
        <v>292890</v>
      </c>
      <c r="L137" s="665"/>
      <c r="M137" s="665"/>
      <c r="N137" s="665"/>
      <c r="O137" s="665"/>
      <c r="P137" s="665"/>
    </row>
    <row r="138" spans="1:16" s="93" customFormat="1" ht="20.25" customHeight="1">
      <c r="A138" s="420"/>
      <c r="B138" s="855">
        <v>85295</v>
      </c>
      <c r="C138" s="856" t="s">
        <v>401</v>
      </c>
      <c r="D138" s="665">
        <f t="shared" si="11"/>
        <v>-10496</v>
      </c>
      <c r="E138" s="665"/>
      <c r="F138" s="665"/>
      <c r="G138" s="665"/>
      <c r="H138" s="665"/>
      <c r="I138" s="665"/>
      <c r="J138" s="665"/>
      <c r="K138" s="665">
        <v>-10496</v>
      </c>
      <c r="L138" s="665"/>
      <c r="M138" s="665"/>
      <c r="N138" s="665"/>
      <c r="O138" s="665"/>
      <c r="P138" s="665"/>
    </row>
    <row r="139" spans="1:16" s="93" customFormat="1" ht="32.25" thickBot="1">
      <c r="A139" s="509">
        <v>853</v>
      </c>
      <c r="B139" s="505"/>
      <c r="C139" s="508" t="s">
        <v>389</v>
      </c>
      <c r="D139" s="510">
        <f t="shared" si="11"/>
        <v>1250</v>
      </c>
      <c r="E139" s="510"/>
      <c r="F139" s="510"/>
      <c r="G139" s="510"/>
      <c r="H139" s="510"/>
      <c r="I139" s="510"/>
      <c r="J139" s="510">
        <f>J140</f>
        <v>-13233</v>
      </c>
      <c r="K139" s="510">
        <f>K140</f>
        <v>-25164</v>
      </c>
      <c r="L139" s="510">
        <f>L140</f>
        <v>39647</v>
      </c>
      <c r="M139" s="510"/>
      <c r="N139" s="510"/>
      <c r="O139" s="510"/>
      <c r="P139" s="510"/>
    </row>
    <row r="140" spans="1:16" s="93" customFormat="1" ht="30">
      <c r="A140" s="420"/>
      <c r="B140" s="635">
        <v>85311</v>
      </c>
      <c r="C140" s="496" t="s">
        <v>216</v>
      </c>
      <c r="D140" s="501">
        <f t="shared" si="11"/>
        <v>1250</v>
      </c>
      <c r="E140" s="501"/>
      <c r="F140" s="501"/>
      <c r="G140" s="501"/>
      <c r="H140" s="501"/>
      <c r="I140" s="501"/>
      <c r="J140" s="501">
        <f>-14483+1250</f>
        <v>-13233</v>
      </c>
      <c r="K140" s="501">
        <v>-25164</v>
      </c>
      <c r="L140" s="501">
        <v>39647</v>
      </c>
      <c r="M140" s="501"/>
      <c r="N140" s="501"/>
      <c r="O140" s="501"/>
      <c r="P140" s="501"/>
    </row>
    <row r="141" spans="1:16" s="93" customFormat="1" ht="21.75" customHeight="1" thickBot="1">
      <c r="A141" s="509">
        <v>854</v>
      </c>
      <c r="B141" s="505"/>
      <c r="C141" s="508" t="s">
        <v>403</v>
      </c>
      <c r="D141" s="510">
        <f t="shared" si="11"/>
        <v>0</v>
      </c>
      <c r="E141" s="510"/>
      <c r="F141" s="510"/>
      <c r="G141" s="510"/>
      <c r="H141" s="510">
        <f>H142</f>
        <v>-15148</v>
      </c>
      <c r="I141" s="510">
        <f>I142</f>
        <v>-20598</v>
      </c>
      <c r="J141" s="510">
        <f>J142</f>
        <v>35746</v>
      </c>
      <c r="K141" s="510"/>
      <c r="L141" s="510"/>
      <c r="M141" s="510"/>
      <c r="N141" s="510"/>
      <c r="O141" s="510"/>
      <c r="P141" s="510"/>
    </row>
    <row r="142" spans="1:16" s="93" customFormat="1" ht="20.25" customHeight="1">
      <c r="A142" s="420"/>
      <c r="B142" s="855">
        <v>85415</v>
      </c>
      <c r="C142" s="496" t="s">
        <v>600</v>
      </c>
      <c r="D142" s="665">
        <f>SUM(E142:P142)</f>
        <v>0</v>
      </c>
      <c r="E142" s="501"/>
      <c r="F142" s="501"/>
      <c r="G142" s="501"/>
      <c r="H142" s="501">
        <v>-15148</v>
      </c>
      <c r="I142" s="501">
        <v>-20598</v>
      </c>
      <c r="J142" s="501">
        <v>35746</v>
      </c>
      <c r="K142" s="501"/>
      <c r="L142" s="501"/>
      <c r="M142" s="501"/>
      <c r="N142" s="501"/>
      <c r="O142" s="501"/>
      <c r="P142" s="501"/>
    </row>
    <row r="143" spans="1:16" s="93" customFormat="1" ht="30.75" thickBot="1">
      <c r="A143" s="380"/>
      <c r="B143" s="380"/>
      <c r="C143" s="425" t="s">
        <v>195</v>
      </c>
      <c r="D143" s="500">
        <f t="shared" si="11"/>
        <v>10308</v>
      </c>
      <c r="E143" s="500"/>
      <c r="F143" s="500"/>
      <c r="G143" s="500"/>
      <c r="H143" s="500">
        <f aca="true" t="shared" si="15" ref="H143:P144">H144</f>
        <v>-10625</v>
      </c>
      <c r="I143" s="500">
        <f t="shared" si="15"/>
        <v>-15142</v>
      </c>
      <c r="J143" s="500">
        <f>J144+J146</f>
        <v>20404</v>
      </c>
      <c r="K143" s="500"/>
      <c r="L143" s="500"/>
      <c r="M143" s="500">
        <f t="shared" si="15"/>
        <v>3380</v>
      </c>
      <c r="N143" s="500">
        <f t="shared" si="15"/>
        <v>4096</v>
      </c>
      <c r="O143" s="500">
        <f t="shared" si="15"/>
        <v>4096</v>
      </c>
      <c r="P143" s="500">
        <f t="shared" si="15"/>
        <v>4099</v>
      </c>
    </row>
    <row r="144" spans="1:16" s="93" customFormat="1" ht="21" customHeight="1" thickBot="1" thickTop="1">
      <c r="A144" s="505">
        <v>852</v>
      </c>
      <c r="B144" s="505"/>
      <c r="C144" s="508" t="s">
        <v>324</v>
      </c>
      <c r="D144" s="510">
        <f t="shared" si="11"/>
        <v>0</v>
      </c>
      <c r="E144" s="510"/>
      <c r="F144" s="510"/>
      <c r="G144" s="510"/>
      <c r="H144" s="510">
        <f t="shared" si="15"/>
        <v>-10625</v>
      </c>
      <c r="I144" s="510">
        <f t="shared" si="15"/>
        <v>-15142</v>
      </c>
      <c r="J144" s="510">
        <f t="shared" si="15"/>
        <v>10096</v>
      </c>
      <c r="K144" s="510"/>
      <c r="L144" s="510"/>
      <c r="M144" s="510">
        <f t="shared" si="15"/>
        <v>3380</v>
      </c>
      <c r="N144" s="510">
        <f t="shared" si="15"/>
        <v>4096</v>
      </c>
      <c r="O144" s="510">
        <f t="shared" si="15"/>
        <v>4096</v>
      </c>
      <c r="P144" s="510">
        <f t="shared" si="15"/>
        <v>4099</v>
      </c>
    </row>
    <row r="145" spans="1:16" s="93" customFormat="1" ht="20.25" customHeight="1">
      <c r="A145" s="420"/>
      <c r="B145" s="857">
        <v>85204</v>
      </c>
      <c r="C145" s="858" t="s">
        <v>153</v>
      </c>
      <c r="D145" s="859">
        <f t="shared" si="11"/>
        <v>0</v>
      </c>
      <c r="E145" s="859"/>
      <c r="F145" s="859"/>
      <c r="G145" s="859"/>
      <c r="H145" s="859">
        <v>-10625</v>
      </c>
      <c r="I145" s="859">
        <v>-15142</v>
      </c>
      <c r="J145" s="859">
        <f>10096</f>
        <v>10096</v>
      </c>
      <c r="K145" s="859"/>
      <c r="L145" s="859"/>
      <c r="M145" s="859">
        <v>3380</v>
      </c>
      <c r="N145" s="859">
        <v>4096</v>
      </c>
      <c r="O145" s="859">
        <v>4096</v>
      </c>
      <c r="P145" s="859">
        <v>4099</v>
      </c>
    </row>
    <row r="146" spans="1:16" s="93" customFormat="1" ht="32.25" thickBot="1">
      <c r="A146" s="509">
        <v>853</v>
      </c>
      <c r="B146" s="509"/>
      <c r="C146" s="661" t="s">
        <v>389</v>
      </c>
      <c r="D146" s="662">
        <f t="shared" si="11"/>
        <v>10308</v>
      </c>
      <c r="E146" s="662"/>
      <c r="F146" s="662"/>
      <c r="G146" s="662"/>
      <c r="H146" s="662"/>
      <c r="I146" s="662"/>
      <c r="J146" s="662">
        <f>J147</f>
        <v>10308</v>
      </c>
      <c r="K146" s="662"/>
      <c r="L146" s="662"/>
      <c r="M146" s="662"/>
      <c r="N146" s="662"/>
      <c r="O146" s="662"/>
      <c r="P146" s="662"/>
    </row>
    <row r="147" spans="1:16" s="93" customFormat="1" ht="30">
      <c r="A147" s="420"/>
      <c r="B147" s="635">
        <v>85311</v>
      </c>
      <c r="C147" s="496" t="s">
        <v>216</v>
      </c>
      <c r="D147" s="501">
        <f t="shared" si="11"/>
        <v>10308</v>
      </c>
      <c r="E147" s="501"/>
      <c r="F147" s="501"/>
      <c r="G147" s="501"/>
      <c r="H147" s="501"/>
      <c r="I147" s="501"/>
      <c r="J147" s="501">
        <v>10308</v>
      </c>
      <c r="K147" s="501"/>
      <c r="L147" s="501"/>
      <c r="M147" s="501"/>
      <c r="N147" s="501"/>
      <c r="O147" s="501"/>
      <c r="P147" s="501"/>
    </row>
    <row r="148" spans="1:16" s="93" customFormat="1" ht="30.75" thickBot="1">
      <c r="A148" s="380"/>
      <c r="B148" s="663"/>
      <c r="C148" s="1206" t="s">
        <v>614</v>
      </c>
      <c r="D148" s="1207">
        <f t="shared" si="11"/>
        <v>23600</v>
      </c>
      <c r="E148" s="1207"/>
      <c r="F148" s="1207"/>
      <c r="G148" s="1207"/>
      <c r="H148" s="1207"/>
      <c r="I148" s="1207">
        <f>I149</f>
        <v>-44859</v>
      </c>
      <c r="J148" s="1207">
        <f>J149</f>
        <v>44859</v>
      </c>
      <c r="K148" s="1207">
        <f>K149</f>
        <v>23600</v>
      </c>
      <c r="L148" s="1207"/>
      <c r="M148" s="1207"/>
      <c r="N148" s="1207"/>
      <c r="O148" s="1207"/>
      <c r="P148" s="1207"/>
    </row>
    <row r="149" spans="1:16" s="93" customFormat="1" ht="21" customHeight="1" thickBot="1" thickTop="1">
      <c r="A149" s="505">
        <v>852</v>
      </c>
      <c r="B149" s="505"/>
      <c r="C149" s="508" t="s">
        <v>324</v>
      </c>
      <c r="D149" s="510">
        <f t="shared" si="11"/>
        <v>23600</v>
      </c>
      <c r="E149" s="510"/>
      <c r="F149" s="510"/>
      <c r="G149" s="510"/>
      <c r="H149" s="510"/>
      <c r="I149" s="510">
        <f>I150</f>
        <v>-44859</v>
      </c>
      <c r="J149" s="510">
        <f>J150+J151</f>
        <v>44859</v>
      </c>
      <c r="K149" s="510">
        <f>K150+K151</f>
        <v>23600</v>
      </c>
      <c r="L149" s="510"/>
      <c r="M149" s="510"/>
      <c r="N149" s="510"/>
      <c r="O149" s="510"/>
      <c r="P149" s="510"/>
    </row>
    <row r="150" spans="1:16" s="93" customFormat="1" ht="30">
      <c r="A150" s="420"/>
      <c r="B150" s="635">
        <v>85228</v>
      </c>
      <c r="C150" s="496" t="s">
        <v>155</v>
      </c>
      <c r="D150" s="501">
        <f t="shared" si="11"/>
        <v>0</v>
      </c>
      <c r="E150" s="501"/>
      <c r="F150" s="501"/>
      <c r="G150" s="501"/>
      <c r="H150" s="501"/>
      <c r="I150" s="501">
        <v>-44859</v>
      </c>
      <c r="J150" s="501">
        <v>44859</v>
      </c>
      <c r="K150" s="501"/>
      <c r="L150" s="501"/>
      <c r="M150" s="501"/>
      <c r="N150" s="501"/>
      <c r="O150" s="501"/>
      <c r="P150" s="501"/>
    </row>
    <row r="151" spans="1:16" s="93" customFormat="1" ht="20.25" customHeight="1">
      <c r="A151" s="420"/>
      <c r="B151" s="855">
        <v>85278</v>
      </c>
      <c r="C151" s="856" t="s">
        <v>157</v>
      </c>
      <c r="D151" s="501">
        <f t="shared" si="11"/>
        <v>23600</v>
      </c>
      <c r="E151" s="665"/>
      <c r="F151" s="665"/>
      <c r="G151" s="665"/>
      <c r="H151" s="665"/>
      <c r="I151" s="665"/>
      <c r="J151" s="1302"/>
      <c r="K151" s="665">
        <v>23600</v>
      </c>
      <c r="L151" s="665"/>
      <c r="M151" s="665"/>
      <c r="N151" s="665"/>
      <c r="O151" s="665"/>
      <c r="P151" s="665"/>
    </row>
    <row r="152" spans="1:16" s="93" customFormat="1" ht="25.5" customHeight="1">
      <c r="A152" s="420"/>
      <c r="B152" s="420"/>
      <c r="C152" s="422" t="s">
        <v>683</v>
      </c>
      <c r="D152" s="634">
        <f aca="true" t="shared" si="16" ref="D152:D183">SUM(E152:P152)</f>
        <v>0</v>
      </c>
      <c r="E152" s="634"/>
      <c r="F152" s="634"/>
      <c r="G152" s="634"/>
      <c r="H152" s="634">
        <f>H153+H158</f>
        <v>-119</v>
      </c>
      <c r="I152" s="634">
        <f>I153+I158</f>
        <v>-81796</v>
      </c>
      <c r="J152" s="634">
        <f>J153+J158</f>
        <v>14548</v>
      </c>
      <c r="K152" s="634"/>
      <c r="L152" s="634"/>
      <c r="M152" s="634"/>
      <c r="N152" s="634"/>
      <c r="O152" s="634"/>
      <c r="P152" s="634">
        <f>P153+P158</f>
        <v>67367</v>
      </c>
    </row>
    <row r="153" spans="1:16" s="903" customFormat="1" ht="21" customHeight="1" thickBot="1">
      <c r="A153" s="902"/>
      <c r="B153" s="902"/>
      <c r="C153" s="425" t="s">
        <v>192</v>
      </c>
      <c r="D153" s="500">
        <f t="shared" si="16"/>
        <v>0</v>
      </c>
      <c r="E153" s="500"/>
      <c r="F153" s="500"/>
      <c r="G153" s="500"/>
      <c r="H153" s="500">
        <f>H154+H156</f>
        <v>-119</v>
      </c>
      <c r="I153" s="500">
        <f>I154+I156</f>
        <v>-81796</v>
      </c>
      <c r="J153" s="500">
        <f>J154+J156</f>
        <v>81796</v>
      </c>
      <c r="K153" s="500"/>
      <c r="L153" s="500"/>
      <c r="M153" s="500"/>
      <c r="N153" s="500"/>
      <c r="O153" s="500"/>
      <c r="P153" s="500">
        <f>P154+P156</f>
        <v>119</v>
      </c>
    </row>
    <row r="154" spans="1:16" s="93" customFormat="1" ht="21" customHeight="1" thickBot="1" thickTop="1">
      <c r="A154" s="904">
        <v>852</v>
      </c>
      <c r="B154" s="505"/>
      <c r="C154" s="905" t="s">
        <v>324</v>
      </c>
      <c r="D154" s="510">
        <f t="shared" si="16"/>
        <v>0</v>
      </c>
      <c r="E154" s="906"/>
      <c r="F154" s="906"/>
      <c r="G154" s="906"/>
      <c r="H154" s="906">
        <f>H155</f>
        <v>-119</v>
      </c>
      <c r="I154" s="906"/>
      <c r="J154" s="906"/>
      <c r="K154" s="906"/>
      <c r="L154" s="906"/>
      <c r="M154" s="906"/>
      <c r="N154" s="906"/>
      <c r="O154" s="906"/>
      <c r="P154" s="906">
        <f>P155</f>
        <v>119</v>
      </c>
    </row>
    <row r="155" spans="1:16" s="93" customFormat="1" ht="20.25" customHeight="1">
      <c r="A155" s="907"/>
      <c r="B155" s="380">
        <v>85295</v>
      </c>
      <c r="C155" s="908" t="s">
        <v>401</v>
      </c>
      <c r="D155" s="501">
        <f t="shared" si="16"/>
        <v>0</v>
      </c>
      <c r="E155" s="501"/>
      <c r="F155" s="501"/>
      <c r="G155" s="501"/>
      <c r="H155" s="501">
        <v>-119</v>
      </c>
      <c r="I155" s="501"/>
      <c r="J155" s="501"/>
      <c r="K155" s="501"/>
      <c r="L155" s="501"/>
      <c r="M155" s="501"/>
      <c r="N155" s="501"/>
      <c r="O155" s="501"/>
      <c r="P155" s="501">
        <v>119</v>
      </c>
    </row>
    <row r="156" spans="1:16" s="93" customFormat="1" ht="32.25" thickBot="1">
      <c r="A156" s="505">
        <v>853</v>
      </c>
      <c r="B156" s="900"/>
      <c r="C156" s="508" t="s">
        <v>389</v>
      </c>
      <c r="D156" s="510">
        <f t="shared" si="16"/>
        <v>0</v>
      </c>
      <c r="E156" s="510"/>
      <c r="F156" s="510"/>
      <c r="G156" s="510"/>
      <c r="H156" s="510"/>
      <c r="I156" s="510">
        <f>I157</f>
        <v>-81796</v>
      </c>
      <c r="J156" s="510">
        <f>J157</f>
        <v>81796</v>
      </c>
      <c r="K156" s="510"/>
      <c r="L156" s="510"/>
      <c r="M156" s="510"/>
      <c r="N156" s="510"/>
      <c r="O156" s="510"/>
      <c r="P156" s="510"/>
    </row>
    <row r="157" spans="1:16" s="93" customFormat="1" ht="20.25" customHeight="1">
      <c r="A157" s="420"/>
      <c r="B157" s="380">
        <v>85333</v>
      </c>
      <c r="C157" s="496" t="s">
        <v>173</v>
      </c>
      <c r="D157" s="901">
        <f t="shared" si="16"/>
        <v>0</v>
      </c>
      <c r="E157" s="501"/>
      <c r="F157" s="501"/>
      <c r="G157" s="501"/>
      <c r="H157" s="501"/>
      <c r="I157" s="501">
        <v>-81796</v>
      </c>
      <c r="J157" s="501">
        <v>81796</v>
      </c>
      <c r="K157" s="501"/>
      <c r="L157" s="501"/>
      <c r="M157" s="501"/>
      <c r="N157" s="501"/>
      <c r="O157" s="501"/>
      <c r="P157" s="501"/>
    </row>
    <row r="158" spans="1:16" s="93" customFormat="1" ht="45.75" thickBot="1">
      <c r="A158" s="380"/>
      <c r="B158" s="380"/>
      <c r="C158" s="425" t="s">
        <v>308</v>
      </c>
      <c r="D158" s="500">
        <f t="shared" si="16"/>
        <v>0</v>
      </c>
      <c r="E158" s="500"/>
      <c r="F158" s="500"/>
      <c r="G158" s="500"/>
      <c r="H158" s="500"/>
      <c r="I158" s="500"/>
      <c r="J158" s="500">
        <f>J159</f>
        <v>-67248</v>
      </c>
      <c r="K158" s="500"/>
      <c r="L158" s="500"/>
      <c r="M158" s="500"/>
      <c r="N158" s="500"/>
      <c r="O158" s="500"/>
      <c r="P158" s="500">
        <f>P159</f>
        <v>67248</v>
      </c>
    </row>
    <row r="159" spans="1:16" s="93" customFormat="1" ht="21" customHeight="1" thickBot="1" thickTop="1">
      <c r="A159" s="505">
        <v>851</v>
      </c>
      <c r="B159" s="505"/>
      <c r="C159" s="508" t="s">
        <v>323</v>
      </c>
      <c r="D159" s="510">
        <f t="shared" si="16"/>
        <v>0</v>
      </c>
      <c r="E159" s="510"/>
      <c r="F159" s="510"/>
      <c r="G159" s="510"/>
      <c r="H159" s="510"/>
      <c r="I159" s="510"/>
      <c r="J159" s="510">
        <f>J160</f>
        <v>-67248</v>
      </c>
      <c r="K159" s="510"/>
      <c r="L159" s="510"/>
      <c r="M159" s="510"/>
      <c r="N159" s="510"/>
      <c r="O159" s="510"/>
      <c r="P159" s="510">
        <f>P160</f>
        <v>67248</v>
      </c>
    </row>
    <row r="160" spans="1:16" s="93" customFormat="1" ht="45">
      <c r="A160" s="1204"/>
      <c r="B160" s="427">
        <v>85156</v>
      </c>
      <c r="C160" s="429" t="s">
        <v>331</v>
      </c>
      <c r="D160" s="1205">
        <f t="shared" si="16"/>
        <v>0</v>
      </c>
      <c r="E160" s="1205"/>
      <c r="F160" s="1205"/>
      <c r="G160" s="1205"/>
      <c r="H160" s="1205"/>
      <c r="I160" s="1205"/>
      <c r="J160" s="1205">
        <v>-67248</v>
      </c>
      <c r="K160" s="1205"/>
      <c r="L160" s="1205"/>
      <c r="M160" s="1205"/>
      <c r="N160" s="501"/>
      <c r="O160" s="501"/>
      <c r="P160" s="501">
        <v>67248</v>
      </c>
    </row>
    <row r="161" spans="1:16" s="93" customFormat="1" ht="37.5" customHeight="1">
      <c r="A161" s="420"/>
      <c r="B161" s="420"/>
      <c r="C161" s="978" t="s">
        <v>684</v>
      </c>
      <c r="D161" s="634">
        <f t="shared" si="16"/>
        <v>1010100</v>
      </c>
      <c r="E161" s="634"/>
      <c r="F161" s="634"/>
      <c r="G161" s="634"/>
      <c r="H161" s="634"/>
      <c r="I161" s="634"/>
      <c r="J161" s="634">
        <f aca="true" t="shared" si="17" ref="J161:P163">J162</f>
        <v>250000</v>
      </c>
      <c r="K161" s="634">
        <f t="shared" si="17"/>
        <v>60000</v>
      </c>
      <c r="L161" s="634">
        <f t="shared" si="17"/>
        <v>142100</v>
      </c>
      <c r="M161" s="634">
        <f t="shared" si="17"/>
        <v>150000</v>
      </c>
      <c r="N161" s="502">
        <f t="shared" si="17"/>
        <v>90000</v>
      </c>
      <c r="O161" s="502">
        <f t="shared" si="17"/>
        <v>140000</v>
      </c>
      <c r="P161" s="502">
        <f t="shared" si="17"/>
        <v>178000</v>
      </c>
    </row>
    <row r="162" spans="1:16" s="93" customFormat="1" ht="45.75" thickBot="1">
      <c r="A162" s="380"/>
      <c r="B162" s="380"/>
      <c r="C162" s="425" t="s">
        <v>308</v>
      </c>
      <c r="D162" s="500">
        <f t="shared" si="16"/>
        <v>1010100</v>
      </c>
      <c r="E162" s="500"/>
      <c r="F162" s="500"/>
      <c r="G162" s="500"/>
      <c r="H162" s="500"/>
      <c r="I162" s="500"/>
      <c r="J162" s="500">
        <f t="shared" si="17"/>
        <v>250000</v>
      </c>
      <c r="K162" s="500">
        <f t="shared" si="17"/>
        <v>60000</v>
      </c>
      <c r="L162" s="500">
        <f t="shared" si="17"/>
        <v>142100</v>
      </c>
      <c r="M162" s="500">
        <f t="shared" si="17"/>
        <v>150000</v>
      </c>
      <c r="N162" s="500">
        <f t="shared" si="17"/>
        <v>90000</v>
      </c>
      <c r="O162" s="500">
        <f t="shared" si="17"/>
        <v>140000</v>
      </c>
      <c r="P162" s="500">
        <f t="shared" si="17"/>
        <v>178000</v>
      </c>
    </row>
    <row r="163" spans="1:16" s="93" customFormat="1" ht="33" thickBot="1" thickTop="1">
      <c r="A163" s="510">
        <v>754</v>
      </c>
      <c r="B163" s="509"/>
      <c r="C163" s="506" t="s">
        <v>309</v>
      </c>
      <c r="D163" s="510">
        <f t="shared" si="16"/>
        <v>1010100</v>
      </c>
      <c r="E163" s="510"/>
      <c r="F163" s="510"/>
      <c r="G163" s="510"/>
      <c r="H163" s="510"/>
      <c r="I163" s="510"/>
      <c r="J163" s="510">
        <f t="shared" si="17"/>
        <v>250000</v>
      </c>
      <c r="K163" s="510">
        <f t="shared" si="17"/>
        <v>60000</v>
      </c>
      <c r="L163" s="510">
        <f t="shared" si="17"/>
        <v>142100</v>
      </c>
      <c r="M163" s="510">
        <f t="shared" si="17"/>
        <v>150000</v>
      </c>
      <c r="N163" s="510">
        <f t="shared" si="17"/>
        <v>90000</v>
      </c>
      <c r="O163" s="510">
        <f t="shared" si="17"/>
        <v>140000</v>
      </c>
      <c r="P163" s="510">
        <f t="shared" si="17"/>
        <v>178000</v>
      </c>
    </row>
    <row r="164" spans="1:16" s="93" customFormat="1" ht="30">
      <c r="A164" s="420"/>
      <c r="B164" s="380">
        <v>75411</v>
      </c>
      <c r="C164" s="496" t="s">
        <v>360</v>
      </c>
      <c r="D164" s="501">
        <f t="shared" si="16"/>
        <v>1010100</v>
      </c>
      <c r="E164" s="501"/>
      <c r="F164" s="501"/>
      <c r="G164" s="501"/>
      <c r="H164" s="501"/>
      <c r="I164" s="501"/>
      <c r="J164" s="501">
        <v>250000</v>
      </c>
      <c r="K164" s="501">
        <v>60000</v>
      </c>
      <c r="L164" s="501">
        <f>80000+62100</f>
        <v>142100</v>
      </c>
      <c r="M164" s="501">
        <v>150000</v>
      </c>
      <c r="N164" s="501">
        <v>90000</v>
      </c>
      <c r="O164" s="501">
        <v>140000</v>
      </c>
      <c r="P164" s="501">
        <v>178000</v>
      </c>
    </row>
    <row r="165" spans="1:16" s="93" customFormat="1" ht="25.5" customHeight="1">
      <c r="A165" s="420"/>
      <c r="B165" s="420"/>
      <c r="C165" s="503" t="s">
        <v>572</v>
      </c>
      <c r="D165" s="502">
        <f t="shared" si="16"/>
        <v>590342</v>
      </c>
      <c r="E165" s="502"/>
      <c r="F165" s="502"/>
      <c r="G165" s="502"/>
      <c r="H165" s="502"/>
      <c r="I165" s="502">
        <f aca="true" t="shared" si="18" ref="I165:O165">I166+I205+I208</f>
        <v>-17314403</v>
      </c>
      <c r="J165" s="502">
        <f t="shared" si="18"/>
        <v>11036821</v>
      </c>
      <c r="K165" s="502">
        <f t="shared" si="18"/>
        <v>5600834</v>
      </c>
      <c r="L165" s="502">
        <f t="shared" si="18"/>
        <v>1000000</v>
      </c>
      <c r="M165" s="502">
        <f t="shared" si="18"/>
        <v>170090</v>
      </c>
      <c r="N165" s="502">
        <f t="shared" si="18"/>
        <v>147000</v>
      </c>
      <c r="O165" s="502">
        <f t="shared" si="18"/>
        <v>-50000</v>
      </c>
      <c r="P165" s="502"/>
    </row>
    <row r="166" spans="1:16" s="93" customFormat="1" ht="21" customHeight="1" thickBot="1">
      <c r="A166" s="380"/>
      <c r="B166" s="380"/>
      <c r="C166" s="425" t="s">
        <v>192</v>
      </c>
      <c r="D166" s="500">
        <f t="shared" si="16"/>
        <v>589092</v>
      </c>
      <c r="E166" s="500"/>
      <c r="F166" s="500"/>
      <c r="G166" s="500"/>
      <c r="H166" s="500"/>
      <c r="I166" s="500">
        <f aca="true" t="shared" si="19" ref="I166:O166">I167+I186+I188+I190+I192+I203</f>
        <v>-17314360</v>
      </c>
      <c r="J166" s="500">
        <f t="shared" si="19"/>
        <v>11035528</v>
      </c>
      <c r="K166" s="500">
        <f t="shared" si="19"/>
        <v>5600834</v>
      </c>
      <c r="L166" s="500">
        <f t="shared" si="19"/>
        <v>1000000</v>
      </c>
      <c r="M166" s="500">
        <f t="shared" si="19"/>
        <v>170090</v>
      </c>
      <c r="N166" s="500">
        <f t="shared" si="19"/>
        <v>147000</v>
      </c>
      <c r="O166" s="500">
        <f t="shared" si="19"/>
        <v>-50000</v>
      </c>
      <c r="P166" s="500"/>
    </row>
    <row r="167" spans="1:16" s="93" customFormat="1" ht="21" customHeight="1" thickBot="1" thickTop="1">
      <c r="A167" s="510">
        <v>801</v>
      </c>
      <c r="B167" s="509"/>
      <c r="C167" s="508" t="s">
        <v>395</v>
      </c>
      <c r="D167" s="510">
        <f t="shared" si="16"/>
        <v>364690</v>
      </c>
      <c r="E167" s="510"/>
      <c r="F167" s="510"/>
      <c r="G167" s="510"/>
      <c r="H167" s="510"/>
      <c r="I167" s="510">
        <f>SUM(I168:I185)</f>
        <v>-15001429</v>
      </c>
      <c r="J167" s="510">
        <f>SUM(J168:J185)</f>
        <v>9000379</v>
      </c>
      <c r="K167" s="510">
        <f>SUM(K168:K185)</f>
        <v>5199650</v>
      </c>
      <c r="L167" s="510">
        <f>SUM(L168:L185)</f>
        <v>1000000</v>
      </c>
      <c r="M167" s="510">
        <f>SUM(M168:M185)</f>
        <v>166090</v>
      </c>
      <c r="N167" s="510"/>
      <c r="O167" s="510"/>
      <c r="P167" s="510"/>
    </row>
    <row r="168" spans="1:16" s="93" customFormat="1" ht="20.25" customHeight="1">
      <c r="A168" s="420"/>
      <c r="B168" s="380">
        <v>80101</v>
      </c>
      <c r="C168" s="877" t="s">
        <v>396</v>
      </c>
      <c r="D168" s="501">
        <f t="shared" si="16"/>
        <v>79925</v>
      </c>
      <c r="E168" s="501"/>
      <c r="F168" s="501"/>
      <c r="G168" s="501"/>
      <c r="H168" s="501"/>
      <c r="I168" s="501">
        <v>-2732838</v>
      </c>
      <c r="J168" s="501">
        <v>1796113</v>
      </c>
      <c r="K168" s="501">
        <v>-350</v>
      </c>
      <c r="L168" s="501">
        <v>1000000</v>
      </c>
      <c r="M168" s="501">
        <v>17000</v>
      </c>
      <c r="N168" s="501"/>
      <c r="O168" s="501"/>
      <c r="P168" s="501"/>
    </row>
    <row r="169" spans="1:16" s="93" customFormat="1" ht="20.25" customHeight="1">
      <c r="A169" s="420"/>
      <c r="B169" s="976">
        <v>80102</v>
      </c>
      <c r="C169" s="856" t="s">
        <v>593</v>
      </c>
      <c r="D169" s="501">
        <f t="shared" si="16"/>
        <v>8000</v>
      </c>
      <c r="E169" s="665"/>
      <c r="F169" s="665"/>
      <c r="G169" s="665"/>
      <c r="H169" s="665"/>
      <c r="I169" s="665">
        <v>-222319</v>
      </c>
      <c r="J169" s="665">
        <v>130319</v>
      </c>
      <c r="K169" s="665">
        <v>100000</v>
      </c>
      <c r="L169" s="665"/>
      <c r="M169" s="665"/>
      <c r="N169" s="665"/>
      <c r="O169" s="665"/>
      <c r="P169" s="665"/>
    </row>
    <row r="170" spans="1:16" s="93" customFormat="1" ht="30">
      <c r="A170" s="420"/>
      <c r="B170" s="976">
        <v>80103</v>
      </c>
      <c r="C170" s="856" t="s">
        <v>594</v>
      </c>
      <c r="D170" s="501">
        <f t="shared" si="16"/>
        <v>0</v>
      </c>
      <c r="E170" s="665"/>
      <c r="F170" s="665"/>
      <c r="G170" s="665"/>
      <c r="H170" s="665"/>
      <c r="I170" s="665">
        <v>-58673</v>
      </c>
      <c r="J170" s="665">
        <v>58673</v>
      </c>
      <c r="K170" s="665"/>
      <c r="L170" s="665"/>
      <c r="M170" s="665"/>
      <c r="N170" s="665"/>
      <c r="O170" s="665"/>
      <c r="P170" s="665"/>
    </row>
    <row r="171" spans="1:16" s="93" customFormat="1" ht="20.25" customHeight="1">
      <c r="A171" s="420"/>
      <c r="B171" s="976">
        <v>80104</v>
      </c>
      <c r="C171" s="664" t="s">
        <v>595</v>
      </c>
      <c r="D171" s="501">
        <f t="shared" si="16"/>
        <v>41750</v>
      </c>
      <c r="E171" s="665"/>
      <c r="F171" s="665"/>
      <c r="G171" s="665"/>
      <c r="H171" s="665"/>
      <c r="I171" s="665">
        <v>-1470435</v>
      </c>
      <c r="J171" s="665">
        <v>1512185</v>
      </c>
      <c r="K171" s="665"/>
      <c r="L171" s="665"/>
      <c r="M171" s="665"/>
      <c r="N171" s="665"/>
      <c r="O171" s="665"/>
      <c r="P171" s="665"/>
    </row>
    <row r="172" spans="1:16" s="93" customFormat="1" ht="20.25" customHeight="1">
      <c r="A172" s="420"/>
      <c r="B172" s="663">
        <v>80105</v>
      </c>
      <c r="C172" s="664" t="s">
        <v>53</v>
      </c>
      <c r="D172" s="501">
        <f t="shared" si="16"/>
        <v>7000</v>
      </c>
      <c r="E172" s="501"/>
      <c r="F172" s="501"/>
      <c r="G172" s="501"/>
      <c r="H172" s="501"/>
      <c r="I172" s="501">
        <v>-51367</v>
      </c>
      <c r="J172" s="501">
        <v>58367</v>
      </c>
      <c r="K172" s="501"/>
      <c r="L172" s="501"/>
      <c r="M172" s="501"/>
      <c r="N172" s="501"/>
      <c r="O172" s="501"/>
      <c r="P172" s="501"/>
    </row>
    <row r="173" spans="1:16" s="93" customFormat="1" ht="20.25" customHeight="1">
      <c r="A173" s="420"/>
      <c r="B173" s="663">
        <v>80110</v>
      </c>
      <c r="C173" s="664" t="s">
        <v>596</v>
      </c>
      <c r="D173" s="501">
        <f t="shared" si="16"/>
        <v>89784</v>
      </c>
      <c r="E173" s="501"/>
      <c r="F173" s="501"/>
      <c r="G173" s="501"/>
      <c r="H173" s="501"/>
      <c r="I173" s="501">
        <v>-2316964</v>
      </c>
      <c r="J173" s="501">
        <v>850028</v>
      </c>
      <c r="K173" s="501">
        <v>1500000</v>
      </c>
      <c r="L173" s="501"/>
      <c r="M173" s="501">
        <v>56720</v>
      </c>
      <c r="N173" s="501"/>
      <c r="O173" s="501"/>
      <c r="P173" s="501"/>
    </row>
    <row r="174" spans="1:16" s="93" customFormat="1" ht="20.25" customHeight="1">
      <c r="A174" s="420"/>
      <c r="B174" s="663">
        <v>80111</v>
      </c>
      <c r="C174" s="664" t="s">
        <v>54</v>
      </c>
      <c r="D174" s="501">
        <f t="shared" si="16"/>
        <v>2000</v>
      </c>
      <c r="E174" s="501"/>
      <c r="F174" s="501"/>
      <c r="G174" s="501"/>
      <c r="H174" s="501"/>
      <c r="I174" s="501">
        <v>-297678</v>
      </c>
      <c r="J174" s="501">
        <v>299678</v>
      </c>
      <c r="K174" s="501"/>
      <c r="L174" s="501"/>
      <c r="M174" s="501"/>
      <c r="N174" s="501"/>
      <c r="O174" s="501"/>
      <c r="P174" s="501"/>
    </row>
    <row r="175" spans="1:16" s="93" customFormat="1" ht="20.25" customHeight="1">
      <c r="A175" s="420"/>
      <c r="B175" s="663">
        <v>80113</v>
      </c>
      <c r="C175" s="664" t="s">
        <v>55</v>
      </c>
      <c r="D175" s="501">
        <f t="shared" si="16"/>
        <v>19373</v>
      </c>
      <c r="E175" s="501"/>
      <c r="F175" s="501"/>
      <c r="G175" s="501"/>
      <c r="H175" s="501"/>
      <c r="I175" s="501">
        <v>-42234</v>
      </c>
      <c r="J175" s="501">
        <v>22237</v>
      </c>
      <c r="K175" s="501"/>
      <c r="L175" s="501"/>
      <c r="M175" s="501">
        <v>39370</v>
      </c>
      <c r="N175" s="501"/>
      <c r="O175" s="501"/>
      <c r="P175" s="501"/>
    </row>
    <row r="176" spans="1:16" s="93" customFormat="1" ht="20.25" customHeight="1">
      <c r="A176" s="420"/>
      <c r="B176" s="663">
        <v>80120</v>
      </c>
      <c r="C176" s="664" t="s">
        <v>597</v>
      </c>
      <c r="D176" s="501">
        <f t="shared" si="16"/>
        <v>70300</v>
      </c>
      <c r="E176" s="501"/>
      <c r="F176" s="501"/>
      <c r="G176" s="501"/>
      <c r="H176" s="501"/>
      <c r="I176" s="501">
        <v>-3214760</v>
      </c>
      <c r="J176" s="501">
        <v>1255060</v>
      </c>
      <c r="K176" s="501">
        <v>2000000</v>
      </c>
      <c r="L176" s="501"/>
      <c r="M176" s="501">
        <v>30000</v>
      </c>
      <c r="N176" s="501"/>
      <c r="O176" s="501"/>
      <c r="P176" s="501"/>
    </row>
    <row r="177" spans="1:16" s="93" customFormat="1" ht="20.25" customHeight="1">
      <c r="A177" s="420"/>
      <c r="B177" s="663">
        <v>80121</v>
      </c>
      <c r="C177" s="664" t="s">
        <v>56</v>
      </c>
      <c r="D177" s="501">
        <f t="shared" si="16"/>
        <v>0</v>
      </c>
      <c r="E177" s="501"/>
      <c r="F177" s="501"/>
      <c r="G177" s="501"/>
      <c r="H177" s="501"/>
      <c r="I177" s="501">
        <v>-84859</v>
      </c>
      <c r="J177" s="501">
        <v>84859</v>
      </c>
      <c r="K177" s="501"/>
      <c r="L177" s="501"/>
      <c r="M177" s="501"/>
      <c r="N177" s="501"/>
      <c r="O177" s="501"/>
      <c r="P177" s="501"/>
    </row>
    <row r="178" spans="1:16" s="93" customFormat="1" ht="20.25" customHeight="1">
      <c r="A178" s="420"/>
      <c r="B178" s="663">
        <v>80123</v>
      </c>
      <c r="C178" s="664" t="s">
        <v>598</v>
      </c>
      <c r="D178" s="501">
        <f t="shared" si="16"/>
        <v>0</v>
      </c>
      <c r="E178" s="501"/>
      <c r="F178" s="501"/>
      <c r="G178" s="501"/>
      <c r="H178" s="501"/>
      <c r="I178" s="501">
        <v>-574185</v>
      </c>
      <c r="J178" s="501">
        <v>174185</v>
      </c>
      <c r="K178" s="501">
        <v>400000</v>
      </c>
      <c r="L178" s="501"/>
      <c r="M178" s="501"/>
      <c r="N178" s="501"/>
      <c r="O178" s="501"/>
      <c r="P178" s="501"/>
    </row>
    <row r="179" spans="1:16" s="93" customFormat="1" ht="20.25" customHeight="1">
      <c r="A179" s="420"/>
      <c r="B179" s="663">
        <v>80124</v>
      </c>
      <c r="C179" s="664" t="s">
        <v>12</v>
      </c>
      <c r="D179" s="501">
        <f t="shared" si="16"/>
        <v>0</v>
      </c>
      <c r="E179" s="501"/>
      <c r="F179" s="501"/>
      <c r="G179" s="501"/>
      <c r="H179" s="501"/>
      <c r="I179" s="501">
        <v>-64322</v>
      </c>
      <c r="J179" s="501">
        <v>64322</v>
      </c>
      <c r="K179" s="501"/>
      <c r="L179" s="501"/>
      <c r="M179" s="501"/>
      <c r="N179" s="501"/>
      <c r="O179" s="501"/>
      <c r="P179" s="501"/>
    </row>
    <row r="180" spans="1:16" s="93" customFormat="1" ht="20.25" customHeight="1">
      <c r="A180" s="420"/>
      <c r="B180" s="663">
        <v>80130</v>
      </c>
      <c r="C180" s="664" t="s">
        <v>399</v>
      </c>
      <c r="D180" s="501">
        <f t="shared" si="16"/>
        <v>41500</v>
      </c>
      <c r="E180" s="501"/>
      <c r="F180" s="501"/>
      <c r="G180" s="501"/>
      <c r="H180" s="501"/>
      <c r="I180" s="501">
        <v>-2111295</v>
      </c>
      <c r="J180" s="501">
        <v>1129795</v>
      </c>
      <c r="K180" s="501">
        <v>1000000</v>
      </c>
      <c r="L180" s="501"/>
      <c r="M180" s="501">
        <v>23000</v>
      </c>
      <c r="N180" s="501"/>
      <c r="O180" s="501"/>
      <c r="P180" s="501"/>
    </row>
    <row r="181" spans="1:16" s="93" customFormat="1" ht="20.25" customHeight="1">
      <c r="A181" s="420"/>
      <c r="B181" s="663">
        <v>80132</v>
      </c>
      <c r="C181" s="664" t="s">
        <v>57</v>
      </c>
      <c r="D181" s="501">
        <f t="shared" si="16"/>
        <v>0</v>
      </c>
      <c r="E181" s="501"/>
      <c r="F181" s="501"/>
      <c r="G181" s="501"/>
      <c r="H181" s="501"/>
      <c r="I181" s="501">
        <v>-186159</v>
      </c>
      <c r="J181" s="501">
        <v>186159</v>
      </c>
      <c r="K181" s="501"/>
      <c r="L181" s="501"/>
      <c r="M181" s="501"/>
      <c r="N181" s="501"/>
      <c r="O181" s="501"/>
      <c r="P181" s="501"/>
    </row>
    <row r="182" spans="1:16" s="93" customFormat="1" ht="20.25" customHeight="1">
      <c r="A182" s="420"/>
      <c r="B182" s="663">
        <v>80134</v>
      </c>
      <c r="C182" s="664" t="s">
        <v>58</v>
      </c>
      <c r="D182" s="501">
        <f t="shared" si="16"/>
        <v>0</v>
      </c>
      <c r="E182" s="501"/>
      <c r="F182" s="501"/>
      <c r="G182" s="501"/>
      <c r="H182" s="501"/>
      <c r="I182" s="501">
        <v>-344737</v>
      </c>
      <c r="J182" s="501">
        <v>144737</v>
      </c>
      <c r="K182" s="501">
        <v>200000</v>
      </c>
      <c r="L182" s="501"/>
      <c r="M182" s="501"/>
      <c r="N182" s="501"/>
      <c r="O182" s="501"/>
      <c r="P182" s="501"/>
    </row>
    <row r="183" spans="1:16" s="93" customFormat="1" ht="45">
      <c r="A183" s="420"/>
      <c r="B183" s="663">
        <v>80140</v>
      </c>
      <c r="C183" s="664" t="s">
        <v>59</v>
      </c>
      <c r="D183" s="501">
        <f t="shared" si="16"/>
        <v>0</v>
      </c>
      <c r="E183" s="501"/>
      <c r="F183" s="501"/>
      <c r="G183" s="501"/>
      <c r="H183" s="501"/>
      <c r="I183" s="501">
        <v>-731138</v>
      </c>
      <c r="J183" s="501">
        <v>731138</v>
      </c>
      <c r="K183" s="501"/>
      <c r="L183" s="501"/>
      <c r="M183" s="501"/>
      <c r="N183" s="501"/>
      <c r="O183" s="501"/>
      <c r="P183" s="501"/>
    </row>
    <row r="184" spans="1:16" s="93" customFormat="1" ht="20.25" customHeight="1">
      <c r="A184" s="420"/>
      <c r="B184" s="635">
        <v>80146</v>
      </c>
      <c r="C184" s="496" t="s">
        <v>604</v>
      </c>
      <c r="D184" s="501">
        <f aca="true" t="shared" si="20" ref="D184:D210">SUM(E184:P184)</f>
        <v>2700</v>
      </c>
      <c r="E184" s="501"/>
      <c r="F184" s="501"/>
      <c r="G184" s="501"/>
      <c r="H184" s="501"/>
      <c r="I184" s="501">
        <v>-479968</v>
      </c>
      <c r="J184" s="501">
        <v>482668</v>
      </c>
      <c r="K184" s="501"/>
      <c r="L184" s="501"/>
      <c r="M184" s="501"/>
      <c r="N184" s="501"/>
      <c r="O184" s="501"/>
      <c r="P184" s="501"/>
    </row>
    <row r="185" spans="1:16" s="93" customFormat="1" ht="20.25" customHeight="1">
      <c r="A185" s="420"/>
      <c r="B185" s="421">
        <v>80195</v>
      </c>
      <c r="C185" s="937" t="s">
        <v>401</v>
      </c>
      <c r="D185" s="501">
        <f t="shared" si="20"/>
        <v>2358</v>
      </c>
      <c r="E185" s="911"/>
      <c r="F185" s="911"/>
      <c r="G185" s="911"/>
      <c r="H185" s="911"/>
      <c r="I185" s="911">
        <v>-17498</v>
      </c>
      <c r="J185" s="911">
        <v>19856</v>
      </c>
      <c r="K185" s="911"/>
      <c r="L185" s="911"/>
      <c r="M185" s="911"/>
      <c r="N185" s="911"/>
      <c r="O185" s="911"/>
      <c r="P185" s="911"/>
    </row>
    <row r="186" spans="1:16" s="93" customFormat="1" ht="21" customHeight="1" thickBot="1">
      <c r="A186" s="509">
        <v>851</v>
      </c>
      <c r="B186" s="509"/>
      <c r="C186" s="661" t="s">
        <v>323</v>
      </c>
      <c r="D186" s="662">
        <f t="shared" si="20"/>
        <v>-12000</v>
      </c>
      <c r="E186" s="662"/>
      <c r="F186" s="662"/>
      <c r="G186" s="662"/>
      <c r="H186" s="662"/>
      <c r="I186" s="662">
        <f>I187</f>
        <v>-70144</v>
      </c>
      <c r="J186" s="662">
        <f>J187</f>
        <v>70144</v>
      </c>
      <c r="K186" s="662">
        <f>K187</f>
        <v>-12000</v>
      </c>
      <c r="L186" s="662"/>
      <c r="M186" s="662"/>
      <c r="N186" s="662"/>
      <c r="O186" s="662"/>
      <c r="P186" s="662"/>
    </row>
    <row r="187" spans="1:16" s="93" customFormat="1" ht="20.25" customHeight="1">
      <c r="A187" s="420"/>
      <c r="B187" s="635">
        <v>85154</v>
      </c>
      <c r="C187" s="496" t="s">
        <v>334</v>
      </c>
      <c r="D187" s="501">
        <f t="shared" si="20"/>
        <v>-12000</v>
      </c>
      <c r="E187" s="501"/>
      <c r="F187" s="501"/>
      <c r="G187" s="501"/>
      <c r="H187" s="501"/>
      <c r="I187" s="501">
        <v>-70144</v>
      </c>
      <c r="J187" s="501">
        <v>70144</v>
      </c>
      <c r="K187" s="501">
        <v>-12000</v>
      </c>
      <c r="L187" s="501"/>
      <c r="M187" s="501"/>
      <c r="N187" s="501"/>
      <c r="O187" s="501"/>
      <c r="P187" s="501"/>
    </row>
    <row r="188" spans="1:16" s="93" customFormat="1" ht="21" customHeight="1" thickBot="1">
      <c r="A188" s="509">
        <v>852</v>
      </c>
      <c r="B188" s="509"/>
      <c r="C188" s="661" t="s">
        <v>324</v>
      </c>
      <c r="D188" s="662">
        <f t="shared" si="20"/>
        <v>25313</v>
      </c>
      <c r="E188" s="662"/>
      <c r="F188" s="662"/>
      <c r="G188" s="662"/>
      <c r="H188" s="662"/>
      <c r="I188" s="662">
        <f>I189</f>
        <v>-28122</v>
      </c>
      <c r="J188" s="662">
        <f>J189</f>
        <v>42939</v>
      </c>
      <c r="K188" s="662">
        <f>K189</f>
        <v>10496</v>
      </c>
      <c r="L188" s="662"/>
      <c r="M188" s="662"/>
      <c r="N188" s="662"/>
      <c r="O188" s="662"/>
      <c r="P188" s="662"/>
    </row>
    <row r="189" spans="1:16" s="93" customFormat="1" ht="20.25" customHeight="1">
      <c r="A189" s="380"/>
      <c r="B189" s="380">
        <v>85295</v>
      </c>
      <c r="C189" s="496" t="s">
        <v>401</v>
      </c>
      <c r="D189" s="501">
        <f t="shared" si="20"/>
        <v>25313</v>
      </c>
      <c r="E189" s="501"/>
      <c r="F189" s="501"/>
      <c r="G189" s="501"/>
      <c r="H189" s="501"/>
      <c r="I189" s="501">
        <v>-28122</v>
      </c>
      <c r="J189" s="501">
        <f>28374+14565</f>
        <v>42939</v>
      </c>
      <c r="K189" s="501">
        <v>10496</v>
      </c>
      <c r="L189" s="501"/>
      <c r="M189" s="501"/>
      <c r="N189" s="501"/>
      <c r="O189" s="501"/>
      <c r="P189" s="501"/>
    </row>
    <row r="190" spans="1:16" s="93" customFormat="1" ht="32.25" thickBot="1">
      <c r="A190" s="509">
        <v>853</v>
      </c>
      <c r="B190" s="509"/>
      <c r="C190" s="661" t="s">
        <v>389</v>
      </c>
      <c r="D190" s="662">
        <f t="shared" si="20"/>
        <v>-1250</v>
      </c>
      <c r="E190" s="662"/>
      <c r="F190" s="662"/>
      <c r="G190" s="662"/>
      <c r="H190" s="662"/>
      <c r="I190" s="662">
        <f>I191</f>
        <v>-6450</v>
      </c>
      <c r="J190" s="662">
        <f>J191</f>
        <v>5200</v>
      </c>
      <c r="K190" s="662"/>
      <c r="L190" s="662"/>
      <c r="M190" s="662"/>
      <c r="N190" s="662"/>
      <c r="O190" s="662"/>
      <c r="P190" s="662"/>
    </row>
    <row r="191" spans="1:16" s="93" customFormat="1" ht="30">
      <c r="A191" s="380"/>
      <c r="B191" s="380">
        <v>85311</v>
      </c>
      <c r="C191" s="496" t="s">
        <v>216</v>
      </c>
      <c r="D191" s="501">
        <f t="shared" si="20"/>
        <v>-1250</v>
      </c>
      <c r="E191" s="501"/>
      <c r="F191" s="501"/>
      <c r="G191" s="501"/>
      <c r="H191" s="501"/>
      <c r="I191" s="501">
        <v>-6450</v>
      </c>
      <c r="J191" s="501">
        <f>6450-1250</f>
        <v>5200</v>
      </c>
      <c r="K191" s="501"/>
      <c r="L191" s="501"/>
      <c r="M191" s="501"/>
      <c r="N191" s="501"/>
      <c r="O191" s="501"/>
      <c r="P191" s="501"/>
    </row>
    <row r="192" spans="1:16" s="93" customFormat="1" ht="21" customHeight="1" thickBot="1">
      <c r="A192" s="509">
        <v>854</v>
      </c>
      <c r="B192" s="509"/>
      <c r="C192" s="661" t="s">
        <v>403</v>
      </c>
      <c r="D192" s="662">
        <f t="shared" si="20"/>
        <v>212339</v>
      </c>
      <c r="E192" s="662"/>
      <c r="F192" s="662"/>
      <c r="G192" s="662"/>
      <c r="H192" s="662"/>
      <c r="I192" s="662">
        <f aca="true" t="shared" si="21" ref="I192:O192">SUM(I193:I202)</f>
        <v>-1920714</v>
      </c>
      <c r="J192" s="662">
        <f t="shared" si="21"/>
        <v>1629365</v>
      </c>
      <c r="K192" s="662">
        <f t="shared" si="21"/>
        <v>402688</v>
      </c>
      <c r="L192" s="662"/>
      <c r="M192" s="662">
        <f t="shared" si="21"/>
        <v>4000</v>
      </c>
      <c r="N192" s="662">
        <f t="shared" si="21"/>
        <v>147000</v>
      </c>
      <c r="O192" s="662">
        <f t="shared" si="21"/>
        <v>-50000</v>
      </c>
      <c r="P192" s="662"/>
    </row>
    <row r="193" spans="1:16" s="93" customFormat="1" ht="20.25" customHeight="1">
      <c r="A193" s="977"/>
      <c r="B193" s="380">
        <v>85401</v>
      </c>
      <c r="C193" s="877" t="s">
        <v>61</v>
      </c>
      <c r="D193" s="501">
        <f t="shared" si="20"/>
        <v>4759</v>
      </c>
      <c r="E193" s="501"/>
      <c r="F193" s="501"/>
      <c r="G193" s="501"/>
      <c r="H193" s="501"/>
      <c r="I193" s="501">
        <v>-149180</v>
      </c>
      <c r="J193" s="501">
        <v>203939</v>
      </c>
      <c r="K193" s="501"/>
      <c r="L193" s="501"/>
      <c r="M193" s="501"/>
      <c r="N193" s="501"/>
      <c r="O193" s="501">
        <v>-50000</v>
      </c>
      <c r="P193" s="501"/>
    </row>
    <row r="194" spans="1:16" s="93" customFormat="1" ht="20.25" customHeight="1">
      <c r="A194" s="420"/>
      <c r="B194" s="663">
        <v>85403</v>
      </c>
      <c r="C194" s="664" t="s">
        <v>599</v>
      </c>
      <c r="D194" s="665">
        <f t="shared" si="20"/>
        <v>147000</v>
      </c>
      <c r="E194" s="665"/>
      <c r="F194" s="665"/>
      <c r="G194" s="665"/>
      <c r="H194" s="665"/>
      <c r="I194" s="665">
        <v>-636487</v>
      </c>
      <c r="J194" s="665">
        <v>636487</v>
      </c>
      <c r="K194" s="665"/>
      <c r="L194" s="665"/>
      <c r="M194" s="665"/>
      <c r="N194" s="665">
        <v>147000</v>
      </c>
      <c r="O194" s="665"/>
      <c r="P194" s="665"/>
    </row>
    <row r="195" spans="1:16" s="93" customFormat="1" ht="30">
      <c r="A195" s="420"/>
      <c r="B195" s="663">
        <v>85406</v>
      </c>
      <c r="C195" s="664" t="s">
        <v>13</v>
      </c>
      <c r="D195" s="665">
        <f t="shared" si="20"/>
        <v>4000</v>
      </c>
      <c r="E195" s="665"/>
      <c r="F195" s="665"/>
      <c r="G195" s="665"/>
      <c r="H195" s="665"/>
      <c r="I195" s="665">
        <v>-363202</v>
      </c>
      <c r="J195" s="665">
        <v>163202</v>
      </c>
      <c r="K195" s="665">
        <v>200000</v>
      </c>
      <c r="L195" s="665"/>
      <c r="M195" s="665">
        <v>4000</v>
      </c>
      <c r="N195" s="665"/>
      <c r="O195" s="665"/>
      <c r="P195" s="665"/>
    </row>
    <row r="196" spans="1:16" s="93" customFormat="1" ht="20.25" customHeight="1">
      <c r="A196" s="420"/>
      <c r="B196" s="663">
        <v>85407</v>
      </c>
      <c r="C196" s="856" t="s">
        <v>15</v>
      </c>
      <c r="D196" s="665">
        <f t="shared" si="20"/>
        <v>34500</v>
      </c>
      <c r="E196" s="665"/>
      <c r="F196" s="665"/>
      <c r="G196" s="665"/>
      <c r="H196" s="665"/>
      <c r="I196" s="665">
        <v>-187552</v>
      </c>
      <c r="J196" s="665">
        <v>122052</v>
      </c>
      <c r="K196" s="665">
        <v>100000</v>
      </c>
      <c r="L196" s="665"/>
      <c r="M196" s="665"/>
      <c r="N196" s="665"/>
      <c r="O196" s="665"/>
      <c r="P196" s="665"/>
    </row>
    <row r="197" spans="1:16" s="93" customFormat="1" ht="20.25" customHeight="1">
      <c r="A197" s="380"/>
      <c r="B197" s="663">
        <v>85410</v>
      </c>
      <c r="C197" s="856" t="s">
        <v>16</v>
      </c>
      <c r="D197" s="665">
        <f t="shared" si="20"/>
        <v>0</v>
      </c>
      <c r="E197" s="665"/>
      <c r="F197" s="665"/>
      <c r="G197" s="665"/>
      <c r="H197" s="665"/>
      <c r="I197" s="665">
        <v>-237727</v>
      </c>
      <c r="J197" s="665">
        <v>137727</v>
      </c>
      <c r="K197" s="665">
        <v>100000</v>
      </c>
      <c r="L197" s="665"/>
      <c r="M197" s="665"/>
      <c r="N197" s="665"/>
      <c r="O197" s="665"/>
      <c r="P197" s="665"/>
    </row>
    <row r="198" spans="1:16" s="93" customFormat="1" ht="20.25" customHeight="1">
      <c r="A198" s="420"/>
      <c r="B198" s="380">
        <v>85415</v>
      </c>
      <c r="C198" s="496" t="s">
        <v>600</v>
      </c>
      <c r="D198" s="501">
        <f t="shared" si="20"/>
        <v>16080</v>
      </c>
      <c r="E198" s="501"/>
      <c r="F198" s="501"/>
      <c r="G198" s="501"/>
      <c r="H198" s="501"/>
      <c r="I198" s="501">
        <v>-107247</v>
      </c>
      <c r="J198" s="501">
        <v>120639</v>
      </c>
      <c r="K198" s="501">
        <v>2688</v>
      </c>
      <c r="L198" s="501"/>
      <c r="M198" s="501"/>
      <c r="N198" s="501"/>
      <c r="O198" s="501"/>
      <c r="P198" s="501"/>
    </row>
    <row r="199" spans="1:16" s="93" customFormat="1" ht="20.25" customHeight="1">
      <c r="A199" s="420"/>
      <c r="B199" s="663">
        <v>85417</v>
      </c>
      <c r="C199" s="856" t="s">
        <v>38</v>
      </c>
      <c r="D199" s="665">
        <f t="shared" si="20"/>
        <v>0</v>
      </c>
      <c r="E199" s="665"/>
      <c r="F199" s="665"/>
      <c r="G199" s="665"/>
      <c r="H199" s="665"/>
      <c r="I199" s="665">
        <v>-9999</v>
      </c>
      <c r="J199" s="665">
        <v>9999</v>
      </c>
      <c r="K199" s="665"/>
      <c r="L199" s="665"/>
      <c r="M199" s="665"/>
      <c r="N199" s="665"/>
      <c r="O199" s="665"/>
      <c r="P199" s="665"/>
    </row>
    <row r="200" spans="1:16" s="93" customFormat="1" ht="20.25" customHeight="1">
      <c r="A200" s="420"/>
      <c r="B200" s="663">
        <v>85421</v>
      </c>
      <c r="C200" s="856" t="s">
        <v>37</v>
      </c>
      <c r="D200" s="665">
        <f t="shared" si="20"/>
        <v>0</v>
      </c>
      <c r="E200" s="665"/>
      <c r="F200" s="665"/>
      <c r="G200" s="665"/>
      <c r="H200" s="665"/>
      <c r="I200" s="665">
        <v>-44189</v>
      </c>
      <c r="J200" s="665">
        <v>44189</v>
      </c>
      <c r="K200" s="665"/>
      <c r="L200" s="665"/>
      <c r="M200" s="665"/>
      <c r="N200" s="665"/>
      <c r="O200" s="665"/>
      <c r="P200" s="665"/>
    </row>
    <row r="201" spans="1:16" s="93" customFormat="1" ht="20.25" customHeight="1">
      <c r="A201" s="420"/>
      <c r="B201" s="663">
        <v>85446</v>
      </c>
      <c r="C201" s="856" t="s">
        <v>604</v>
      </c>
      <c r="D201" s="665">
        <f t="shared" si="20"/>
        <v>0</v>
      </c>
      <c r="E201" s="665"/>
      <c r="F201" s="665"/>
      <c r="G201" s="665"/>
      <c r="H201" s="665"/>
      <c r="I201" s="665">
        <v>-65806</v>
      </c>
      <c r="J201" s="665">
        <v>65806</v>
      </c>
      <c r="K201" s="665"/>
      <c r="L201" s="665"/>
      <c r="M201" s="665"/>
      <c r="N201" s="665"/>
      <c r="O201" s="665"/>
      <c r="P201" s="665"/>
    </row>
    <row r="202" spans="1:16" s="93" customFormat="1" ht="20.25" customHeight="1">
      <c r="A202" s="380"/>
      <c r="B202" s="663">
        <v>85495</v>
      </c>
      <c r="C202" s="856" t="s">
        <v>401</v>
      </c>
      <c r="D202" s="665">
        <f t="shared" si="20"/>
        <v>6000</v>
      </c>
      <c r="E202" s="665"/>
      <c r="F202" s="665"/>
      <c r="G202" s="665"/>
      <c r="H202" s="665"/>
      <c r="I202" s="665">
        <v>-119325</v>
      </c>
      <c r="J202" s="665">
        <v>125325</v>
      </c>
      <c r="K202" s="665"/>
      <c r="L202" s="665"/>
      <c r="M202" s="665"/>
      <c r="N202" s="665"/>
      <c r="O202" s="665"/>
      <c r="P202" s="665"/>
    </row>
    <row r="203" spans="1:16" s="93" customFormat="1" ht="21" customHeight="1" thickBot="1">
      <c r="A203" s="509">
        <v>926</v>
      </c>
      <c r="B203" s="509"/>
      <c r="C203" s="661" t="s">
        <v>601</v>
      </c>
      <c r="D203" s="662">
        <f t="shared" si="20"/>
        <v>0</v>
      </c>
      <c r="E203" s="662"/>
      <c r="F203" s="662"/>
      <c r="G203" s="662"/>
      <c r="H203" s="662"/>
      <c r="I203" s="662">
        <f>I204</f>
        <v>-287501</v>
      </c>
      <c r="J203" s="662">
        <f>J204</f>
        <v>287501</v>
      </c>
      <c r="K203" s="662"/>
      <c r="L203" s="662"/>
      <c r="M203" s="662"/>
      <c r="N203" s="662"/>
      <c r="O203" s="662"/>
      <c r="P203" s="662"/>
    </row>
    <row r="204" spans="1:16" s="93" customFormat="1" ht="20.25" customHeight="1">
      <c r="A204" s="420"/>
      <c r="B204" s="380">
        <v>92605</v>
      </c>
      <c r="C204" s="496" t="s">
        <v>602</v>
      </c>
      <c r="D204" s="501">
        <f t="shared" si="20"/>
        <v>0</v>
      </c>
      <c r="E204" s="501"/>
      <c r="F204" s="501"/>
      <c r="G204" s="501"/>
      <c r="H204" s="501"/>
      <c r="I204" s="501">
        <v>-287501</v>
      </c>
      <c r="J204" s="501">
        <v>287501</v>
      </c>
      <c r="K204" s="501"/>
      <c r="L204" s="501"/>
      <c r="M204" s="501"/>
      <c r="N204" s="501"/>
      <c r="O204" s="501"/>
      <c r="P204" s="501"/>
    </row>
    <row r="205" spans="1:16" s="93" customFormat="1" ht="30.75" thickBot="1">
      <c r="A205" s="380"/>
      <c r="B205" s="380"/>
      <c r="C205" s="425" t="s">
        <v>195</v>
      </c>
      <c r="D205" s="500">
        <f t="shared" si="20"/>
        <v>1250</v>
      </c>
      <c r="E205" s="500"/>
      <c r="F205" s="500"/>
      <c r="G205" s="500"/>
      <c r="H205" s="500"/>
      <c r="I205" s="500"/>
      <c r="J205" s="500">
        <f>J206</f>
        <v>1250</v>
      </c>
      <c r="K205" s="500"/>
      <c r="L205" s="500"/>
      <c r="M205" s="500"/>
      <c r="N205" s="500"/>
      <c r="O205" s="500"/>
      <c r="P205" s="500"/>
    </row>
    <row r="206" spans="1:16" s="93" customFormat="1" ht="33" thickBot="1" thickTop="1">
      <c r="A206" s="510">
        <v>853</v>
      </c>
      <c r="B206" s="509"/>
      <c r="C206" s="508" t="s">
        <v>389</v>
      </c>
      <c r="D206" s="508">
        <f t="shared" si="20"/>
        <v>1250</v>
      </c>
      <c r="E206" s="510"/>
      <c r="F206" s="510"/>
      <c r="G206" s="510"/>
      <c r="H206" s="510"/>
      <c r="I206" s="510"/>
      <c r="J206" s="510">
        <f>J207</f>
        <v>1250</v>
      </c>
      <c r="K206" s="510"/>
      <c r="L206" s="510"/>
      <c r="M206" s="510"/>
      <c r="N206" s="510"/>
      <c r="O206" s="510"/>
      <c r="P206" s="510"/>
    </row>
    <row r="207" spans="1:16" s="93" customFormat="1" ht="30">
      <c r="A207" s="380"/>
      <c r="B207" s="380">
        <v>85311</v>
      </c>
      <c r="C207" s="496" t="s">
        <v>216</v>
      </c>
      <c r="D207" s="496">
        <f t="shared" si="20"/>
        <v>1250</v>
      </c>
      <c r="E207" s="501"/>
      <c r="F207" s="501"/>
      <c r="G207" s="501"/>
      <c r="H207" s="501"/>
      <c r="I207" s="501"/>
      <c r="J207" s="501">
        <v>1250</v>
      </c>
      <c r="K207" s="501"/>
      <c r="L207" s="501"/>
      <c r="M207" s="501"/>
      <c r="N207" s="501"/>
      <c r="O207" s="501"/>
      <c r="P207" s="501"/>
    </row>
    <row r="208" spans="1:16" s="93" customFormat="1" ht="45.75" thickBot="1">
      <c r="A208" s="380"/>
      <c r="B208" s="380"/>
      <c r="C208" s="425" t="s">
        <v>308</v>
      </c>
      <c r="D208" s="500">
        <f t="shared" si="20"/>
        <v>0</v>
      </c>
      <c r="E208" s="500"/>
      <c r="F208" s="500"/>
      <c r="G208" s="500"/>
      <c r="H208" s="500"/>
      <c r="I208" s="500">
        <f>I209</f>
        <v>-43</v>
      </c>
      <c r="J208" s="500">
        <f>J209</f>
        <v>43</v>
      </c>
      <c r="K208" s="500"/>
      <c r="L208" s="500"/>
      <c r="M208" s="500"/>
      <c r="N208" s="500"/>
      <c r="O208" s="500"/>
      <c r="P208" s="500"/>
    </row>
    <row r="209" spans="1:16" s="93" customFormat="1" ht="21" customHeight="1" thickBot="1" thickTop="1">
      <c r="A209" s="510">
        <v>851</v>
      </c>
      <c r="B209" s="509"/>
      <c r="C209" s="508" t="s">
        <v>323</v>
      </c>
      <c r="D209" s="510">
        <f t="shared" si="20"/>
        <v>0</v>
      </c>
      <c r="E209" s="510"/>
      <c r="F209" s="510"/>
      <c r="G209" s="510"/>
      <c r="H209" s="510"/>
      <c r="I209" s="510">
        <f>I210</f>
        <v>-43</v>
      </c>
      <c r="J209" s="510">
        <f>J210</f>
        <v>43</v>
      </c>
      <c r="K209" s="510"/>
      <c r="L209" s="510"/>
      <c r="M209" s="510"/>
      <c r="N209" s="510"/>
      <c r="O209" s="510"/>
      <c r="P209" s="510"/>
    </row>
    <row r="210" spans="1:16" s="93" customFormat="1" ht="45">
      <c r="A210" s="380"/>
      <c r="B210" s="380">
        <v>85156</v>
      </c>
      <c r="C210" s="496" t="s">
        <v>331</v>
      </c>
      <c r="D210" s="501">
        <f t="shared" si="20"/>
        <v>0</v>
      </c>
      <c r="E210" s="501"/>
      <c r="F210" s="501"/>
      <c r="G210" s="501"/>
      <c r="H210" s="501"/>
      <c r="I210" s="501">
        <v>-43</v>
      </c>
      <c r="J210" s="501">
        <v>43</v>
      </c>
      <c r="K210" s="501"/>
      <c r="L210" s="501"/>
      <c r="M210" s="501"/>
      <c r="N210" s="501"/>
      <c r="O210" s="501"/>
      <c r="P210" s="501"/>
    </row>
    <row r="211" spans="1:16" s="555" customFormat="1" ht="25.5" customHeight="1">
      <c r="A211" s="556"/>
      <c r="B211" s="556"/>
      <c r="C211" s="557"/>
      <c r="D211" s="558"/>
      <c r="E211" s="558"/>
      <c r="F211" s="558"/>
      <c r="G211" s="558"/>
      <c r="H211" s="558"/>
      <c r="I211" s="558"/>
      <c r="J211" s="558"/>
      <c r="K211" s="558"/>
      <c r="L211" s="558"/>
      <c r="M211" s="558"/>
      <c r="N211" s="558"/>
      <c r="O211" s="558"/>
      <c r="P211" s="558"/>
    </row>
    <row r="212" spans="1:16" s="556" customFormat="1" ht="33" customHeight="1">
      <c r="A212" s="553"/>
      <c r="B212" s="1588" t="s">
        <v>17</v>
      </c>
      <c r="C212" s="559"/>
      <c r="D212" s="554"/>
      <c r="E212" s="554"/>
      <c r="F212" s="554"/>
      <c r="G212" s="554"/>
      <c r="H212" s="554"/>
      <c r="I212" s="554"/>
      <c r="J212" s="554"/>
      <c r="K212" s="554"/>
      <c r="L212" s="554"/>
      <c r="M212" s="554"/>
      <c r="N212" s="1586" t="s">
        <v>20</v>
      </c>
      <c r="O212" s="554"/>
      <c r="P212" s="554"/>
    </row>
    <row r="213" spans="1:16" s="556" customFormat="1" ht="19.5" customHeight="1">
      <c r="A213" s="553"/>
      <c r="B213" s="1589" t="s">
        <v>19</v>
      </c>
      <c r="C213" s="559"/>
      <c r="D213" s="554"/>
      <c r="E213" s="554"/>
      <c r="F213" s="554"/>
      <c r="G213" s="554"/>
      <c r="H213" s="554"/>
      <c r="I213" s="554"/>
      <c r="J213" s="554"/>
      <c r="K213" s="554"/>
      <c r="L213" s="554"/>
      <c r="M213" s="554"/>
      <c r="N213" s="1587" t="s">
        <v>18</v>
      </c>
      <c r="O213" s="554"/>
      <c r="P213" s="554"/>
    </row>
    <row r="214" spans="1:16" s="556" customFormat="1" ht="21" customHeight="1">
      <c r="A214" s="553"/>
      <c r="B214" s="553"/>
      <c r="C214" s="559"/>
      <c r="D214" s="554"/>
      <c r="E214" s="554"/>
      <c r="F214" s="554"/>
      <c r="G214" s="554"/>
      <c r="H214" s="554"/>
      <c r="I214" s="554"/>
      <c r="J214" s="554"/>
      <c r="K214" s="554"/>
      <c r="L214" s="554"/>
      <c r="M214" s="554"/>
      <c r="N214" s="554"/>
      <c r="O214" s="554"/>
      <c r="P214" s="554"/>
    </row>
    <row r="215" spans="1:16" s="556" customFormat="1" ht="30" customHeight="1">
      <c r="A215" s="553"/>
      <c r="B215" s="553"/>
      <c r="C215" s="559"/>
      <c r="D215" s="554"/>
      <c r="E215" s="554"/>
      <c r="F215" s="554"/>
      <c r="G215" s="554"/>
      <c r="H215" s="554"/>
      <c r="I215" s="554"/>
      <c r="J215" s="554"/>
      <c r="K215" s="554"/>
      <c r="L215" s="554"/>
      <c r="M215" s="554"/>
      <c r="N215" s="554"/>
      <c r="O215" s="554"/>
      <c r="P215" s="554"/>
    </row>
    <row r="216" spans="1:16" s="556" customFormat="1" ht="24" customHeight="1">
      <c r="A216" s="553"/>
      <c r="B216" s="553"/>
      <c r="C216" s="559"/>
      <c r="D216" s="554"/>
      <c r="E216" s="554"/>
      <c r="F216" s="554"/>
      <c r="G216" s="554"/>
      <c r="H216" s="554"/>
      <c r="I216" s="554"/>
      <c r="J216" s="554"/>
      <c r="K216" s="554"/>
      <c r="L216" s="554"/>
      <c r="M216" s="554"/>
      <c r="N216" s="554"/>
      <c r="O216" s="554"/>
      <c r="P216" s="554"/>
    </row>
    <row r="217" spans="1:16" s="556" customFormat="1" ht="24.75" customHeight="1">
      <c r="A217" s="553"/>
      <c r="B217" s="553"/>
      <c r="C217" s="559"/>
      <c r="D217" s="554"/>
      <c r="E217" s="554"/>
      <c r="F217" s="554"/>
      <c r="G217" s="554"/>
      <c r="H217" s="554"/>
      <c r="I217" s="554"/>
      <c r="J217" s="554"/>
      <c r="K217" s="554"/>
      <c r="L217" s="554"/>
      <c r="M217" s="554"/>
      <c r="N217" s="554"/>
      <c r="O217" s="554"/>
      <c r="P217" s="554"/>
    </row>
    <row r="218" spans="1:16" s="556" customFormat="1" ht="24.75" customHeight="1">
      <c r="A218" s="553"/>
      <c r="B218" s="553"/>
      <c r="C218" s="559"/>
      <c r="D218" s="554"/>
      <c r="E218" s="554"/>
      <c r="F218" s="554"/>
      <c r="G218" s="554"/>
      <c r="H218" s="554"/>
      <c r="I218" s="554"/>
      <c r="J218" s="554"/>
      <c r="K218" s="554"/>
      <c r="L218" s="554"/>
      <c r="M218" s="554"/>
      <c r="N218" s="554"/>
      <c r="O218" s="554"/>
      <c r="P218" s="554"/>
    </row>
    <row r="219" spans="1:16" s="556" customFormat="1" ht="26.25" customHeight="1">
      <c r="A219" s="553"/>
      <c r="B219" s="553"/>
      <c r="C219" s="559"/>
      <c r="D219" s="554"/>
      <c r="E219" s="554"/>
      <c r="F219" s="554"/>
      <c r="G219" s="554"/>
      <c r="H219" s="554"/>
      <c r="I219" s="554"/>
      <c r="J219" s="554"/>
      <c r="K219" s="554"/>
      <c r="L219" s="554"/>
      <c r="M219" s="554"/>
      <c r="N219" s="554"/>
      <c r="O219" s="554"/>
      <c r="P219" s="554"/>
    </row>
    <row r="220" spans="1:16" s="556" customFormat="1" ht="24" customHeight="1">
      <c r="A220" s="553"/>
      <c r="B220" s="553"/>
      <c r="C220" s="559"/>
      <c r="D220" s="554"/>
      <c r="E220" s="554"/>
      <c r="F220" s="554"/>
      <c r="G220" s="554"/>
      <c r="H220" s="554"/>
      <c r="I220" s="554"/>
      <c r="J220" s="554"/>
      <c r="K220" s="554"/>
      <c r="L220" s="554"/>
      <c r="M220" s="554"/>
      <c r="N220" s="554"/>
      <c r="O220" s="554"/>
      <c r="P220" s="554"/>
    </row>
    <row r="221" spans="1:16" s="556" customFormat="1" ht="24" customHeight="1">
      <c r="A221" s="553"/>
      <c r="B221" s="553"/>
      <c r="C221" s="559"/>
      <c r="D221" s="554"/>
      <c r="E221" s="554"/>
      <c r="F221" s="554"/>
      <c r="G221" s="554"/>
      <c r="H221" s="554"/>
      <c r="I221" s="554"/>
      <c r="J221" s="554"/>
      <c r="K221" s="554"/>
      <c r="L221" s="554"/>
      <c r="M221" s="554"/>
      <c r="N221" s="554"/>
      <c r="O221" s="554"/>
      <c r="P221" s="554"/>
    </row>
    <row r="222" spans="1:16" s="556" customFormat="1" ht="24.75" customHeight="1">
      <c r="A222" s="553"/>
      <c r="B222" s="553"/>
      <c r="C222" s="559"/>
      <c r="D222" s="554"/>
      <c r="E222" s="554"/>
      <c r="F222" s="554"/>
      <c r="G222" s="554"/>
      <c r="H222" s="554"/>
      <c r="I222" s="554"/>
      <c r="J222" s="554"/>
      <c r="K222" s="554"/>
      <c r="L222" s="554"/>
      <c r="M222" s="554"/>
      <c r="N222" s="554"/>
      <c r="O222" s="554"/>
      <c r="P222" s="554"/>
    </row>
    <row r="223" spans="1:16" s="556" customFormat="1" ht="33.75" customHeight="1">
      <c r="A223" s="553"/>
      <c r="B223" s="553"/>
      <c r="C223" s="559"/>
      <c r="D223" s="554"/>
      <c r="E223" s="554"/>
      <c r="F223" s="554"/>
      <c r="G223" s="554"/>
      <c r="H223" s="554"/>
      <c r="I223" s="554"/>
      <c r="J223" s="554"/>
      <c r="K223" s="554"/>
      <c r="L223" s="554"/>
      <c r="M223" s="554"/>
      <c r="N223" s="554"/>
      <c r="O223" s="554"/>
      <c r="P223" s="554"/>
    </row>
    <row r="224" spans="1:16" s="556" customFormat="1" ht="33.75" customHeight="1">
      <c r="A224" s="553"/>
      <c r="B224" s="553"/>
      <c r="C224" s="559"/>
      <c r="D224" s="554"/>
      <c r="E224" s="554"/>
      <c r="F224" s="554"/>
      <c r="G224" s="554"/>
      <c r="H224" s="554"/>
      <c r="I224" s="554"/>
      <c r="J224" s="554"/>
      <c r="K224" s="554"/>
      <c r="L224" s="554"/>
      <c r="M224" s="554"/>
      <c r="N224" s="554"/>
      <c r="O224" s="554"/>
      <c r="P224" s="554"/>
    </row>
    <row r="225" spans="1:16" s="556" customFormat="1" ht="39.75" customHeight="1">
      <c r="A225" s="553"/>
      <c r="B225" s="553"/>
      <c r="C225" s="559"/>
      <c r="D225" s="554"/>
      <c r="E225" s="554"/>
      <c r="F225" s="554"/>
      <c r="G225" s="554"/>
      <c r="H225" s="554"/>
      <c r="I225" s="554"/>
      <c r="J225" s="554"/>
      <c r="K225" s="554"/>
      <c r="L225" s="554"/>
      <c r="M225" s="554"/>
      <c r="N225" s="554"/>
      <c r="O225" s="554"/>
      <c r="P225" s="554"/>
    </row>
    <row r="226" spans="1:16" s="560" customFormat="1" ht="21.75" customHeight="1">
      <c r="A226" s="553"/>
      <c r="B226" s="553"/>
      <c r="C226" s="559"/>
      <c r="D226" s="554"/>
      <c r="E226" s="554"/>
      <c r="F226" s="554"/>
      <c r="G226" s="554"/>
      <c r="H226" s="554"/>
      <c r="I226" s="554"/>
      <c r="J226" s="554"/>
      <c r="K226" s="554"/>
      <c r="L226" s="554"/>
      <c r="M226" s="554"/>
      <c r="N226" s="554"/>
      <c r="O226" s="554"/>
      <c r="P226" s="554"/>
    </row>
    <row r="227" spans="1:16" s="556" customFormat="1" ht="24.75" customHeight="1">
      <c r="A227" s="553"/>
      <c r="B227" s="553"/>
      <c r="C227" s="559"/>
      <c r="D227" s="554"/>
      <c r="E227" s="554"/>
      <c r="F227" s="554"/>
      <c r="G227" s="554"/>
      <c r="H227" s="554"/>
      <c r="I227" s="554"/>
      <c r="J227" s="554"/>
      <c r="K227" s="554"/>
      <c r="L227" s="554"/>
      <c r="M227" s="554"/>
      <c r="N227" s="554"/>
      <c r="O227" s="554"/>
      <c r="P227" s="554"/>
    </row>
    <row r="228" spans="1:16" s="556" customFormat="1" ht="49.5" customHeight="1">
      <c r="A228" s="553"/>
      <c r="B228" s="553"/>
      <c r="C228" s="559"/>
      <c r="D228" s="554"/>
      <c r="E228" s="554"/>
      <c r="F228" s="554"/>
      <c r="G228" s="554"/>
      <c r="H228" s="554"/>
      <c r="I228" s="554"/>
      <c r="J228" s="554"/>
      <c r="K228" s="554"/>
      <c r="L228" s="554"/>
      <c r="M228" s="554"/>
      <c r="N228" s="554"/>
      <c r="O228" s="554"/>
      <c r="P228" s="554"/>
    </row>
    <row r="229" spans="1:16" s="556" customFormat="1" ht="30.75" customHeight="1">
      <c r="A229" s="553"/>
      <c r="B229" s="553"/>
      <c r="C229" s="559"/>
      <c r="D229" s="554"/>
      <c r="E229" s="554"/>
      <c r="F229" s="554"/>
      <c r="G229" s="554"/>
      <c r="H229" s="554"/>
      <c r="I229" s="554"/>
      <c r="J229" s="554"/>
      <c r="K229" s="554"/>
      <c r="L229" s="554"/>
      <c r="M229" s="554"/>
      <c r="N229" s="554"/>
      <c r="O229" s="554"/>
      <c r="P229" s="554"/>
    </row>
    <row r="230" spans="1:16" s="556" customFormat="1" ht="27.75" customHeight="1">
      <c r="A230" s="553"/>
      <c r="B230" s="553"/>
      <c r="C230" s="559"/>
      <c r="D230" s="554"/>
      <c r="E230" s="554"/>
      <c r="F230" s="554"/>
      <c r="G230" s="554"/>
      <c r="H230" s="554"/>
      <c r="I230" s="554"/>
      <c r="J230" s="554"/>
      <c r="K230" s="554"/>
      <c r="L230" s="554"/>
      <c r="M230" s="554"/>
      <c r="N230" s="554"/>
      <c r="O230" s="554"/>
      <c r="P230" s="554"/>
    </row>
    <row r="231" spans="1:16" s="556" customFormat="1" ht="15">
      <c r="A231" s="553"/>
      <c r="B231" s="553"/>
      <c r="C231" s="559"/>
      <c r="D231" s="554"/>
      <c r="E231" s="554"/>
      <c r="F231" s="554"/>
      <c r="G231" s="554"/>
      <c r="H231" s="554"/>
      <c r="I231" s="554"/>
      <c r="J231" s="554"/>
      <c r="K231" s="554"/>
      <c r="L231" s="554"/>
      <c r="M231" s="554"/>
      <c r="N231" s="554"/>
      <c r="O231" s="554"/>
      <c r="P231" s="554"/>
    </row>
    <row r="232" spans="1:16" s="556" customFormat="1" ht="15">
      <c r="A232" s="553"/>
      <c r="B232" s="553"/>
      <c r="C232" s="559"/>
      <c r="D232" s="554"/>
      <c r="E232" s="554"/>
      <c r="F232" s="554"/>
      <c r="G232" s="554"/>
      <c r="H232" s="554"/>
      <c r="I232" s="554"/>
      <c r="J232" s="554"/>
      <c r="K232" s="554"/>
      <c r="L232" s="554"/>
      <c r="M232" s="554"/>
      <c r="N232" s="554"/>
      <c r="O232" s="554"/>
      <c r="P232" s="554"/>
    </row>
    <row r="233" spans="1:16" s="556" customFormat="1" ht="15">
      <c r="A233" s="553"/>
      <c r="B233" s="553"/>
      <c r="C233" s="559"/>
      <c r="D233" s="554"/>
      <c r="E233" s="554"/>
      <c r="F233" s="554"/>
      <c r="G233" s="554"/>
      <c r="H233" s="554"/>
      <c r="I233" s="554"/>
      <c r="J233" s="554"/>
      <c r="K233" s="554"/>
      <c r="L233" s="554"/>
      <c r="M233" s="554"/>
      <c r="N233" s="554"/>
      <c r="O233" s="554"/>
      <c r="P233" s="554"/>
    </row>
    <row r="234" spans="1:16" s="556" customFormat="1" ht="15">
      <c r="A234" s="553"/>
      <c r="B234" s="553"/>
      <c r="C234" s="559"/>
      <c r="D234" s="554"/>
      <c r="E234" s="554"/>
      <c r="F234" s="554"/>
      <c r="G234" s="554"/>
      <c r="H234" s="554"/>
      <c r="I234" s="554"/>
      <c r="J234" s="554"/>
      <c r="K234" s="554"/>
      <c r="L234" s="554"/>
      <c r="M234" s="554"/>
      <c r="N234" s="554"/>
      <c r="O234" s="554"/>
      <c r="P234" s="554"/>
    </row>
    <row r="235" spans="1:16" s="556" customFormat="1" ht="15">
      <c r="A235" s="553"/>
      <c r="B235" s="553"/>
      <c r="C235" s="559"/>
      <c r="D235" s="554"/>
      <c r="E235" s="554"/>
      <c r="F235" s="554"/>
      <c r="G235" s="554"/>
      <c r="H235" s="554"/>
      <c r="I235" s="554"/>
      <c r="J235" s="554"/>
      <c r="K235" s="554"/>
      <c r="L235" s="554"/>
      <c r="M235" s="554"/>
      <c r="N235" s="554"/>
      <c r="O235" s="554"/>
      <c r="P235" s="554"/>
    </row>
    <row r="236" spans="1:16" s="556" customFormat="1" ht="15">
      <c r="A236" s="553"/>
      <c r="B236" s="553"/>
      <c r="C236" s="559"/>
      <c r="D236" s="554"/>
      <c r="E236" s="554"/>
      <c r="F236" s="554"/>
      <c r="G236" s="554"/>
      <c r="H236" s="554"/>
      <c r="I236" s="554"/>
      <c r="J236" s="554"/>
      <c r="K236" s="554"/>
      <c r="L236" s="554"/>
      <c r="M236" s="554"/>
      <c r="N236" s="554"/>
      <c r="O236" s="554"/>
      <c r="P236" s="554"/>
    </row>
    <row r="237" spans="1:16" s="556" customFormat="1" ht="15">
      <c r="A237" s="553"/>
      <c r="B237" s="553"/>
      <c r="C237" s="559"/>
      <c r="D237" s="554"/>
      <c r="E237" s="554"/>
      <c r="F237" s="554"/>
      <c r="G237" s="554"/>
      <c r="H237" s="554"/>
      <c r="I237" s="554"/>
      <c r="J237" s="554"/>
      <c r="K237" s="554"/>
      <c r="L237" s="554"/>
      <c r="M237" s="554"/>
      <c r="N237" s="554"/>
      <c r="O237" s="554"/>
      <c r="P237" s="554"/>
    </row>
    <row r="238" spans="1:16" s="556" customFormat="1" ht="15">
      <c r="A238" s="553"/>
      <c r="B238" s="553"/>
      <c r="C238" s="559"/>
      <c r="D238" s="554"/>
      <c r="E238" s="554"/>
      <c r="F238" s="554"/>
      <c r="G238" s="554"/>
      <c r="H238" s="554"/>
      <c r="I238" s="554"/>
      <c r="J238" s="554"/>
      <c r="K238" s="554"/>
      <c r="L238" s="554"/>
      <c r="M238" s="554"/>
      <c r="N238" s="554"/>
      <c r="O238" s="554"/>
      <c r="P238" s="554"/>
    </row>
    <row r="239" spans="1:16" s="556" customFormat="1" ht="15">
      <c r="A239" s="553"/>
      <c r="B239" s="553"/>
      <c r="C239" s="559"/>
      <c r="D239" s="554"/>
      <c r="E239" s="554"/>
      <c r="F239" s="554"/>
      <c r="G239" s="554"/>
      <c r="H239" s="554"/>
      <c r="I239" s="554"/>
      <c r="J239" s="554"/>
      <c r="K239" s="554"/>
      <c r="L239" s="554"/>
      <c r="M239" s="554"/>
      <c r="N239" s="554"/>
      <c r="O239" s="554"/>
      <c r="P239" s="554"/>
    </row>
    <row r="240" spans="1:16" s="556" customFormat="1" ht="15">
      <c r="A240" s="553"/>
      <c r="B240" s="553"/>
      <c r="C240" s="559"/>
      <c r="D240" s="554"/>
      <c r="E240" s="554"/>
      <c r="F240" s="554"/>
      <c r="G240" s="554"/>
      <c r="H240" s="554"/>
      <c r="I240" s="554"/>
      <c r="J240" s="554"/>
      <c r="K240" s="554"/>
      <c r="L240" s="554"/>
      <c r="M240" s="554"/>
      <c r="N240" s="554"/>
      <c r="O240" s="554"/>
      <c r="P240" s="554"/>
    </row>
    <row r="241" spans="1:16" s="556" customFormat="1" ht="15">
      <c r="A241" s="553"/>
      <c r="B241" s="553"/>
      <c r="C241" s="559"/>
      <c r="D241" s="554"/>
      <c r="E241" s="554"/>
      <c r="F241" s="554"/>
      <c r="G241" s="554"/>
      <c r="H241" s="554"/>
      <c r="I241" s="554"/>
      <c r="J241" s="554"/>
      <c r="K241" s="554"/>
      <c r="L241" s="554"/>
      <c r="M241" s="554"/>
      <c r="N241" s="554"/>
      <c r="O241" s="554"/>
      <c r="P241" s="554"/>
    </row>
    <row r="242" spans="1:16" s="556" customFormat="1" ht="15">
      <c r="A242" s="553"/>
      <c r="B242" s="553"/>
      <c r="C242" s="559"/>
      <c r="D242" s="554"/>
      <c r="E242" s="554"/>
      <c r="F242" s="554"/>
      <c r="G242" s="554"/>
      <c r="H242" s="554"/>
      <c r="I242" s="554"/>
      <c r="J242" s="554"/>
      <c r="K242" s="554"/>
      <c r="L242" s="554"/>
      <c r="M242" s="554"/>
      <c r="N242" s="554"/>
      <c r="O242" s="554"/>
      <c r="P242" s="554"/>
    </row>
    <row r="243" spans="1:16" s="556" customFormat="1" ht="15">
      <c r="A243" s="553"/>
      <c r="B243" s="553"/>
      <c r="C243" s="559"/>
      <c r="D243" s="554"/>
      <c r="E243" s="554"/>
      <c r="F243" s="554"/>
      <c r="G243" s="554"/>
      <c r="H243" s="554"/>
      <c r="I243" s="554"/>
      <c r="J243" s="554"/>
      <c r="K243" s="554"/>
      <c r="L243" s="554"/>
      <c r="M243" s="554"/>
      <c r="N243" s="554"/>
      <c r="O243" s="554"/>
      <c r="P243" s="554"/>
    </row>
    <row r="244" spans="1:16" s="556" customFormat="1" ht="15">
      <c r="A244" s="553"/>
      <c r="B244" s="553"/>
      <c r="C244" s="559"/>
      <c r="D244" s="554"/>
      <c r="E244" s="554"/>
      <c r="F244" s="554"/>
      <c r="G244" s="554"/>
      <c r="H244" s="554"/>
      <c r="I244" s="554"/>
      <c r="J244" s="554"/>
      <c r="K244" s="554"/>
      <c r="L244" s="554"/>
      <c r="M244" s="554"/>
      <c r="N244" s="554"/>
      <c r="O244" s="554"/>
      <c r="P244" s="554"/>
    </row>
    <row r="245" spans="1:16" s="556" customFormat="1" ht="15">
      <c r="A245" s="553"/>
      <c r="B245" s="553"/>
      <c r="C245" s="559"/>
      <c r="D245" s="554"/>
      <c r="E245" s="554"/>
      <c r="F245" s="554"/>
      <c r="G245" s="554"/>
      <c r="H245" s="554"/>
      <c r="I245" s="554"/>
      <c r="J245" s="554"/>
      <c r="K245" s="554"/>
      <c r="L245" s="554"/>
      <c r="M245" s="554"/>
      <c r="N245" s="554"/>
      <c r="O245" s="554"/>
      <c r="P245" s="554"/>
    </row>
    <row r="246" spans="1:16" s="556" customFormat="1" ht="15">
      <c r="A246" s="553"/>
      <c r="B246" s="553"/>
      <c r="C246" s="559"/>
      <c r="D246" s="554"/>
      <c r="E246" s="554"/>
      <c r="F246" s="554"/>
      <c r="G246" s="554"/>
      <c r="H246" s="554"/>
      <c r="I246" s="554"/>
      <c r="J246" s="554"/>
      <c r="K246" s="554"/>
      <c r="L246" s="554"/>
      <c r="M246" s="554"/>
      <c r="N246" s="554"/>
      <c r="O246" s="554"/>
      <c r="P246" s="554"/>
    </row>
    <row r="247" spans="1:16" s="556" customFormat="1" ht="15">
      <c r="A247" s="553"/>
      <c r="B247" s="553"/>
      <c r="C247" s="559"/>
      <c r="D247" s="554"/>
      <c r="E247" s="554"/>
      <c r="F247" s="554"/>
      <c r="G247" s="554"/>
      <c r="H247" s="554"/>
      <c r="I247" s="554"/>
      <c r="J247" s="554"/>
      <c r="K247" s="554"/>
      <c r="L247" s="554"/>
      <c r="M247" s="554"/>
      <c r="N247" s="554"/>
      <c r="O247" s="554"/>
      <c r="P247" s="554"/>
    </row>
    <row r="248" spans="1:16" s="556" customFormat="1" ht="15">
      <c r="A248" s="553"/>
      <c r="B248" s="553"/>
      <c r="C248" s="559"/>
      <c r="D248" s="554"/>
      <c r="E248" s="554"/>
      <c r="F248" s="554"/>
      <c r="G248" s="554"/>
      <c r="H248" s="554"/>
      <c r="I248" s="554"/>
      <c r="J248" s="554"/>
      <c r="K248" s="554"/>
      <c r="L248" s="554"/>
      <c r="M248" s="554"/>
      <c r="N248" s="554"/>
      <c r="O248" s="554"/>
      <c r="P248" s="554"/>
    </row>
    <row r="249" spans="1:16" s="556" customFormat="1" ht="15">
      <c r="A249" s="553"/>
      <c r="B249" s="553"/>
      <c r="C249" s="559"/>
      <c r="D249" s="554"/>
      <c r="E249" s="554"/>
      <c r="F249" s="554"/>
      <c r="G249" s="554"/>
      <c r="H249" s="554"/>
      <c r="I249" s="554"/>
      <c r="J249" s="554"/>
      <c r="K249" s="554"/>
      <c r="L249" s="554"/>
      <c r="M249" s="554"/>
      <c r="N249" s="554"/>
      <c r="O249" s="554"/>
      <c r="P249" s="554"/>
    </row>
    <row r="250" spans="1:16" s="556" customFormat="1" ht="15">
      <c r="A250" s="553"/>
      <c r="B250" s="553"/>
      <c r="C250" s="559"/>
      <c r="D250" s="554"/>
      <c r="E250" s="554"/>
      <c r="F250" s="554"/>
      <c r="G250" s="554"/>
      <c r="H250" s="554"/>
      <c r="I250" s="554"/>
      <c r="J250" s="554"/>
      <c r="K250" s="554"/>
      <c r="L250" s="554"/>
      <c r="M250" s="554"/>
      <c r="N250" s="554"/>
      <c r="O250" s="554"/>
      <c r="P250" s="554"/>
    </row>
    <row r="251" spans="1:16" s="556" customFormat="1" ht="15">
      <c r="A251" s="553"/>
      <c r="B251" s="553"/>
      <c r="C251" s="559"/>
      <c r="D251" s="554"/>
      <c r="E251" s="554"/>
      <c r="F251" s="554"/>
      <c r="G251" s="554"/>
      <c r="H251" s="554"/>
      <c r="I251" s="554"/>
      <c r="J251" s="554"/>
      <c r="K251" s="554"/>
      <c r="L251" s="554"/>
      <c r="M251" s="554"/>
      <c r="N251" s="554"/>
      <c r="O251" s="554"/>
      <c r="P251" s="554"/>
    </row>
    <row r="252" spans="1:16" s="556" customFormat="1" ht="15">
      <c r="A252" s="553"/>
      <c r="B252" s="553"/>
      <c r="C252" s="559"/>
      <c r="D252" s="554"/>
      <c r="E252" s="554"/>
      <c r="F252" s="554"/>
      <c r="G252" s="554"/>
      <c r="H252" s="554"/>
      <c r="I252" s="554"/>
      <c r="J252" s="554"/>
      <c r="K252" s="554"/>
      <c r="L252" s="554"/>
      <c r="M252" s="554"/>
      <c r="N252" s="554"/>
      <c r="O252" s="554"/>
      <c r="P252" s="554"/>
    </row>
    <row r="253" spans="1:16" s="556" customFormat="1" ht="15">
      <c r="A253" s="553"/>
      <c r="B253" s="553"/>
      <c r="C253" s="559"/>
      <c r="D253" s="554"/>
      <c r="E253" s="554"/>
      <c r="F253" s="554"/>
      <c r="G253" s="554"/>
      <c r="H253" s="554"/>
      <c r="I253" s="554"/>
      <c r="J253" s="554"/>
      <c r="K253" s="554"/>
      <c r="L253" s="554"/>
      <c r="M253" s="554"/>
      <c r="N253" s="554"/>
      <c r="O253" s="554"/>
      <c r="P253" s="554"/>
    </row>
    <row r="254" spans="1:16" s="556" customFormat="1" ht="15">
      <c r="A254" s="553"/>
      <c r="B254" s="553"/>
      <c r="C254" s="559"/>
      <c r="D254" s="554"/>
      <c r="E254" s="554"/>
      <c r="F254" s="554"/>
      <c r="G254" s="554"/>
      <c r="H254" s="554"/>
      <c r="I254" s="554"/>
      <c r="J254" s="554"/>
      <c r="K254" s="554"/>
      <c r="L254" s="554"/>
      <c r="M254" s="554"/>
      <c r="N254" s="554"/>
      <c r="O254" s="554"/>
      <c r="P254" s="554"/>
    </row>
    <row r="255" spans="1:16" s="556" customFormat="1" ht="15">
      <c r="A255" s="553"/>
      <c r="B255" s="553"/>
      <c r="C255" s="559"/>
      <c r="D255" s="554"/>
      <c r="E255" s="554"/>
      <c r="F255" s="554"/>
      <c r="G255" s="554"/>
      <c r="H255" s="554"/>
      <c r="I255" s="554"/>
      <c r="J255" s="554"/>
      <c r="K255" s="554"/>
      <c r="L255" s="554"/>
      <c r="M255" s="554"/>
      <c r="N255" s="554"/>
      <c r="O255" s="554"/>
      <c r="P255" s="554"/>
    </row>
    <row r="256" spans="1:16" s="556" customFormat="1" ht="15">
      <c r="A256" s="553"/>
      <c r="B256" s="553"/>
      <c r="C256" s="559"/>
      <c r="D256" s="554"/>
      <c r="E256" s="554"/>
      <c r="F256" s="554"/>
      <c r="G256" s="554"/>
      <c r="H256" s="554"/>
      <c r="I256" s="554"/>
      <c r="J256" s="554"/>
      <c r="K256" s="554"/>
      <c r="L256" s="554"/>
      <c r="M256" s="554"/>
      <c r="N256" s="554"/>
      <c r="O256" s="554"/>
      <c r="P256" s="554"/>
    </row>
    <row r="257" spans="1:16" s="556" customFormat="1" ht="15">
      <c r="A257" s="553"/>
      <c r="B257" s="553"/>
      <c r="C257" s="559"/>
      <c r="D257" s="554"/>
      <c r="E257" s="554"/>
      <c r="F257" s="554"/>
      <c r="G257" s="554"/>
      <c r="H257" s="554"/>
      <c r="I257" s="554"/>
      <c r="J257" s="554"/>
      <c r="K257" s="554"/>
      <c r="L257" s="554"/>
      <c r="M257" s="554"/>
      <c r="N257" s="554"/>
      <c r="O257" s="554"/>
      <c r="P257" s="554"/>
    </row>
    <row r="258" spans="1:16" s="556" customFormat="1" ht="15">
      <c r="A258" s="553"/>
      <c r="B258" s="553"/>
      <c r="C258" s="559"/>
      <c r="D258" s="554"/>
      <c r="E258" s="554"/>
      <c r="F258" s="554"/>
      <c r="G258" s="554"/>
      <c r="H258" s="554"/>
      <c r="I258" s="554"/>
      <c r="J258" s="554"/>
      <c r="K258" s="554"/>
      <c r="L258" s="554"/>
      <c r="M258" s="554"/>
      <c r="N258" s="554"/>
      <c r="O258" s="554"/>
      <c r="P258" s="554"/>
    </row>
    <row r="259" spans="1:16" s="556" customFormat="1" ht="15">
      <c r="A259" s="553"/>
      <c r="B259" s="553"/>
      <c r="C259" s="559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  <c r="N259" s="554"/>
      <c r="O259" s="554"/>
      <c r="P259" s="554"/>
    </row>
    <row r="260" spans="1:16" s="556" customFormat="1" ht="15">
      <c r="A260" s="553"/>
      <c r="B260" s="553"/>
      <c r="C260" s="559"/>
      <c r="D260" s="554"/>
      <c r="E260" s="554"/>
      <c r="F260" s="554"/>
      <c r="G260" s="554"/>
      <c r="H260" s="554"/>
      <c r="I260" s="554"/>
      <c r="J260" s="554"/>
      <c r="K260" s="554"/>
      <c r="L260" s="554"/>
      <c r="M260" s="554"/>
      <c r="N260" s="554"/>
      <c r="O260" s="554"/>
      <c r="P260" s="554"/>
    </row>
    <row r="261" spans="1:16" s="556" customFormat="1" ht="15">
      <c r="A261" s="553"/>
      <c r="B261" s="553"/>
      <c r="C261" s="559"/>
      <c r="D261" s="554"/>
      <c r="E261" s="554"/>
      <c r="F261" s="554"/>
      <c r="G261" s="554"/>
      <c r="H261" s="554"/>
      <c r="I261" s="554"/>
      <c r="J261" s="554"/>
      <c r="K261" s="554"/>
      <c r="L261" s="554"/>
      <c r="M261" s="554"/>
      <c r="N261" s="554"/>
      <c r="O261" s="554"/>
      <c r="P261" s="554"/>
    </row>
    <row r="262" spans="1:16" s="556" customFormat="1" ht="15">
      <c r="A262" s="553"/>
      <c r="B262" s="553"/>
      <c r="C262" s="559"/>
      <c r="D262" s="554"/>
      <c r="E262" s="554"/>
      <c r="F262" s="554"/>
      <c r="G262" s="554"/>
      <c r="H262" s="554"/>
      <c r="I262" s="554"/>
      <c r="J262" s="554"/>
      <c r="K262" s="554"/>
      <c r="L262" s="554"/>
      <c r="M262" s="554"/>
      <c r="N262" s="554"/>
      <c r="O262" s="554"/>
      <c r="P262" s="554"/>
    </row>
    <row r="263" spans="1:16" s="556" customFormat="1" ht="15">
      <c r="A263" s="553"/>
      <c r="B263" s="553"/>
      <c r="C263" s="559"/>
      <c r="D263" s="554"/>
      <c r="E263" s="554"/>
      <c r="F263" s="554"/>
      <c r="G263" s="554"/>
      <c r="H263" s="554"/>
      <c r="I263" s="554"/>
      <c r="J263" s="554"/>
      <c r="K263" s="554"/>
      <c r="L263" s="554"/>
      <c r="M263" s="554"/>
      <c r="N263" s="554"/>
      <c r="O263" s="554"/>
      <c r="P263" s="554"/>
    </row>
    <row r="264" spans="1:16" s="556" customFormat="1" ht="15">
      <c r="A264" s="553"/>
      <c r="B264" s="553"/>
      <c r="C264" s="559"/>
      <c r="D264" s="554"/>
      <c r="E264" s="554"/>
      <c r="F264" s="554"/>
      <c r="G264" s="554"/>
      <c r="H264" s="554"/>
      <c r="I264" s="554"/>
      <c r="J264" s="554"/>
      <c r="K264" s="554"/>
      <c r="L264" s="554"/>
      <c r="M264" s="554"/>
      <c r="N264" s="554"/>
      <c r="O264" s="554"/>
      <c r="P264" s="554"/>
    </row>
    <row r="265" spans="1:16" s="556" customFormat="1" ht="15">
      <c r="A265" s="553"/>
      <c r="B265" s="553"/>
      <c r="C265" s="559"/>
      <c r="D265" s="554"/>
      <c r="E265" s="554"/>
      <c r="F265" s="554"/>
      <c r="G265" s="554"/>
      <c r="H265" s="554"/>
      <c r="I265" s="554"/>
      <c r="J265" s="554"/>
      <c r="K265" s="554"/>
      <c r="L265" s="554"/>
      <c r="M265" s="554"/>
      <c r="N265" s="554"/>
      <c r="O265" s="554"/>
      <c r="P265" s="554"/>
    </row>
    <row r="266" spans="1:16" s="556" customFormat="1" ht="15">
      <c r="A266" s="553"/>
      <c r="B266" s="553"/>
      <c r="C266" s="559"/>
      <c r="D266" s="554"/>
      <c r="E266" s="554"/>
      <c r="F266" s="554"/>
      <c r="G266" s="554"/>
      <c r="H266" s="554"/>
      <c r="I266" s="554"/>
      <c r="J266" s="554"/>
      <c r="K266" s="554"/>
      <c r="L266" s="554"/>
      <c r="M266" s="554"/>
      <c r="N266" s="554"/>
      <c r="O266" s="554"/>
      <c r="P266" s="554"/>
    </row>
    <row r="267" spans="1:16" s="556" customFormat="1" ht="15">
      <c r="A267" s="553"/>
      <c r="B267" s="553"/>
      <c r="C267" s="559"/>
      <c r="D267" s="554"/>
      <c r="E267" s="554"/>
      <c r="F267" s="554"/>
      <c r="G267" s="554"/>
      <c r="H267" s="554"/>
      <c r="I267" s="554"/>
      <c r="J267" s="554"/>
      <c r="K267" s="554"/>
      <c r="L267" s="554"/>
      <c r="M267" s="554"/>
      <c r="N267" s="554"/>
      <c r="O267" s="554"/>
      <c r="P267" s="554"/>
    </row>
    <row r="268" spans="1:16" s="556" customFormat="1" ht="15">
      <c r="A268" s="553"/>
      <c r="B268" s="553"/>
      <c r="C268" s="559"/>
      <c r="D268" s="554"/>
      <c r="E268" s="554"/>
      <c r="F268" s="554"/>
      <c r="G268" s="554"/>
      <c r="H268" s="554"/>
      <c r="I268" s="554"/>
      <c r="J268" s="554"/>
      <c r="K268" s="554"/>
      <c r="L268" s="554"/>
      <c r="M268" s="554"/>
      <c r="N268" s="554"/>
      <c r="O268" s="554"/>
      <c r="P268" s="554"/>
    </row>
    <row r="269" spans="1:16" s="556" customFormat="1" ht="15">
      <c r="A269" s="553"/>
      <c r="B269" s="553"/>
      <c r="C269" s="559"/>
      <c r="D269" s="554"/>
      <c r="E269" s="554"/>
      <c r="F269" s="554"/>
      <c r="G269" s="554"/>
      <c r="H269" s="554"/>
      <c r="I269" s="554"/>
      <c r="J269" s="554"/>
      <c r="K269" s="554"/>
      <c r="L269" s="554"/>
      <c r="M269" s="554"/>
      <c r="N269" s="554"/>
      <c r="O269" s="554"/>
      <c r="P269" s="554"/>
    </row>
    <row r="270" spans="1:16" s="556" customFormat="1" ht="15">
      <c r="A270" s="553"/>
      <c r="B270" s="553"/>
      <c r="C270" s="559"/>
      <c r="D270" s="554"/>
      <c r="E270" s="554"/>
      <c r="F270" s="554"/>
      <c r="G270" s="554"/>
      <c r="H270" s="554"/>
      <c r="I270" s="554"/>
      <c r="J270" s="554"/>
      <c r="K270" s="554"/>
      <c r="L270" s="554"/>
      <c r="M270" s="554"/>
      <c r="N270" s="554"/>
      <c r="O270" s="554"/>
      <c r="P270" s="554"/>
    </row>
    <row r="271" spans="1:16" s="556" customFormat="1" ht="15">
      <c r="A271" s="553"/>
      <c r="B271" s="553"/>
      <c r="C271" s="559"/>
      <c r="D271" s="554"/>
      <c r="E271" s="554"/>
      <c r="F271" s="554"/>
      <c r="G271" s="554"/>
      <c r="H271" s="554"/>
      <c r="I271" s="554"/>
      <c r="J271" s="554"/>
      <c r="K271" s="554"/>
      <c r="L271" s="554"/>
      <c r="M271" s="554"/>
      <c r="N271" s="554"/>
      <c r="O271" s="554"/>
      <c r="P271" s="554"/>
    </row>
    <row r="272" spans="1:16" s="556" customFormat="1" ht="15">
      <c r="A272" s="553"/>
      <c r="B272" s="553"/>
      <c r="C272" s="559"/>
      <c r="D272" s="554"/>
      <c r="E272" s="554"/>
      <c r="F272" s="554"/>
      <c r="G272" s="554"/>
      <c r="H272" s="554"/>
      <c r="I272" s="554"/>
      <c r="J272" s="554"/>
      <c r="K272" s="554"/>
      <c r="L272" s="554"/>
      <c r="M272" s="554"/>
      <c r="N272" s="554"/>
      <c r="O272" s="554"/>
      <c r="P272" s="554"/>
    </row>
    <row r="273" spans="1:16" s="556" customFormat="1" ht="15">
      <c r="A273" s="553"/>
      <c r="B273" s="553"/>
      <c r="C273" s="559"/>
      <c r="D273" s="554"/>
      <c r="E273" s="554"/>
      <c r="F273" s="554"/>
      <c r="G273" s="554"/>
      <c r="H273" s="554"/>
      <c r="I273" s="554"/>
      <c r="J273" s="554"/>
      <c r="K273" s="554"/>
      <c r="L273" s="554"/>
      <c r="M273" s="554"/>
      <c r="N273" s="554"/>
      <c r="O273" s="554"/>
      <c r="P273" s="554"/>
    </row>
    <row r="274" spans="1:16" s="556" customFormat="1" ht="15">
      <c r="A274" s="553"/>
      <c r="B274" s="553"/>
      <c r="C274" s="559"/>
      <c r="D274" s="554"/>
      <c r="E274" s="554"/>
      <c r="F274" s="554"/>
      <c r="G274" s="554"/>
      <c r="H274" s="554"/>
      <c r="I274" s="554"/>
      <c r="J274" s="554"/>
      <c r="K274" s="554"/>
      <c r="L274" s="554"/>
      <c r="M274" s="554"/>
      <c r="N274" s="554"/>
      <c r="O274" s="554"/>
      <c r="P274" s="554"/>
    </row>
    <row r="275" spans="1:16" s="556" customFormat="1" ht="15">
      <c r="A275" s="553"/>
      <c r="B275" s="553"/>
      <c r="C275" s="559"/>
      <c r="D275" s="554"/>
      <c r="E275" s="554"/>
      <c r="F275" s="554"/>
      <c r="G275" s="554"/>
      <c r="H275" s="554"/>
      <c r="I275" s="554"/>
      <c r="J275" s="554"/>
      <c r="K275" s="554"/>
      <c r="L275" s="554"/>
      <c r="M275" s="554"/>
      <c r="N275" s="554"/>
      <c r="O275" s="554"/>
      <c r="P275" s="554"/>
    </row>
    <row r="276" spans="1:16" s="556" customFormat="1" ht="15">
      <c r="A276" s="553"/>
      <c r="B276" s="553"/>
      <c r="C276" s="559"/>
      <c r="D276" s="554"/>
      <c r="E276" s="554"/>
      <c r="F276" s="554"/>
      <c r="G276" s="554"/>
      <c r="H276" s="554"/>
      <c r="I276" s="554"/>
      <c r="J276" s="554"/>
      <c r="K276" s="554"/>
      <c r="L276" s="554"/>
      <c r="M276" s="554"/>
      <c r="N276" s="554"/>
      <c r="O276" s="554"/>
      <c r="P276" s="554"/>
    </row>
    <row r="277" spans="1:16" s="556" customFormat="1" ht="15">
      <c r="A277" s="553"/>
      <c r="B277" s="553"/>
      <c r="C277" s="559"/>
      <c r="D277" s="554"/>
      <c r="E277" s="554"/>
      <c r="F277" s="554"/>
      <c r="G277" s="554"/>
      <c r="H277" s="554"/>
      <c r="I277" s="554"/>
      <c r="J277" s="554"/>
      <c r="K277" s="554"/>
      <c r="L277" s="554"/>
      <c r="M277" s="554"/>
      <c r="N277" s="554"/>
      <c r="O277" s="554"/>
      <c r="P277" s="554"/>
    </row>
    <row r="278" spans="1:16" s="556" customFormat="1" ht="15">
      <c r="A278" s="553"/>
      <c r="B278" s="553"/>
      <c r="C278" s="559"/>
      <c r="D278" s="554"/>
      <c r="E278" s="554"/>
      <c r="F278" s="554"/>
      <c r="G278" s="554"/>
      <c r="H278" s="554"/>
      <c r="I278" s="554"/>
      <c r="J278" s="554"/>
      <c r="K278" s="554"/>
      <c r="L278" s="554"/>
      <c r="M278" s="554"/>
      <c r="N278" s="554"/>
      <c r="O278" s="554"/>
      <c r="P278" s="554"/>
    </row>
    <row r="279" spans="1:16" s="556" customFormat="1" ht="15">
      <c r="A279" s="553"/>
      <c r="B279" s="553"/>
      <c r="C279" s="559"/>
      <c r="D279" s="554"/>
      <c r="E279" s="554"/>
      <c r="F279" s="554"/>
      <c r="G279" s="554"/>
      <c r="H279" s="554"/>
      <c r="I279" s="554"/>
      <c r="J279" s="554"/>
      <c r="K279" s="554"/>
      <c r="L279" s="554"/>
      <c r="M279" s="554"/>
      <c r="N279" s="554"/>
      <c r="O279" s="554"/>
      <c r="P279" s="554"/>
    </row>
    <row r="280" spans="1:16" s="556" customFormat="1" ht="15">
      <c r="A280" s="553"/>
      <c r="B280" s="553"/>
      <c r="C280" s="559"/>
      <c r="D280" s="554"/>
      <c r="E280" s="554"/>
      <c r="F280" s="554"/>
      <c r="G280" s="554"/>
      <c r="H280" s="554"/>
      <c r="I280" s="554"/>
      <c r="J280" s="554"/>
      <c r="K280" s="554"/>
      <c r="L280" s="554"/>
      <c r="M280" s="554"/>
      <c r="N280" s="554"/>
      <c r="O280" s="554"/>
      <c r="P280" s="554"/>
    </row>
    <row r="281" spans="1:16" s="556" customFormat="1" ht="15">
      <c r="A281" s="553"/>
      <c r="B281" s="553"/>
      <c r="C281" s="559"/>
      <c r="D281" s="554"/>
      <c r="E281" s="554"/>
      <c r="F281" s="554"/>
      <c r="G281" s="554"/>
      <c r="H281" s="554"/>
      <c r="I281" s="554"/>
      <c r="J281" s="554"/>
      <c r="K281" s="554"/>
      <c r="L281" s="554"/>
      <c r="M281" s="554"/>
      <c r="N281" s="554"/>
      <c r="O281" s="554"/>
      <c r="P281" s="554"/>
    </row>
    <row r="282" spans="1:16" s="556" customFormat="1" ht="15">
      <c r="A282" s="553"/>
      <c r="B282" s="553"/>
      <c r="C282" s="559"/>
      <c r="D282" s="554"/>
      <c r="E282" s="554"/>
      <c r="F282" s="554"/>
      <c r="G282" s="554"/>
      <c r="H282" s="554"/>
      <c r="I282" s="554"/>
      <c r="J282" s="554"/>
      <c r="K282" s="554"/>
      <c r="L282" s="554"/>
      <c r="M282" s="554"/>
      <c r="N282" s="554"/>
      <c r="O282" s="554"/>
      <c r="P282" s="554"/>
    </row>
    <row r="283" spans="1:16" s="556" customFormat="1" ht="15">
      <c r="A283" s="553"/>
      <c r="B283" s="553"/>
      <c r="C283" s="559"/>
      <c r="D283" s="554"/>
      <c r="E283" s="554"/>
      <c r="F283" s="554"/>
      <c r="G283" s="554"/>
      <c r="H283" s="554"/>
      <c r="I283" s="554"/>
      <c r="J283" s="554"/>
      <c r="K283" s="554"/>
      <c r="L283" s="554"/>
      <c r="M283" s="554"/>
      <c r="N283" s="554"/>
      <c r="O283" s="554"/>
      <c r="P283" s="554"/>
    </row>
    <row r="284" spans="1:16" s="556" customFormat="1" ht="15">
      <c r="A284" s="553"/>
      <c r="B284" s="553"/>
      <c r="C284" s="559"/>
      <c r="D284" s="554"/>
      <c r="E284" s="554"/>
      <c r="F284" s="554"/>
      <c r="G284" s="554"/>
      <c r="H284" s="554"/>
      <c r="I284" s="554"/>
      <c r="J284" s="554"/>
      <c r="K284" s="554"/>
      <c r="L284" s="554"/>
      <c r="M284" s="554"/>
      <c r="N284" s="554"/>
      <c r="O284" s="554"/>
      <c r="P284" s="554"/>
    </row>
    <row r="285" spans="1:16" s="556" customFormat="1" ht="15">
      <c r="A285" s="553"/>
      <c r="B285" s="553"/>
      <c r="C285" s="559"/>
      <c r="D285" s="554"/>
      <c r="E285" s="554"/>
      <c r="F285" s="554"/>
      <c r="G285" s="554"/>
      <c r="H285" s="554"/>
      <c r="I285" s="554"/>
      <c r="J285" s="554"/>
      <c r="K285" s="554"/>
      <c r="L285" s="554"/>
      <c r="M285" s="554"/>
      <c r="N285" s="554"/>
      <c r="O285" s="554"/>
      <c r="P285" s="554"/>
    </row>
    <row r="286" spans="1:16" s="556" customFormat="1" ht="15">
      <c r="A286" s="553"/>
      <c r="B286" s="553"/>
      <c r="C286" s="559"/>
      <c r="D286" s="554"/>
      <c r="E286" s="554"/>
      <c r="F286" s="554"/>
      <c r="G286" s="554"/>
      <c r="H286" s="554"/>
      <c r="I286" s="554"/>
      <c r="J286" s="554"/>
      <c r="K286" s="554"/>
      <c r="L286" s="554"/>
      <c r="M286" s="554"/>
      <c r="N286" s="554"/>
      <c r="O286" s="554"/>
      <c r="P286" s="554"/>
    </row>
    <row r="287" spans="1:16" s="556" customFormat="1" ht="15">
      <c r="A287" s="553"/>
      <c r="B287" s="553"/>
      <c r="C287" s="559"/>
      <c r="D287" s="554"/>
      <c r="E287" s="554"/>
      <c r="F287" s="554"/>
      <c r="G287" s="554"/>
      <c r="H287" s="554"/>
      <c r="I287" s="554"/>
      <c r="J287" s="554"/>
      <c r="K287" s="554"/>
      <c r="L287" s="554"/>
      <c r="M287" s="554"/>
      <c r="N287" s="554"/>
      <c r="O287" s="554"/>
      <c r="P287" s="554"/>
    </row>
    <row r="288" spans="1:16" s="556" customFormat="1" ht="15">
      <c r="A288" s="553"/>
      <c r="B288" s="553"/>
      <c r="C288" s="559"/>
      <c r="D288" s="554"/>
      <c r="E288" s="554"/>
      <c r="F288" s="554"/>
      <c r="G288" s="554"/>
      <c r="H288" s="554"/>
      <c r="I288" s="554"/>
      <c r="J288" s="554"/>
      <c r="K288" s="554"/>
      <c r="L288" s="554"/>
      <c r="M288" s="554"/>
      <c r="N288" s="554"/>
      <c r="O288" s="554"/>
      <c r="P288" s="554"/>
    </row>
    <row r="289" spans="1:16" s="556" customFormat="1" ht="15">
      <c r="A289" s="553"/>
      <c r="B289" s="553"/>
      <c r="C289" s="559"/>
      <c r="D289" s="554"/>
      <c r="E289" s="554"/>
      <c r="F289" s="554"/>
      <c r="G289" s="554"/>
      <c r="H289" s="554"/>
      <c r="I289" s="554"/>
      <c r="J289" s="554"/>
      <c r="K289" s="554"/>
      <c r="L289" s="554"/>
      <c r="M289" s="554"/>
      <c r="N289" s="554"/>
      <c r="O289" s="554"/>
      <c r="P289" s="554"/>
    </row>
    <row r="290" spans="1:16" s="556" customFormat="1" ht="15">
      <c r="A290" s="553"/>
      <c r="B290" s="553"/>
      <c r="C290" s="559"/>
      <c r="D290" s="554"/>
      <c r="E290" s="554"/>
      <c r="F290" s="554"/>
      <c r="G290" s="554"/>
      <c r="H290" s="554"/>
      <c r="I290" s="554"/>
      <c r="J290" s="554"/>
      <c r="K290" s="554"/>
      <c r="L290" s="554"/>
      <c r="M290" s="554"/>
      <c r="N290" s="554"/>
      <c r="O290" s="554"/>
      <c r="P290" s="554"/>
    </row>
    <row r="291" spans="1:16" s="556" customFormat="1" ht="15">
      <c r="A291" s="553"/>
      <c r="B291" s="553"/>
      <c r="C291" s="559"/>
      <c r="D291" s="554"/>
      <c r="E291" s="554"/>
      <c r="F291" s="554"/>
      <c r="G291" s="554"/>
      <c r="H291" s="554"/>
      <c r="I291" s="554"/>
      <c r="J291" s="554"/>
      <c r="K291" s="554"/>
      <c r="L291" s="554"/>
      <c r="M291" s="554"/>
      <c r="N291" s="554"/>
      <c r="O291" s="554"/>
      <c r="P291" s="554"/>
    </row>
    <row r="292" spans="1:16" s="556" customFormat="1" ht="15">
      <c r="A292" s="553"/>
      <c r="B292" s="553"/>
      <c r="C292" s="559"/>
      <c r="D292" s="554"/>
      <c r="E292" s="554"/>
      <c r="F292" s="554"/>
      <c r="G292" s="554"/>
      <c r="H292" s="554"/>
      <c r="I292" s="554"/>
      <c r="J292" s="554"/>
      <c r="K292" s="554"/>
      <c r="L292" s="554"/>
      <c r="M292" s="554"/>
      <c r="N292" s="554"/>
      <c r="O292" s="554"/>
      <c r="P292" s="554"/>
    </row>
    <row r="293" spans="1:16" s="556" customFormat="1" ht="15">
      <c r="A293" s="553"/>
      <c r="B293" s="553"/>
      <c r="C293" s="559"/>
      <c r="D293" s="554"/>
      <c r="E293" s="554"/>
      <c r="F293" s="554"/>
      <c r="G293" s="554"/>
      <c r="H293" s="554"/>
      <c r="I293" s="554"/>
      <c r="J293" s="554"/>
      <c r="K293" s="554"/>
      <c r="L293" s="554"/>
      <c r="M293" s="554"/>
      <c r="N293" s="554"/>
      <c r="O293" s="554"/>
      <c r="P293" s="554"/>
    </row>
    <row r="294" spans="1:16" s="556" customFormat="1" ht="15">
      <c r="A294" s="553"/>
      <c r="B294" s="553"/>
      <c r="C294" s="559"/>
      <c r="D294" s="554"/>
      <c r="E294" s="554"/>
      <c r="F294" s="554"/>
      <c r="G294" s="554"/>
      <c r="H294" s="554"/>
      <c r="I294" s="554"/>
      <c r="J294" s="554"/>
      <c r="K294" s="554"/>
      <c r="L294" s="554"/>
      <c r="M294" s="554"/>
      <c r="N294" s="554"/>
      <c r="O294" s="554"/>
      <c r="P294" s="554"/>
    </row>
    <row r="295" spans="1:16" s="556" customFormat="1" ht="15">
      <c r="A295" s="553"/>
      <c r="B295" s="553"/>
      <c r="C295" s="559"/>
      <c r="D295" s="554"/>
      <c r="E295" s="554"/>
      <c r="F295" s="554"/>
      <c r="G295" s="554"/>
      <c r="H295" s="554"/>
      <c r="I295" s="554"/>
      <c r="J295" s="554"/>
      <c r="K295" s="554"/>
      <c r="L295" s="554"/>
      <c r="M295" s="554"/>
      <c r="N295" s="554"/>
      <c r="O295" s="554"/>
      <c r="P295" s="554"/>
    </row>
    <row r="296" spans="1:16" s="556" customFormat="1" ht="15">
      <c r="A296" s="553"/>
      <c r="B296" s="553"/>
      <c r="C296" s="559"/>
      <c r="D296" s="554"/>
      <c r="E296" s="554"/>
      <c r="F296" s="554"/>
      <c r="G296" s="554"/>
      <c r="H296" s="554"/>
      <c r="I296" s="554"/>
      <c r="J296" s="554"/>
      <c r="K296" s="554"/>
      <c r="L296" s="554"/>
      <c r="M296" s="554"/>
      <c r="N296" s="554"/>
      <c r="O296" s="554"/>
      <c r="P296" s="554"/>
    </row>
    <row r="297" spans="1:16" s="556" customFormat="1" ht="15">
      <c r="A297" s="553"/>
      <c r="B297" s="553"/>
      <c r="C297" s="559"/>
      <c r="D297" s="554"/>
      <c r="E297" s="554"/>
      <c r="F297" s="554"/>
      <c r="G297" s="554"/>
      <c r="H297" s="554"/>
      <c r="I297" s="554"/>
      <c r="J297" s="554"/>
      <c r="K297" s="554"/>
      <c r="L297" s="554"/>
      <c r="M297" s="554"/>
      <c r="N297" s="554"/>
      <c r="O297" s="554"/>
      <c r="P297" s="554"/>
    </row>
    <row r="298" spans="1:16" s="556" customFormat="1" ht="15">
      <c r="A298" s="553"/>
      <c r="B298" s="553"/>
      <c r="C298" s="559"/>
      <c r="D298" s="554"/>
      <c r="E298" s="554"/>
      <c r="F298" s="554"/>
      <c r="G298" s="554"/>
      <c r="H298" s="554"/>
      <c r="I298" s="554"/>
      <c r="J298" s="554"/>
      <c r="K298" s="554"/>
      <c r="L298" s="554"/>
      <c r="M298" s="554"/>
      <c r="N298" s="554"/>
      <c r="O298" s="554"/>
      <c r="P298" s="554"/>
    </row>
    <row r="299" spans="1:16" s="556" customFormat="1" ht="15">
      <c r="A299" s="553"/>
      <c r="B299" s="553"/>
      <c r="C299" s="559"/>
      <c r="D299" s="554"/>
      <c r="E299" s="554"/>
      <c r="F299" s="554"/>
      <c r="G299" s="554"/>
      <c r="H299" s="554"/>
      <c r="I299" s="554"/>
      <c r="J299" s="554"/>
      <c r="K299" s="554"/>
      <c r="L299" s="554"/>
      <c r="M299" s="554"/>
      <c r="N299" s="554"/>
      <c r="O299" s="554"/>
      <c r="P299" s="554"/>
    </row>
    <row r="300" spans="1:16" s="556" customFormat="1" ht="15">
      <c r="A300" s="553"/>
      <c r="B300" s="553"/>
      <c r="C300" s="559"/>
      <c r="D300" s="554"/>
      <c r="E300" s="554"/>
      <c r="F300" s="554"/>
      <c r="G300" s="554"/>
      <c r="H300" s="554"/>
      <c r="I300" s="554"/>
      <c r="J300" s="554"/>
      <c r="K300" s="554"/>
      <c r="L300" s="554"/>
      <c r="M300" s="554"/>
      <c r="N300" s="554"/>
      <c r="O300" s="554"/>
      <c r="P300" s="554"/>
    </row>
    <row r="301" spans="1:16" s="556" customFormat="1" ht="15">
      <c r="A301" s="553"/>
      <c r="B301" s="553"/>
      <c r="C301" s="559"/>
      <c r="D301" s="554"/>
      <c r="E301" s="554"/>
      <c r="F301" s="554"/>
      <c r="G301" s="554"/>
      <c r="H301" s="554"/>
      <c r="I301" s="554"/>
      <c r="J301" s="554"/>
      <c r="K301" s="554"/>
      <c r="L301" s="554"/>
      <c r="M301" s="554"/>
      <c r="N301" s="554"/>
      <c r="O301" s="554"/>
      <c r="P301" s="554"/>
    </row>
    <row r="302" spans="1:16" s="556" customFormat="1" ht="15">
      <c r="A302" s="553"/>
      <c r="B302" s="553"/>
      <c r="C302" s="559"/>
      <c r="D302" s="554"/>
      <c r="E302" s="554"/>
      <c r="F302" s="554"/>
      <c r="G302" s="554"/>
      <c r="H302" s="554"/>
      <c r="I302" s="554"/>
      <c r="J302" s="554"/>
      <c r="K302" s="554"/>
      <c r="L302" s="554"/>
      <c r="M302" s="554"/>
      <c r="N302" s="554"/>
      <c r="O302" s="554"/>
      <c r="P302" s="554"/>
    </row>
    <row r="303" spans="1:16" s="556" customFormat="1" ht="15">
      <c r="A303" s="553"/>
      <c r="B303" s="553"/>
      <c r="C303" s="559"/>
      <c r="D303" s="554"/>
      <c r="E303" s="554"/>
      <c r="F303" s="554"/>
      <c r="G303" s="554"/>
      <c r="H303" s="554"/>
      <c r="I303" s="554"/>
      <c r="J303" s="554"/>
      <c r="K303" s="554"/>
      <c r="L303" s="554"/>
      <c r="M303" s="554"/>
      <c r="N303" s="554"/>
      <c r="O303" s="554"/>
      <c r="P303" s="554"/>
    </row>
    <row r="304" spans="1:16" s="556" customFormat="1" ht="15">
      <c r="A304" s="553"/>
      <c r="B304" s="553"/>
      <c r="C304" s="559"/>
      <c r="D304" s="554"/>
      <c r="E304" s="554"/>
      <c r="F304" s="554"/>
      <c r="G304" s="554"/>
      <c r="H304" s="554"/>
      <c r="I304" s="554"/>
      <c r="J304" s="554"/>
      <c r="K304" s="554"/>
      <c r="L304" s="554"/>
      <c r="M304" s="554"/>
      <c r="N304" s="554"/>
      <c r="O304" s="554"/>
      <c r="P304" s="554"/>
    </row>
    <row r="305" spans="1:16" s="556" customFormat="1" ht="15">
      <c r="A305" s="553"/>
      <c r="B305" s="553"/>
      <c r="C305" s="559"/>
      <c r="D305" s="554"/>
      <c r="E305" s="554"/>
      <c r="F305" s="554"/>
      <c r="G305" s="554"/>
      <c r="H305" s="554"/>
      <c r="I305" s="554"/>
      <c r="J305" s="554"/>
      <c r="K305" s="554"/>
      <c r="L305" s="554"/>
      <c r="M305" s="554"/>
      <c r="N305" s="554"/>
      <c r="O305" s="554"/>
      <c r="P305" s="554"/>
    </row>
    <row r="306" spans="1:16" s="556" customFormat="1" ht="15">
      <c r="A306" s="553"/>
      <c r="B306" s="553"/>
      <c r="C306" s="559"/>
      <c r="D306" s="554"/>
      <c r="E306" s="554"/>
      <c r="F306" s="554"/>
      <c r="G306" s="554"/>
      <c r="H306" s="554"/>
      <c r="I306" s="554"/>
      <c r="J306" s="554"/>
      <c r="K306" s="554"/>
      <c r="L306" s="554"/>
      <c r="M306" s="554"/>
      <c r="N306" s="554"/>
      <c r="O306" s="554"/>
      <c r="P306" s="554"/>
    </row>
    <row r="307" spans="1:16" s="556" customFormat="1" ht="15">
      <c r="A307" s="553"/>
      <c r="B307" s="553"/>
      <c r="C307" s="559"/>
      <c r="D307" s="554"/>
      <c r="E307" s="554"/>
      <c r="F307" s="554"/>
      <c r="G307" s="554"/>
      <c r="H307" s="554"/>
      <c r="I307" s="554"/>
      <c r="J307" s="554"/>
      <c r="K307" s="554"/>
      <c r="L307" s="554"/>
      <c r="M307" s="554"/>
      <c r="N307" s="554"/>
      <c r="O307" s="554"/>
      <c r="P307" s="554"/>
    </row>
    <row r="308" spans="1:16" s="556" customFormat="1" ht="15">
      <c r="A308" s="553"/>
      <c r="B308" s="553"/>
      <c r="C308" s="559"/>
      <c r="D308" s="554"/>
      <c r="E308" s="554"/>
      <c r="F308" s="554"/>
      <c r="G308" s="554"/>
      <c r="H308" s="554"/>
      <c r="I308" s="554"/>
      <c r="J308" s="554"/>
      <c r="K308" s="554"/>
      <c r="L308" s="554"/>
      <c r="M308" s="554"/>
      <c r="N308" s="554"/>
      <c r="O308" s="554"/>
      <c r="P308" s="554"/>
    </row>
    <row r="309" spans="1:16" s="556" customFormat="1" ht="15">
      <c r="A309" s="553"/>
      <c r="B309" s="553"/>
      <c r="C309" s="559"/>
      <c r="D309" s="554"/>
      <c r="E309" s="554"/>
      <c r="F309" s="554"/>
      <c r="G309" s="554"/>
      <c r="H309" s="554"/>
      <c r="I309" s="554"/>
      <c r="J309" s="554"/>
      <c r="K309" s="554"/>
      <c r="L309" s="554"/>
      <c r="M309" s="554"/>
      <c r="N309" s="554"/>
      <c r="O309" s="554"/>
      <c r="P309" s="554"/>
    </row>
    <row r="310" spans="1:16" s="556" customFormat="1" ht="15">
      <c r="A310" s="553"/>
      <c r="B310" s="553"/>
      <c r="C310" s="559"/>
      <c r="D310" s="554"/>
      <c r="E310" s="554"/>
      <c r="F310" s="554"/>
      <c r="G310" s="554"/>
      <c r="H310" s="554"/>
      <c r="I310" s="554"/>
      <c r="J310" s="554"/>
      <c r="K310" s="554"/>
      <c r="L310" s="554"/>
      <c r="M310" s="554"/>
      <c r="N310" s="554"/>
      <c r="O310" s="554"/>
      <c r="P310" s="554"/>
    </row>
    <row r="311" spans="1:16" s="556" customFormat="1" ht="15">
      <c r="A311" s="553"/>
      <c r="B311" s="553"/>
      <c r="C311" s="559"/>
      <c r="D311" s="554"/>
      <c r="E311" s="554"/>
      <c r="F311" s="554"/>
      <c r="G311" s="554"/>
      <c r="H311" s="554"/>
      <c r="I311" s="554"/>
      <c r="J311" s="554"/>
      <c r="K311" s="554"/>
      <c r="L311" s="554"/>
      <c r="M311" s="554"/>
      <c r="N311" s="554"/>
      <c r="O311" s="554"/>
      <c r="P311" s="554"/>
    </row>
    <row r="312" spans="1:16" s="556" customFormat="1" ht="15">
      <c r="A312" s="553"/>
      <c r="B312" s="553"/>
      <c r="C312" s="559"/>
      <c r="D312" s="554"/>
      <c r="E312" s="554"/>
      <c r="F312" s="554"/>
      <c r="G312" s="554"/>
      <c r="H312" s="554"/>
      <c r="I312" s="554"/>
      <c r="J312" s="554"/>
      <c r="K312" s="554"/>
      <c r="L312" s="554"/>
      <c r="M312" s="554"/>
      <c r="N312" s="554"/>
      <c r="O312" s="554"/>
      <c r="P312" s="554"/>
    </row>
    <row r="313" spans="1:16" s="556" customFormat="1" ht="15">
      <c r="A313" s="553"/>
      <c r="B313" s="553"/>
      <c r="C313" s="559"/>
      <c r="D313" s="554"/>
      <c r="E313" s="554"/>
      <c r="F313" s="554"/>
      <c r="G313" s="554"/>
      <c r="H313" s="554"/>
      <c r="I313" s="554"/>
      <c r="J313" s="554"/>
      <c r="K313" s="554"/>
      <c r="L313" s="554"/>
      <c r="M313" s="554"/>
      <c r="N313" s="554"/>
      <c r="O313" s="554"/>
      <c r="P313" s="554"/>
    </row>
    <row r="314" spans="1:16" s="556" customFormat="1" ht="15">
      <c r="A314" s="553"/>
      <c r="B314" s="553"/>
      <c r="C314" s="559"/>
      <c r="D314" s="554"/>
      <c r="E314" s="554"/>
      <c r="F314" s="554"/>
      <c r="G314" s="554"/>
      <c r="H314" s="554"/>
      <c r="I314" s="554"/>
      <c r="J314" s="554"/>
      <c r="K314" s="554"/>
      <c r="L314" s="554"/>
      <c r="M314" s="554"/>
      <c r="N314" s="554"/>
      <c r="O314" s="554"/>
      <c r="P314" s="554"/>
    </row>
    <row r="315" spans="1:16" s="556" customFormat="1" ht="15">
      <c r="A315" s="553"/>
      <c r="B315" s="553"/>
      <c r="C315" s="559"/>
      <c r="D315" s="554"/>
      <c r="E315" s="554"/>
      <c r="F315" s="554"/>
      <c r="G315" s="554"/>
      <c r="H315" s="554"/>
      <c r="I315" s="554"/>
      <c r="J315" s="554"/>
      <c r="K315" s="554"/>
      <c r="L315" s="554"/>
      <c r="M315" s="554"/>
      <c r="N315" s="554"/>
      <c r="O315" s="554"/>
      <c r="P315" s="554"/>
    </row>
    <row r="316" spans="1:16" s="556" customFormat="1" ht="15">
      <c r="A316" s="553"/>
      <c r="B316" s="553"/>
      <c r="C316" s="559"/>
      <c r="D316" s="554"/>
      <c r="E316" s="554"/>
      <c r="F316" s="554"/>
      <c r="G316" s="554"/>
      <c r="H316" s="554"/>
      <c r="I316" s="554"/>
      <c r="J316" s="554"/>
      <c r="K316" s="554"/>
      <c r="L316" s="554"/>
      <c r="M316" s="554"/>
      <c r="N316" s="554"/>
      <c r="O316" s="554"/>
      <c r="P316" s="554"/>
    </row>
    <row r="317" spans="1:16" s="556" customFormat="1" ht="15">
      <c r="A317" s="553"/>
      <c r="B317" s="553"/>
      <c r="C317" s="559"/>
      <c r="D317" s="554"/>
      <c r="E317" s="554"/>
      <c r="F317" s="554"/>
      <c r="G317" s="554"/>
      <c r="H317" s="554"/>
      <c r="I317" s="554"/>
      <c r="J317" s="554"/>
      <c r="K317" s="554"/>
      <c r="L317" s="554"/>
      <c r="M317" s="554"/>
      <c r="N317" s="554"/>
      <c r="O317" s="554"/>
      <c r="P317" s="554"/>
    </row>
    <row r="318" spans="1:16" s="556" customFormat="1" ht="15">
      <c r="A318" s="553"/>
      <c r="B318" s="553"/>
      <c r="C318" s="559"/>
      <c r="D318" s="554"/>
      <c r="E318" s="554"/>
      <c r="F318" s="554"/>
      <c r="G318" s="554"/>
      <c r="H318" s="554"/>
      <c r="I318" s="554"/>
      <c r="J318" s="554"/>
      <c r="K318" s="554"/>
      <c r="L318" s="554"/>
      <c r="M318" s="554"/>
      <c r="N318" s="554"/>
      <c r="O318" s="554"/>
      <c r="P318" s="554"/>
    </row>
    <row r="319" spans="1:16" s="556" customFormat="1" ht="15">
      <c r="A319" s="553"/>
      <c r="B319" s="553"/>
      <c r="C319" s="559"/>
      <c r="D319" s="554"/>
      <c r="E319" s="554"/>
      <c r="F319" s="554"/>
      <c r="G319" s="554"/>
      <c r="H319" s="554"/>
      <c r="I319" s="554"/>
      <c r="J319" s="554"/>
      <c r="K319" s="554"/>
      <c r="L319" s="554"/>
      <c r="M319" s="554"/>
      <c r="N319" s="554"/>
      <c r="O319" s="554"/>
      <c r="P319" s="554"/>
    </row>
    <row r="320" spans="1:16" s="556" customFormat="1" ht="15">
      <c r="A320" s="553"/>
      <c r="B320" s="553"/>
      <c r="C320" s="559"/>
      <c r="D320" s="554"/>
      <c r="E320" s="554"/>
      <c r="F320" s="554"/>
      <c r="G320" s="554"/>
      <c r="H320" s="554"/>
      <c r="I320" s="554"/>
      <c r="J320" s="554"/>
      <c r="K320" s="554"/>
      <c r="L320" s="554"/>
      <c r="M320" s="554"/>
      <c r="N320" s="554"/>
      <c r="O320" s="554"/>
      <c r="P320" s="554"/>
    </row>
    <row r="321" spans="1:16" s="556" customFormat="1" ht="15">
      <c r="A321" s="553"/>
      <c r="B321" s="553"/>
      <c r="C321" s="559"/>
      <c r="D321" s="554"/>
      <c r="E321" s="554"/>
      <c r="F321" s="554"/>
      <c r="G321" s="554"/>
      <c r="H321" s="554"/>
      <c r="I321" s="554"/>
      <c r="J321" s="554"/>
      <c r="K321" s="554"/>
      <c r="L321" s="554"/>
      <c r="M321" s="554"/>
      <c r="N321" s="554"/>
      <c r="O321" s="554"/>
      <c r="P321" s="554"/>
    </row>
    <row r="322" spans="1:16" s="556" customFormat="1" ht="15">
      <c r="A322" s="553"/>
      <c r="B322" s="553"/>
      <c r="C322" s="559"/>
      <c r="D322" s="554"/>
      <c r="E322" s="554"/>
      <c r="F322" s="554"/>
      <c r="G322" s="554"/>
      <c r="H322" s="554"/>
      <c r="I322" s="554"/>
      <c r="J322" s="554"/>
      <c r="K322" s="554"/>
      <c r="L322" s="554"/>
      <c r="M322" s="554"/>
      <c r="N322" s="554"/>
      <c r="O322" s="554"/>
      <c r="P322" s="554"/>
    </row>
    <row r="323" spans="1:16" s="556" customFormat="1" ht="15">
      <c r="A323" s="553"/>
      <c r="B323" s="553"/>
      <c r="C323" s="559"/>
      <c r="D323" s="554"/>
      <c r="E323" s="554"/>
      <c r="F323" s="554"/>
      <c r="G323" s="554"/>
      <c r="H323" s="554"/>
      <c r="I323" s="554"/>
      <c r="J323" s="554"/>
      <c r="K323" s="554"/>
      <c r="L323" s="554"/>
      <c r="M323" s="554"/>
      <c r="N323" s="554"/>
      <c r="O323" s="554"/>
      <c r="P323" s="554"/>
    </row>
    <row r="324" spans="1:16" s="556" customFormat="1" ht="15">
      <c r="A324" s="553"/>
      <c r="B324" s="553"/>
      <c r="C324" s="559"/>
      <c r="D324" s="554"/>
      <c r="E324" s="554"/>
      <c r="F324" s="554"/>
      <c r="G324" s="554"/>
      <c r="H324" s="554"/>
      <c r="I324" s="554"/>
      <c r="J324" s="554"/>
      <c r="K324" s="554"/>
      <c r="L324" s="554"/>
      <c r="M324" s="554"/>
      <c r="N324" s="554"/>
      <c r="O324" s="554"/>
      <c r="P324" s="554"/>
    </row>
    <row r="325" spans="1:16" s="556" customFormat="1" ht="15">
      <c r="A325" s="553"/>
      <c r="B325" s="553"/>
      <c r="C325" s="559"/>
      <c r="D325" s="554"/>
      <c r="E325" s="554"/>
      <c r="F325" s="554"/>
      <c r="G325" s="554"/>
      <c r="H325" s="554"/>
      <c r="I325" s="554"/>
      <c r="J325" s="554"/>
      <c r="K325" s="554"/>
      <c r="L325" s="554"/>
      <c r="M325" s="554"/>
      <c r="N325" s="554"/>
      <c r="O325" s="554"/>
      <c r="P325" s="554"/>
    </row>
    <row r="326" spans="1:16" s="556" customFormat="1" ht="15">
      <c r="A326" s="553"/>
      <c r="B326" s="553"/>
      <c r="C326" s="559"/>
      <c r="D326" s="554"/>
      <c r="E326" s="554"/>
      <c r="F326" s="554"/>
      <c r="G326" s="554"/>
      <c r="H326" s="554"/>
      <c r="I326" s="554"/>
      <c r="J326" s="554"/>
      <c r="K326" s="554"/>
      <c r="L326" s="554"/>
      <c r="M326" s="554"/>
      <c r="N326" s="554"/>
      <c r="O326" s="554"/>
      <c r="P326" s="554"/>
    </row>
    <row r="327" spans="1:16" s="556" customFormat="1" ht="15">
      <c r="A327" s="553"/>
      <c r="B327" s="553"/>
      <c r="C327" s="559"/>
      <c r="D327" s="554"/>
      <c r="E327" s="554"/>
      <c r="F327" s="554"/>
      <c r="G327" s="554"/>
      <c r="H327" s="554"/>
      <c r="I327" s="554"/>
      <c r="J327" s="554"/>
      <c r="K327" s="554"/>
      <c r="L327" s="554"/>
      <c r="M327" s="554"/>
      <c r="N327" s="554"/>
      <c r="O327" s="554"/>
      <c r="P327" s="554"/>
    </row>
    <row r="328" spans="1:16" s="556" customFormat="1" ht="15">
      <c r="A328" s="553"/>
      <c r="B328" s="553"/>
      <c r="C328" s="559"/>
      <c r="D328" s="554"/>
      <c r="E328" s="554"/>
      <c r="F328" s="554"/>
      <c r="G328" s="554"/>
      <c r="H328" s="554"/>
      <c r="I328" s="554"/>
      <c r="J328" s="554"/>
      <c r="K328" s="554"/>
      <c r="L328" s="554"/>
      <c r="M328" s="554"/>
      <c r="N328" s="554"/>
      <c r="O328" s="554"/>
      <c r="P328" s="554"/>
    </row>
    <row r="329" spans="1:16" s="556" customFormat="1" ht="15">
      <c r="A329" s="553"/>
      <c r="B329" s="553"/>
      <c r="C329" s="559"/>
      <c r="D329" s="554"/>
      <c r="E329" s="554"/>
      <c r="F329" s="554"/>
      <c r="G329" s="554"/>
      <c r="H329" s="554"/>
      <c r="I329" s="554"/>
      <c r="J329" s="554"/>
      <c r="K329" s="554"/>
      <c r="L329" s="554"/>
      <c r="M329" s="554"/>
      <c r="N329" s="554"/>
      <c r="O329" s="554"/>
      <c r="P329" s="554"/>
    </row>
    <row r="330" spans="1:16" s="556" customFormat="1" ht="15">
      <c r="A330" s="553"/>
      <c r="B330" s="553"/>
      <c r="C330" s="559"/>
      <c r="D330" s="554"/>
      <c r="E330" s="554"/>
      <c r="F330" s="554"/>
      <c r="G330" s="554"/>
      <c r="H330" s="554"/>
      <c r="I330" s="554"/>
      <c r="J330" s="554"/>
      <c r="K330" s="554"/>
      <c r="L330" s="554"/>
      <c r="M330" s="554"/>
      <c r="N330" s="554"/>
      <c r="O330" s="554"/>
      <c r="P330" s="554"/>
    </row>
    <row r="331" spans="1:16" s="556" customFormat="1" ht="15">
      <c r="A331" s="553"/>
      <c r="B331" s="553"/>
      <c r="C331" s="559"/>
      <c r="D331" s="554"/>
      <c r="E331" s="554"/>
      <c r="F331" s="554"/>
      <c r="G331" s="554"/>
      <c r="H331" s="554"/>
      <c r="I331" s="554"/>
      <c r="J331" s="554"/>
      <c r="K331" s="554"/>
      <c r="L331" s="554"/>
      <c r="M331" s="554"/>
      <c r="N331" s="554"/>
      <c r="O331" s="554"/>
      <c r="P331" s="554"/>
    </row>
    <row r="332" spans="1:16" s="556" customFormat="1" ht="15">
      <c r="A332" s="553"/>
      <c r="B332" s="553"/>
      <c r="C332" s="559"/>
      <c r="D332" s="554"/>
      <c r="E332" s="554"/>
      <c r="F332" s="554"/>
      <c r="G332" s="554"/>
      <c r="H332" s="554"/>
      <c r="I332" s="554"/>
      <c r="J332" s="554"/>
      <c r="K332" s="554"/>
      <c r="L332" s="554"/>
      <c r="M332" s="554"/>
      <c r="N332" s="554"/>
      <c r="O332" s="554"/>
      <c r="P332" s="554"/>
    </row>
    <row r="333" spans="1:16" s="556" customFormat="1" ht="15">
      <c r="A333" s="553"/>
      <c r="B333" s="553"/>
      <c r="C333" s="559"/>
      <c r="D333" s="554"/>
      <c r="E333" s="554"/>
      <c r="F333" s="554"/>
      <c r="G333" s="554"/>
      <c r="H333" s="554"/>
      <c r="I333" s="554"/>
      <c r="J333" s="554"/>
      <c r="K333" s="554"/>
      <c r="L333" s="554"/>
      <c r="M333" s="554"/>
      <c r="N333" s="554"/>
      <c r="O333" s="554"/>
      <c r="P333" s="554"/>
    </row>
    <row r="334" spans="1:16" s="556" customFormat="1" ht="15">
      <c r="A334" s="553"/>
      <c r="B334" s="553"/>
      <c r="C334" s="559"/>
      <c r="D334" s="554"/>
      <c r="E334" s="554"/>
      <c r="F334" s="554"/>
      <c r="G334" s="554"/>
      <c r="H334" s="554"/>
      <c r="I334" s="554"/>
      <c r="J334" s="554"/>
      <c r="K334" s="554"/>
      <c r="L334" s="554"/>
      <c r="M334" s="554"/>
      <c r="N334" s="554"/>
      <c r="O334" s="554"/>
      <c r="P334" s="554"/>
    </row>
    <row r="335" spans="1:16" s="556" customFormat="1" ht="15">
      <c r="A335" s="553"/>
      <c r="B335" s="553"/>
      <c r="C335" s="559"/>
      <c r="D335" s="554"/>
      <c r="E335" s="554"/>
      <c r="F335" s="554"/>
      <c r="G335" s="554"/>
      <c r="H335" s="554"/>
      <c r="I335" s="554"/>
      <c r="J335" s="554"/>
      <c r="K335" s="554"/>
      <c r="L335" s="554"/>
      <c r="M335" s="554"/>
      <c r="N335" s="554"/>
      <c r="O335" s="554"/>
      <c r="P335" s="554"/>
    </row>
    <row r="336" spans="1:16" s="556" customFormat="1" ht="15">
      <c r="A336" s="553"/>
      <c r="B336" s="553"/>
      <c r="C336" s="559"/>
      <c r="D336" s="554"/>
      <c r="E336" s="554"/>
      <c r="F336" s="554"/>
      <c r="G336" s="554"/>
      <c r="H336" s="554"/>
      <c r="I336" s="554"/>
      <c r="J336" s="554"/>
      <c r="K336" s="554"/>
      <c r="L336" s="554"/>
      <c r="M336" s="554"/>
      <c r="N336" s="554"/>
      <c r="O336" s="554"/>
      <c r="P336" s="554"/>
    </row>
    <row r="337" spans="1:16" s="556" customFormat="1" ht="15">
      <c r="A337" s="553"/>
      <c r="B337" s="553"/>
      <c r="C337" s="559"/>
      <c r="D337" s="554"/>
      <c r="E337" s="554"/>
      <c r="F337" s="554"/>
      <c r="G337" s="554"/>
      <c r="H337" s="554"/>
      <c r="I337" s="554"/>
      <c r="J337" s="554"/>
      <c r="K337" s="554"/>
      <c r="L337" s="554"/>
      <c r="M337" s="554"/>
      <c r="N337" s="554"/>
      <c r="O337" s="554"/>
      <c r="P337" s="554"/>
    </row>
    <row r="338" spans="1:16" s="556" customFormat="1" ht="15">
      <c r="A338" s="553"/>
      <c r="B338" s="553"/>
      <c r="C338" s="559"/>
      <c r="D338" s="554"/>
      <c r="E338" s="554"/>
      <c r="F338" s="554"/>
      <c r="G338" s="554"/>
      <c r="H338" s="554"/>
      <c r="I338" s="554"/>
      <c r="J338" s="554"/>
      <c r="K338" s="554"/>
      <c r="L338" s="554"/>
      <c r="M338" s="554"/>
      <c r="N338" s="554"/>
      <c r="O338" s="554"/>
      <c r="P338" s="554"/>
    </row>
    <row r="339" spans="1:16" s="556" customFormat="1" ht="15">
      <c r="A339" s="553"/>
      <c r="B339" s="553"/>
      <c r="C339" s="559"/>
      <c r="D339" s="554"/>
      <c r="E339" s="554"/>
      <c r="F339" s="554"/>
      <c r="G339" s="554"/>
      <c r="H339" s="554"/>
      <c r="I339" s="554"/>
      <c r="J339" s="554"/>
      <c r="K339" s="554"/>
      <c r="L339" s="554"/>
      <c r="M339" s="554"/>
      <c r="N339" s="554"/>
      <c r="O339" s="554"/>
      <c r="P339" s="554"/>
    </row>
    <row r="340" spans="1:16" s="556" customFormat="1" ht="15">
      <c r="A340" s="553"/>
      <c r="B340" s="553"/>
      <c r="C340" s="559"/>
      <c r="D340" s="554"/>
      <c r="E340" s="554"/>
      <c r="F340" s="554"/>
      <c r="G340" s="554"/>
      <c r="H340" s="554"/>
      <c r="I340" s="554"/>
      <c r="J340" s="554"/>
      <c r="K340" s="554"/>
      <c r="L340" s="554"/>
      <c r="M340" s="554"/>
      <c r="N340" s="554"/>
      <c r="O340" s="554"/>
      <c r="P340" s="554"/>
    </row>
    <row r="341" spans="1:16" s="556" customFormat="1" ht="15">
      <c r="A341" s="553"/>
      <c r="B341" s="553"/>
      <c r="C341" s="559"/>
      <c r="D341" s="554"/>
      <c r="E341" s="554"/>
      <c r="F341" s="554"/>
      <c r="G341" s="554"/>
      <c r="H341" s="554"/>
      <c r="I341" s="554"/>
      <c r="J341" s="554"/>
      <c r="K341" s="554"/>
      <c r="L341" s="554"/>
      <c r="M341" s="554"/>
      <c r="N341" s="554"/>
      <c r="O341" s="554"/>
      <c r="P341" s="554"/>
    </row>
    <row r="342" spans="1:16" s="556" customFormat="1" ht="15">
      <c r="A342" s="553"/>
      <c r="B342" s="553"/>
      <c r="C342" s="559"/>
      <c r="D342" s="554"/>
      <c r="E342" s="554"/>
      <c r="F342" s="554"/>
      <c r="G342" s="554"/>
      <c r="H342" s="554"/>
      <c r="I342" s="554"/>
      <c r="J342" s="554"/>
      <c r="K342" s="554"/>
      <c r="L342" s="554"/>
      <c r="M342" s="554"/>
      <c r="N342" s="554"/>
      <c r="O342" s="554"/>
      <c r="P342" s="554"/>
    </row>
    <row r="343" spans="1:16" s="556" customFormat="1" ht="15">
      <c r="A343" s="553"/>
      <c r="B343" s="553"/>
      <c r="C343" s="559"/>
      <c r="D343" s="554"/>
      <c r="E343" s="554"/>
      <c r="F343" s="554"/>
      <c r="G343" s="554"/>
      <c r="H343" s="554"/>
      <c r="I343" s="554"/>
      <c r="J343" s="554"/>
      <c r="K343" s="554"/>
      <c r="L343" s="554"/>
      <c r="M343" s="554"/>
      <c r="N343" s="554"/>
      <c r="O343" s="554"/>
      <c r="P343" s="554"/>
    </row>
    <row r="344" spans="1:16" s="556" customFormat="1" ht="15">
      <c r="A344" s="553"/>
      <c r="B344" s="553"/>
      <c r="C344" s="559"/>
      <c r="D344" s="554"/>
      <c r="E344" s="554"/>
      <c r="F344" s="554"/>
      <c r="G344" s="554"/>
      <c r="H344" s="554"/>
      <c r="I344" s="554"/>
      <c r="J344" s="554"/>
      <c r="K344" s="554"/>
      <c r="L344" s="554"/>
      <c r="M344" s="554"/>
      <c r="N344" s="554"/>
      <c r="O344" s="554"/>
      <c r="P344" s="554"/>
    </row>
    <row r="345" spans="1:16" s="556" customFormat="1" ht="15">
      <c r="A345" s="553"/>
      <c r="B345" s="553"/>
      <c r="C345" s="559"/>
      <c r="D345" s="554"/>
      <c r="E345" s="554"/>
      <c r="F345" s="554"/>
      <c r="G345" s="554"/>
      <c r="H345" s="554"/>
      <c r="I345" s="554"/>
      <c r="J345" s="554"/>
      <c r="K345" s="554"/>
      <c r="L345" s="554"/>
      <c r="M345" s="554"/>
      <c r="N345" s="554"/>
      <c r="O345" s="554"/>
      <c r="P345" s="554"/>
    </row>
    <row r="346" spans="1:16" s="556" customFormat="1" ht="15">
      <c r="A346" s="553"/>
      <c r="B346" s="553"/>
      <c r="C346" s="559"/>
      <c r="D346" s="554"/>
      <c r="E346" s="554"/>
      <c r="F346" s="554"/>
      <c r="G346" s="554"/>
      <c r="H346" s="554"/>
      <c r="I346" s="554"/>
      <c r="J346" s="554"/>
      <c r="K346" s="554"/>
      <c r="L346" s="554"/>
      <c r="M346" s="554"/>
      <c r="N346" s="554"/>
      <c r="O346" s="554"/>
      <c r="P346" s="554"/>
    </row>
    <row r="347" spans="1:16" s="556" customFormat="1" ht="15">
      <c r="A347" s="553"/>
      <c r="B347" s="553"/>
      <c r="C347" s="559"/>
      <c r="D347" s="554"/>
      <c r="E347" s="554"/>
      <c r="F347" s="554"/>
      <c r="G347" s="554"/>
      <c r="H347" s="554"/>
      <c r="I347" s="554"/>
      <c r="J347" s="554"/>
      <c r="K347" s="554"/>
      <c r="L347" s="554"/>
      <c r="M347" s="554"/>
      <c r="N347" s="554"/>
      <c r="O347" s="554"/>
      <c r="P347" s="554"/>
    </row>
    <row r="348" spans="1:16" s="556" customFormat="1" ht="15">
      <c r="A348" s="553"/>
      <c r="B348" s="553"/>
      <c r="C348" s="559"/>
      <c r="D348" s="554"/>
      <c r="E348" s="554"/>
      <c r="F348" s="554"/>
      <c r="G348" s="554"/>
      <c r="H348" s="554"/>
      <c r="I348" s="554"/>
      <c r="J348" s="554"/>
      <c r="K348" s="554"/>
      <c r="L348" s="554"/>
      <c r="M348" s="554"/>
      <c r="N348" s="554"/>
      <c r="O348" s="554"/>
      <c r="P348" s="554"/>
    </row>
    <row r="349" spans="1:16" s="556" customFormat="1" ht="15">
      <c r="A349" s="553"/>
      <c r="B349" s="553"/>
      <c r="C349" s="559"/>
      <c r="D349" s="554"/>
      <c r="E349" s="554"/>
      <c r="F349" s="554"/>
      <c r="G349" s="554"/>
      <c r="H349" s="554"/>
      <c r="I349" s="554"/>
      <c r="J349" s="554"/>
      <c r="K349" s="554"/>
      <c r="L349" s="554"/>
      <c r="M349" s="554"/>
      <c r="N349" s="554"/>
      <c r="O349" s="554"/>
      <c r="P349" s="554"/>
    </row>
    <row r="350" spans="1:16" s="556" customFormat="1" ht="15">
      <c r="A350" s="553"/>
      <c r="B350" s="553"/>
      <c r="C350" s="559"/>
      <c r="D350" s="554"/>
      <c r="E350" s="554"/>
      <c r="F350" s="554"/>
      <c r="G350" s="554"/>
      <c r="H350" s="554"/>
      <c r="I350" s="554"/>
      <c r="J350" s="554"/>
      <c r="K350" s="554"/>
      <c r="L350" s="554"/>
      <c r="M350" s="554"/>
      <c r="N350" s="554"/>
      <c r="O350" s="554"/>
      <c r="P350" s="554"/>
    </row>
    <row r="351" spans="1:16" s="556" customFormat="1" ht="15">
      <c r="A351" s="553"/>
      <c r="B351" s="553"/>
      <c r="C351" s="559"/>
      <c r="D351" s="554"/>
      <c r="E351" s="554"/>
      <c r="F351" s="554"/>
      <c r="G351" s="554"/>
      <c r="H351" s="554"/>
      <c r="I351" s="554"/>
      <c r="J351" s="554"/>
      <c r="K351" s="554"/>
      <c r="L351" s="554"/>
      <c r="M351" s="554"/>
      <c r="N351" s="554"/>
      <c r="O351" s="554"/>
      <c r="P351" s="554"/>
    </row>
    <row r="352" spans="1:16" s="556" customFormat="1" ht="15">
      <c r="A352" s="553"/>
      <c r="B352" s="553"/>
      <c r="C352" s="559"/>
      <c r="D352" s="554"/>
      <c r="E352" s="554"/>
      <c r="F352" s="554"/>
      <c r="G352" s="554"/>
      <c r="H352" s="554"/>
      <c r="I352" s="554"/>
      <c r="J352" s="554"/>
      <c r="K352" s="554"/>
      <c r="L352" s="554"/>
      <c r="M352" s="554"/>
      <c r="N352" s="554"/>
      <c r="O352" s="554"/>
      <c r="P352" s="554"/>
    </row>
    <row r="353" spans="1:16" s="556" customFormat="1" ht="15">
      <c r="A353" s="553"/>
      <c r="B353" s="553"/>
      <c r="C353" s="559"/>
      <c r="D353" s="554"/>
      <c r="E353" s="554"/>
      <c r="F353" s="554"/>
      <c r="G353" s="554"/>
      <c r="H353" s="554"/>
      <c r="I353" s="554"/>
      <c r="J353" s="554"/>
      <c r="K353" s="554"/>
      <c r="L353" s="554"/>
      <c r="M353" s="554"/>
      <c r="N353" s="554"/>
      <c r="O353" s="554"/>
      <c r="P353" s="554"/>
    </row>
    <row r="354" spans="1:16" s="556" customFormat="1" ht="15">
      <c r="A354" s="553"/>
      <c r="B354" s="553"/>
      <c r="C354" s="559"/>
      <c r="D354" s="554"/>
      <c r="E354" s="554"/>
      <c r="F354" s="554"/>
      <c r="G354" s="554"/>
      <c r="H354" s="554"/>
      <c r="I354" s="554"/>
      <c r="J354" s="554"/>
      <c r="K354" s="554"/>
      <c r="L354" s="554"/>
      <c r="M354" s="554"/>
      <c r="N354" s="554"/>
      <c r="O354" s="554"/>
      <c r="P354" s="554"/>
    </row>
    <row r="355" spans="1:16" s="556" customFormat="1" ht="15">
      <c r="A355" s="553"/>
      <c r="B355" s="553"/>
      <c r="C355" s="559"/>
      <c r="D355" s="554"/>
      <c r="E355" s="554"/>
      <c r="F355" s="554"/>
      <c r="G355" s="554"/>
      <c r="H355" s="554"/>
      <c r="I355" s="554"/>
      <c r="J355" s="554"/>
      <c r="K355" s="554"/>
      <c r="L355" s="554"/>
      <c r="M355" s="554"/>
      <c r="N355" s="554"/>
      <c r="O355" s="554"/>
      <c r="P355" s="554"/>
    </row>
    <row r="356" spans="1:16" s="556" customFormat="1" ht="15">
      <c r="A356" s="553"/>
      <c r="B356" s="553"/>
      <c r="C356" s="559"/>
      <c r="D356" s="554"/>
      <c r="E356" s="554"/>
      <c r="F356" s="554"/>
      <c r="G356" s="554"/>
      <c r="H356" s="554"/>
      <c r="I356" s="554"/>
      <c r="J356" s="554"/>
      <c r="K356" s="554"/>
      <c r="L356" s="554"/>
      <c r="M356" s="554"/>
      <c r="N356" s="554"/>
      <c r="O356" s="554"/>
      <c r="P356" s="554"/>
    </row>
    <row r="357" spans="1:16" s="556" customFormat="1" ht="15">
      <c r="A357" s="553"/>
      <c r="B357" s="553"/>
      <c r="C357" s="559"/>
      <c r="D357" s="554"/>
      <c r="E357" s="554"/>
      <c r="F357" s="554"/>
      <c r="G357" s="554"/>
      <c r="H357" s="554"/>
      <c r="I357" s="554"/>
      <c r="J357" s="554"/>
      <c r="K357" s="554"/>
      <c r="L357" s="554"/>
      <c r="M357" s="554"/>
      <c r="N357" s="554"/>
      <c r="O357" s="554"/>
      <c r="P357" s="554"/>
    </row>
    <row r="358" spans="1:16" s="556" customFormat="1" ht="15">
      <c r="A358" s="553"/>
      <c r="B358" s="553"/>
      <c r="C358" s="559"/>
      <c r="D358" s="554"/>
      <c r="E358" s="554"/>
      <c r="F358" s="554"/>
      <c r="G358" s="554"/>
      <c r="H358" s="554"/>
      <c r="I358" s="554"/>
      <c r="J358" s="554"/>
      <c r="K358" s="554"/>
      <c r="L358" s="554"/>
      <c r="M358" s="554"/>
      <c r="N358" s="554"/>
      <c r="O358" s="554"/>
      <c r="P358" s="554"/>
    </row>
    <row r="359" spans="1:16" s="556" customFormat="1" ht="15">
      <c r="A359" s="553"/>
      <c r="B359" s="553"/>
      <c r="C359" s="559"/>
      <c r="D359" s="554"/>
      <c r="E359" s="554"/>
      <c r="F359" s="554"/>
      <c r="G359" s="554"/>
      <c r="H359" s="554"/>
      <c r="I359" s="554"/>
      <c r="J359" s="554"/>
      <c r="K359" s="554"/>
      <c r="L359" s="554"/>
      <c r="M359" s="554"/>
      <c r="N359" s="554"/>
      <c r="O359" s="554"/>
      <c r="P359" s="554"/>
    </row>
    <row r="360" spans="1:16" s="556" customFormat="1" ht="15">
      <c r="A360" s="553"/>
      <c r="B360" s="553"/>
      <c r="C360" s="559"/>
      <c r="D360" s="554"/>
      <c r="E360" s="554"/>
      <c r="F360" s="554"/>
      <c r="G360" s="554"/>
      <c r="H360" s="554"/>
      <c r="I360" s="554"/>
      <c r="J360" s="554"/>
      <c r="K360" s="554"/>
      <c r="L360" s="554"/>
      <c r="M360" s="554"/>
      <c r="N360" s="554"/>
      <c r="O360" s="554"/>
      <c r="P360" s="554"/>
    </row>
    <row r="361" spans="1:16" s="556" customFormat="1" ht="15">
      <c r="A361" s="553"/>
      <c r="B361" s="553"/>
      <c r="C361" s="559"/>
      <c r="D361" s="554"/>
      <c r="E361" s="554"/>
      <c r="F361" s="554"/>
      <c r="G361" s="554"/>
      <c r="H361" s="554"/>
      <c r="I361" s="554"/>
      <c r="J361" s="554"/>
      <c r="K361" s="554"/>
      <c r="L361" s="554"/>
      <c r="M361" s="554"/>
      <c r="N361" s="554"/>
      <c r="O361" s="554"/>
      <c r="P361" s="554"/>
    </row>
    <row r="362" spans="1:16" s="556" customFormat="1" ht="15">
      <c r="A362" s="553"/>
      <c r="B362" s="553"/>
      <c r="C362" s="559"/>
      <c r="D362" s="554"/>
      <c r="E362" s="554"/>
      <c r="F362" s="554"/>
      <c r="G362" s="554"/>
      <c r="H362" s="554"/>
      <c r="I362" s="554"/>
      <c r="J362" s="554"/>
      <c r="K362" s="554"/>
      <c r="L362" s="554"/>
      <c r="M362" s="554"/>
      <c r="N362" s="554"/>
      <c r="O362" s="554"/>
      <c r="P362" s="554"/>
    </row>
    <row r="363" spans="1:16" s="556" customFormat="1" ht="15">
      <c r="A363" s="553"/>
      <c r="B363" s="553"/>
      <c r="C363" s="559"/>
      <c r="D363" s="554"/>
      <c r="E363" s="554"/>
      <c r="F363" s="554"/>
      <c r="G363" s="554"/>
      <c r="H363" s="554"/>
      <c r="I363" s="554"/>
      <c r="J363" s="554"/>
      <c r="K363" s="554"/>
      <c r="L363" s="554"/>
      <c r="M363" s="554"/>
      <c r="N363" s="554"/>
      <c r="O363" s="554"/>
      <c r="P363" s="554"/>
    </row>
    <row r="364" spans="1:16" s="556" customFormat="1" ht="15">
      <c r="A364" s="553"/>
      <c r="B364" s="553"/>
      <c r="C364" s="559"/>
      <c r="D364" s="554"/>
      <c r="E364" s="554"/>
      <c r="F364" s="554"/>
      <c r="G364" s="554"/>
      <c r="H364" s="554"/>
      <c r="I364" s="554"/>
      <c r="J364" s="554"/>
      <c r="K364" s="554"/>
      <c r="L364" s="554"/>
      <c r="M364" s="554"/>
      <c r="N364" s="554"/>
      <c r="O364" s="554"/>
      <c r="P364" s="554"/>
    </row>
    <row r="365" spans="1:16" s="556" customFormat="1" ht="15">
      <c r="A365" s="553"/>
      <c r="B365" s="553"/>
      <c r="C365" s="559"/>
      <c r="D365" s="554"/>
      <c r="E365" s="554"/>
      <c r="F365" s="554"/>
      <c r="G365" s="554"/>
      <c r="H365" s="554"/>
      <c r="I365" s="554"/>
      <c r="J365" s="554"/>
      <c r="K365" s="554"/>
      <c r="L365" s="554"/>
      <c r="M365" s="554"/>
      <c r="N365" s="554"/>
      <c r="O365" s="554"/>
      <c r="P365" s="554"/>
    </row>
    <row r="366" spans="1:16" s="556" customFormat="1" ht="15">
      <c r="A366" s="553"/>
      <c r="B366" s="553"/>
      <c r="C366" s="559"/>
      <c r="D366" s="554"/>
      <c r="E366" s="554"/>
      <c r="F366" s="554"/>
      <c r="G366" s="554"/>
      <c r="H366" s="554"/>
      <c r="I366" s="554"/>
      <c r="J366" s="554"/>
      <c r="K366" s="554"/>
      <c r="L366" s="554"/>
      <c r="M366" s="554"/>
      <c r="N366" s="554"/>
      <c r="O366" s="554"/>
      <c r="P366" s="554"/>
    </row>
    <row r="367" spans="1:16" s="556" customFormat="1" ht="15">
      <c r="A367" s="553"/>
      <c r="B367" s="553"/>
      <c r="C367" s="559"/>
      <c r="D367" s="554"/>
      <c r="E367" s="554"/>
      <c r="F367" s="554"/>
      <c r="G367" s="554"/>
      <c r="H367" s="554"/>
      <c r="I367" s="554"/>
      <c r="J367" s="554"/>
      <c r="K367" s="554"/>
      <c r="L367" s="554"/>
      <c r="M367" s="554"/>
      <c r="N367" s="554"/>
      <c r="O367" s="554"/>
      <c r="P367" s="554"/>
    </row>
    <row r="368" spans="1:16" s="556" customFormat="1" ht="15">
      <c r="A368" s="553"/>
      <c r="B368" s="553"/>
      <c r="C368" s="559"/>
      <c r="D368" s="554"/>
      <c r="E368" s="554"/>
      <c r="F368" s="554"/>
      <c r="G368" s="554"/>
      <c r="H368" s="554"/>
      <c r="I368" s="554"/>
      <c r="J368" s="554"/>
      <c r="K368" s="554"/>
      <c r="L368" s="554"/>
      <c r="M368" s="554"/>
      <c r="N368" s="554"/>
      <c r="O368" s="554"/>
      <c r="P368" s="554"/>
    </row>
    <row r="369" spans="1:16" s="556" customFormat="1" ht="15">
      <c r="A369" s="553"/>
      <c r="B369" s="553"/>
      <c r="C369" s="559"/>
      <c r="D369" s="554"/>
      <c r="E369" s="554"/>
      <c r="F369" s="554"/>
      <c r="G369" s="554"/>
      <c r="H369" s="554"/>
      <c r="I369" s="554"/>
      <c r="J369" s="554"/>
      <c r="K369" s="554"/>
      <c r="L369" s="554"/>
      <c r="M369" s="554"/>
      <c r="N369" s="554"/>
      <c r="O369" s="554"/>
      <c r="P369" s="554"/>
    </row>
    <row r="370" spans="1:16" s="556" customFormat="1" ht="15">
      <c r="A370" s="553"/>
      <c r="B370" s="553"/>
      <c r="C370" s="559"/>
      <c r="D370" s="554"/>
      <c r="E370" s="554"/>
      <c r="F370" s="554"/>
      <c r="G370" s="554"/>
      <c r="H370" s="554"/>
      <c r="I370" s="554"/>
      <c r="J370" s="554"/>
      <c r="K370" s="554"/>
      <c r="L370" s="554"/>
      <c r="M370" s="554"/>
      <c r="N370" s="554"/>
      <c r="O370" s="554"/>
      <c r="P370" s="554"/>
    </row>
    <row r="371" spans="1:16" s="556" customFormat="1" ht="15">
      <c r="A371" s="553"/>
      <c r="B371" s="553"/>
      <c r="C371" s="559"/>
      <c r="D371" s="554"/>
      <c r="E371" s="554"/>
      <c r="F371" s="554"/>
      <c r="G371" s="554"/>
      <c r="H371" s="554"/>
      <c r="I371" s="554"/>
      <c r="J371" s="554"/>
      <c r="K371" s="554"/>
      <c r="L371" s="554"/>
      <c r="M371" s="554"/>
      <c r="N371" s="554"/>
      <c r="O371" s="554"/>
      <c r="P371" s="554"/>
    </row>
    <row r="372" spans="1:16" s="556" customFormat="1" ht="15">
      <c r="A372" s="553"/>
      <c r="B372" s="553"/>
      <c r="C372" s="559"/>
      <c r="D372" s="554"/>
      <c r="E372" s="554"/>
      <c r="F372" s="554"/>
      <c r="G372" s="554"/>
      <c r="H372" s="554"/>
      <c r="I372" s="554"/>
      <c r="J372" s="554"/>
      <c r="K372" s="554"/>
      <c r="L372" s="554"/>
      <c r="M372" s="554"/>
      <c r="N372" s="554"/>
      <c r="O372" s="554"/>
      <c r="P372" s="554"/>
    </row>
    <row r="373" spans="1:16" s="556" customFormat="1" ht="15">
      <c r="A373" s="553"/>
      <c r="B373" s="553"/>
      <c r="C373" s="559"/>
      <c r="D373" s="554"/>
      <c r="E373" s="554"/>
      <c r="F373" s="554"/>
      <c r="G373" s="554"/>
      <c r="H373" s="554"/>
      <c r="I373" s="554"/>
      <c r="J373" s="554"/>
      <c r="K373" s="554"/>
      <c r="L373" s="554"/>
      <c r="M373" s="554"/>
      <c r="N373" s="554"/>
      <c r="O373" s="554"/>
      <c r="P373" s="554"/>
    </row>
    <row r="374" spans="1:16" s="556" customFormat="1" ht="15">
      <c r="A374" s="553"/>
      <c r="B374" s="553"/>
      <c r="C374" s="559"/>
      <c r="D374" s="554"/>
      <c r="E374" s="554"/>
      <c r="F374" s="554"/>
      <c r="G374" s="554"/>
      <c r="H374" s="554"/>
      <c r="I374" s="554"/>
      <c r="J374" s="554"/>
      <c r="K374" s="554"/>
      <c r="L374" s="554"/>
      <c r="M374" s="554"/>
      <c r="N374" s="554"/>
      <c r="O374" s="554"/>
      <c r="P374" s="554"/>
    </row>
    <row r="375" spans="1:16" s="556" customFormat="1" ht="15">
      <c r="A375" s="553"/>
      <c r="B375" s="553"/>
      <c r="C375" s="559"/>
      <c r="D375" s="554"/>
      <c r="E375" s="554"/>
      <c r="F375" s="554"/>
      <c r="G375" s="554"/>
      <c r="H375" s="554"/>
      <c r="I375" s="554"/>
      <c r="J375" s="554"/>
      <c r="K375" s="554"/>
      <c r="L375" s="554"/>
      <c r="M375" s="554"/>
      <c r="N375" s="554"/>
      <c r="O375" s="554"/>
      <c r="P375" s="554"/>
    </row>
    <row r="376" spans="1:16" s="556" customFormat="1" ht="15">
      <c r="A376" s="553"/>
      <c r="B376" s="553"/>
      <c r="C376" s="559"/>
      <c r="D376" s="554"/>
      <c r="E376" s="554"/>
      <c r="F376" s="554"/>
      <c r="G376" s="554"/>
      <c r="H376" s="554"/>
      <c r="I376" s="554"/>
      <c r="J376" s="554"/>
      <c r="K376" s="554"/>
      <c r="L376" s="554"/>
      <c r="M376" s="554"/>
      <c r="N376" s="554"/>
      <c r="O376" s="554"/>
      <c r="P376" s="554"/>
    </row>
    <row r="377" spans="1:16" s="556" customFormat="1" ht="15">
      <c r="A377" s="553"/>
      <c r="B377" s="553"/>
      <c r="C377" s="559"/>
      <c r="D377" s="554"/>
      <c r="E377" s="554"/>
      <c r="F377" s="554"/>
      <c r="G377" s="554"/>
      <c r="H377" s="554"/>
      <c r="I377" s="554"/>
      <c r="J377" s="554"/>
      <c r="K377" s="554"/>
      <c r="L377" s="554"/>
      <c r="M377" s="554"/>
      <c r="N377" s="554"/>
      <c r="O377" s="554"/>
      <c r="P377" s="554"/>
    </row>
    <row r="378" spans="1:16" s="556" customFormat="1" ht="15">
      <c r="A378" s="553"/>
      <c r="B378" s="553"/>
      <c r="C378" s="559"/>
      <c r="D378" s="554"/>
      <c r="E378" s="554"/>
      <c r="F378" s="554"/>
      <c r="G378" s="554"/>
      <c r="H378" s="554"/>
      <c r="I378" s="554"/>
      <c r="J378" s="554"/>
      <c r="K378" s="554"/>
      <c r="L378" s="554"/>
      <c r="M378" s="554"/>
      <c r="N378" s="554"/>
      <c r="O378" s="554"/>
      <c r="P378" s="554"/>
    </row>
    <row r="379" spans="1:16" s="556" customFormat="1" ht="15">
      <c r="A379" s="553"/>
      <c r="B379" s="553"/>
      <c r="C379" s="559"/>
      <c r="D379" s="554"/>
      <c r="E379" s="554"/>
      <c r="F379" s="554"/>
      <c r="G379" s="554"/>
      <c r="H379" s="554"/>
      <c r="I379" s="554"/>
      <c r="J379" s="554"/>
      <c r="K379" s="554"/>
      <c r="L379" s="554"/>
      <c r="M379" s="554"/>
      <c r="N379" s="554"/>
      <c r="O379" s="554"/>
      <c r="P379" s="554"/>
    </row>
    <row r="380" spans="1:16" s="556" customFormat="1" ht="15">
      <c r="A380" s="553"/>
      <c r="B380" s="553"/>
      <c r="C380" s="559"/>
      <c r="D380" s="554"/>
      <c r="E380" s="554"/>
      <c r="F380" s="554"/>
      <c r="G380" s="554"/>
      <c r="H380" s="554"/>
      <c r="I380" s="554"/>
      <c r="J380" s="554"/>
      <c r="K380" s="554"/>
      <c r="L380" s="554"/>
      <c r="M380" s="554"/>
      <c r="N380" s="554"/>
      <c r="O380" s="554"/>
      <c r="P380" s="554"/>
    </row>
    <row r="381" spans="1:16" s="556" customFormat="1" ht="15">
      <c r="A381" s="553"/>
      <c r="B381" s="553"/>
      <c r="C381" s="559"/>
      <c r="D381" s="554"/>
      <c r="E381" s="554"/>
      <c r="F381" s="554"/>
      <c r="G381" s="554"/>
      <c r="H381" s="554"/>
      <c r="I381" s="554"/>
      <c r="J381" s="554"/>
      <c r="K381" s="554"/>
      <c r="L381" s="554"/>
      <c r="M381" s="554"/>
      <c r="N381" s="554"/>
      <c r="O381" s="554"/>
      <c r="P381" s="554"/>
    </row>
    <row r="382" spans="1:16" s="556" customFormat="1" ht="15">
      <c r="A382" s="553"/>
      <c r="B382" s="553"/>
      <c r="C382" s="559"/>
      <c r="D382" s="554"/>
      <c r="E382" s="554"/>
      <c r="F382" s="554"/>
      <c r="G382" s="554"/>
      <c r="H382" s="554"/>
      <c r="I382" s="554"/>
      <c r="J382" s="554"/>
      <c r="K382" s="554"/>
      <c r="L382" s="554"/>
      <c r="M382" s="554"/>
      <c r="N382" s="554"/>
      <c r="O382" s="554"/>
      <c r="P382" s="554"/>
    </row>
    <row r="383" spans="1:16" s="556" customFormat="1" ht="15">
      <c r="A383" s="553"/>
      <c r="B383" s="553"/>
      <c r="C383" s="559"/>
      <c r="D383" s="554"/>
      <c r="E383" s="554"/>
      <c r="F383" s="554"/>
      <c r="G383" s="554"/>
      <c r="H383" s="554"/>
      <c r="I383" s="554"/>
      <c r="J383" s="554"/>
      <c r="K383" s="554"/>
      <c r="L383" s="554"/>
      <c r="M383" s="554"/>
      <c r="N383" s="554"/>
      <c r="O383" s="554"/>
      <c r="P383" s="554"/>
    </row>
    <row r="384" spans="1:16" s="556" customFormat="1" ht="15">
      <c r="A384" s="553"/>
      <c r="B384" s="553"/>
      <c r="C384" s="559"/>
      <c r="D384" s="554"/>
      <c r="E384" s="554"/>
      <c r="F384" s="554"/>
      <c r="G384" s="554"/>
      <c r="H384" s="554"/>
      <c r="I384" s="554"/>
      <c r="J384" s="554"/>
      <c r="K384" s="554"/>
      <c r="L384" s="554"/>
      <c r="M384" s="554"/>
      <c r="N384" s="554"/>
      <c r="O384" s="554"/>
      <c r="P384" s="554"/>
    </row>
    <row r="385" spans="1:16" s="556" customFormat="1" ht="15">
      <c r="A385" s="553"/>
      <c r="B385" s="553"/>
      <c r="C385" s="559"/>
      <c r="D385" s="554"/>
      <c r="E385" s="554"/>
      <c r="F385" s="554"/>
      <c r="G385" s="554"/>
      <c r="H385" s="554"/>
      <c r="I385" s="554"/>
      <c r="J385" s="554"/>
      <c r="K385" s="554"/>
      <c r="L385" s="554"/>
      <c r="M385" s="554"/>
      <c r="N385" s="554"/>
      <c r="O385" s="554"/>
      <c r="P385" s="554"/>
    </row>
    <row r="386" spans="1:16" s="556" customFormat="1" ht="15">
      <c r="A386" s="553"/>
      <c r="B386" s="553"/>
      <c r="C386" s="559"/>
      <c r="D386" s="554"/>
      <c r="E386" s="554"/>
      <c r="F386" s="554"/>
      <c r="G386" s="554"/>
      <c r="H386" s="554"/>
      <c r="I386" s="554"/>
      <c r="J386" s="554"/>
      <c r="K386" s="554"/>
      <c r="L386" s="554"/>
      <c r="M386" s="554"/>
      <c r="N386" s="554"/>
      <c r="O386" s="554"/>
      <c r="P386" s="554"/>
    </row>
    <row r="387" spans="1:16" s="556" customFormat="1" ht="15">
      <c r="A387" s="553"/>
      <c r="B387" s="553"/>
      <c r="C387" s="559"/>
      <c r="D387" s="554"/>
      <c r="E387" s="554"/>
      <c r="F387" s="554"/>
      <c r="G387" s="554"/>
      <c r="H387" s="554"/>
      <c r="I387" s="554"/>
      <c r="J387" s="554"/>
      <c r="K387" s="554"/>
      <c r="L387" s="554"/>
      <c r="M387" s="554"/>
      <c r="N387" s="554"/>
      <c r="O387" s="554"/>
      <c r="P387" s="554"/>
    </row>
    <row r="388" spans="1:16" s="556" customFormat="1" ht="15">
      <c r="A388" s="553"/>
      <c r="B388" s="553"/>
      <c r="C388" s="559"/>
      <c r="D388" s="554"/>
      <c r="E388" s="554"/>
      <c r="F388" s="554"/>
      <c r="G388" s="554"/>
      <c r="H388" s="554"/>
      <c r="I388" s="554"/>
      <c r="J388" s="554"/>
      <c r="K388" s="554"/>
      <c r="L388" s="554"/>
      <c r="M388" s="554"/>
      <c r="N388" s="554"/>
      <c r="O388" s="554"/>
      <c r="P388" s="554"/>
    </row>
    <row r="389" spans="1:16" s="556" customFormat="1" ht="15">
      <c r="A389" s="553"/>
      <c r="B389" s="553"/>
      <c r="C389" s="559"/>
      <c r="D389" s="554"/>
      <c r="E389" s="554"/>
      <c r="F389" s="554"/>
      <c r="G389" s="554"/>
      <c r="H389" s="554"/>
      <c r="I389" s="554"/>
      <c r="J389" s="554"/>
      <c r="K389" s="554"/>
      <c r="L389" s="554"/>
      <c r="M389" s="554"/>
      <c r="N389" s="554"/>
      <c r="O389" s="554"/>
      <c r="P389" s="554"/>
    </row>
    <row r="390" spans="1:16" s="556" customFormat="1" ht="15">
      <c r="A390" s="553"/>
      <c r="B390" s="553"/>
      <c r="C390" s="559"/>
      <c r="D390" s="554"/>
      <c r="E390" s="554"/>
      <c r="F390" s="554"/>
      <c r="G390" s="554"/>
      <c r="H390" s="554"/>
      <c r="I390" s="554"/>
      <c r="J390" s="554"/>
      <c r="K390" s="554"/>
      <c r="L390" s="554"/>
      <c r="M390" s="554"/>
      <c r="N390" s="554"/>
      <c r="O390" s="554"/>
      <c r="P390" s="554"/>
    </row>
    <row r="391" spans="1:16" s="556" customFormat="1" ht="15">
      <c r="A391" s="553"/>
      <c r="B391" s="553"/>
      <c r="C391" s="559"/>
      <c r="D391" s="554"/>
      <c r="E391" s="554"/>
      <c r="F391" s="554"/>
      <c r="G391" s="554"/>
      <c r="H391" s="554"/>
      <c r="I391" s="554"/>
      <c r="J391" s="554"/>
      <c r="K391" s="554"/>
      <c r="L391" s="554"/>
      <c r="M391" s="554"/>
      <c r="N391" s="554"/>
      <c r="O391" s="554"/>
      <c r="P391" s="554"/>
    </row>
    <row r="392" spans="1:16" s="556" customFormat="1" ht="15">
      <c r="A392" s="553"/>
      <c r="B392" s="553"/>
      <c r="C392" s="559"/>
      <c r="D392" s="554"/>
      <c r="E392" s="554"/>
      <c r="F392" s="554"/>
      <c r="G392" s="554"/>
      <c r="H392" s="554"/>
      <c r="I392" s="554"/>
      <c r="J392" s="554"/>
      <c r="K392" s="554"/>
      <c r="L392" s="554"/>
      <c r="M392" s="554"/>
      <c r="N392" s="554"/>
      <c r="O392" s="554"/>
      <c r="P392" s="554"/>
    </row>
    <row r="393" spans="1:16" s="556" customFormat="1" ht="15">
      <c r="A393" s="553"/>
      <c r="B393" s="553"/>
      <c r="C393" s="559"/>
      <c r="D393" s="554"/>
      <c r="E393" s="554"/>
      <c r="F393" s="554"/>
      <c r="G393" s="554"/>
      <c r="H393" s="554"/>
      <c r="I393" s="554"/>
      <c r="J393" s="554"/>
      <c r="K393" s="554"/>
      <c r="L393" s="554"/>
      <c r="M393" s="554"/>
      <c r="N393" s="554"/>
      <c r="O393" s="554"/>
      <c r="P393" s="554"/>
    </row>
    <row r="394" spans="1:16" s="556" customFormat="1" ht="15">
      <c r="A394" s="553"/>
      <c r="B394" s="553"/>
      <c r="C394" s="559"/>
      <c r="D394" s="554"/>
      <c r="E394" s="554"/>
      <c r="F394" s="554"/>
      <c r="G394" s="554"/>
      <c r="H394" s="554"/>
      <c r="I394" s="554"/>
      <c r="J394" s="554"/>
      <c r="K394" s="554"/>
      <c r="L394" s="554"/>
      <c r="M394" s="554"/>
      <c r="N394" s="554"/>
      <c r="O394" s="554"/>
      <c r="P394" s="554"/>
    </row>
    <row r="395" spans="1:16" s="556" customFormat="1" ht="15">
      <c r="A395" s="553"/>
      <c r="B395" s="553"/>
      <c r="C395" s="559"/>
      <c r="D395" s="554"/>
      <c r="E395" s="554"/>
      <c r="F395" s="554"/>
      <c r="G395" s="554"/>
      <c r="H395" s="554"/>
      <c r="I395" s="554"/>
      <c r="J395" s="554"/>
      <c r="K395" s="554"/>
      <c r="L395" s="554"/>
      <c r="M395" s="554"/>
      <c r="N395" s="554"/>
      <c r="O395" s="554"/>
      <c r="P395" s="554"/>
    </row>
    <row r="396" spans="1:16" s="556" customFormat="1" ht="15">
      <c r="A396" s="553"/>
      <c r="B396" s="553"/>
      <c r="C396" s="559"/>
      <c r="D396" s="554"/>
      <c r="E396" s="554"/>
      <c r="F396" s="554"/>
      <c r="G396" s="554"/>
      <c r="H396" s="554"/>
      <c r="I396" s="554"/>
      <c r="J396" s="554"/>
      <c r="K396" s="554"/>
      <c r="L396" s="554"/>
      <c r="M396" s="554"/>
      <c r="N396" s="554"/>
      <c r="O396" s="554"/>
      <c r="P396" s="554"/>
    </row>
    <row r="397" spans="1:16" s="556" customFormat="1" ht="15">
      <c r="A397" s="553"/>
      <c r="B397" s="553"/>
      <c r="C397" s="559"/>
      <c r="D397" s="554"/>
      <c r="E397" s="554"/>
      <c r="F397" s="554"/>
      <c r="G397" s="554"/>
      <c r="H397" s="554"/>
      <c r="I397" s="554"/>
      <c r="J397" s="554"/>
      <c r="K397" s="554"/>
      <c r="L397" s="554"/>
      <c r="M397" s="554"/>
      <c r="N397" s="554"/>
      <c r="O397" s="554"/>
      <c r="P397" s="554"/>
    </row>
    <row r="398" spans="1:16" s="556" customFormat="1" ht="15">
      <c r="A398" s="553"/>
      <c r="B398" s="553"/>
      <c r="C398" s="559"/>
      <c r="D398" s="554"/>
      <c r="E398" s="554"/>
      <c r="F398" s="554"/>
      <c r="G398" s="554"/>
      <c r="H398" s="554"/>
      <c r="I398" s="554"/>
      <c r="J398" s="554"/>
      <c r="K398" s="554"/>
      <c r="L398" s="554"/>
      <c r="M398" s="554"/>
      <c r="N398" s="554"/>
      <c r="O398" s="554"/>
      <c r="P398" s="554"/>
    </row>
    <row r="399" spans="1:16" s="556" customFormat="1" ht="15">
      <c r="A399" s="553"/>
      <c r="B399" s="553"/>
      <c r="C399" s="559"/>
      <c r="D399" s="554"/>
      <c r="E399" s="554"/>
      <c r="F399" s="554"/>
      <c r="G399" s="554"/>
      <c r="H399" s="554"/>
      <c r="I399" s="554"/>
      <c r="J399" s="554"/>
      <c r="K399" s="554"/>
      <c r="L399" s="554"/>
      <c r="M399" s="554"/>
      <c r="N399" s="554"/>
      <c r="O399" s="554"/>
      <c r="P399" s="554"/>
    </row>
    <row r="400" spans="1:16" s="556" customFormat="1" ht="15">
      <c r="A400" s="553"/>
      <c r="B400" s="553"/>
      <c r="C400" s="559"/>
      <c r="D400" s="554"/>
      <c r="E400" s="554"/>
      <c r="F400" s="554"/>
      <c r="G400" s="554"/>
      <c r="H400" s="554"/>
      <c r="I400" s="554"/>
      <c r="J400" s="554"/>
      <c r="K400" s="554"/>
      <c r="L400" s="554"/>
      <c r="M400" s="554"/>
      <c r="N400" s="554"/>
      <c r="O400" s="554"/>
      <c r="P400" s="554"/>
    </row>
    <row r="401" spans="1:16" s="556" customFormat="1" ht="15">
      <c r="A401" s="553"/>
      <c r="B401" s="553"/>
      <c r="C401" s="559"/>
      <c r="D401" s="554"/>
      <c r="E401" s="554"/>
      <c r="F401" s="554"/>
      <c r="G401" s="554"/>
      <c r="H401" s="554"/>
      <c r="I401" s="554"/>
      <c r="J401" s="554"/>
      <c r="K401" s="554"/>
      <c r="L401" s="554"/>
      <c r="M401" s="554"/>
      <c r="N401" s="554"/>
      <c r="O401" s="554"/>
      <c r="P401" s="554"/>
    </row>
    <row r="402" spans="1:16" s="556" customFormat="1" ht="15">
      <c r="A402" s="553"/>
      <c r="B402" s="553"/>
      <c r="C402" s="559"/>
      <c r="D402" s="554"/>
      <c r="E402" s="554"/>
      <c r="F402" s="554"/>
      <c r="G402" s="554"/>
      <c r="H402" s="554"/>
      <c r="I402" s="554"/>
      <c r="J402" s="554"/>
      <c r="K402" s="554"/>
      <c r="L402" s="554"/>
      <c r="M402" s="554"/>
      <c r="N402" s="554"/>
      <c r="O402" s="554"/>
      <c r="P402" s="554"/>
    </row>
    <row r="403" spans="1:16" s="556" customFormat="1" ht="15">
      <c r="A403" s="553"/>
      <c r="B403" s="553"/>
      <c r="C403" s="559"/>
      <c r="D403" s="554"/>
      <c r="E403" s="554"/>
      <c r="F403" s="554"/>
      <c r="G403" s="554"/>
      <c r="H403" s="554"/>
      <c r="I403" s="554"/>
      <c r="J403" s="554"/>
      <c r="K403" s="554"/>
      <c r="L403" s="554"/>
      <c r="M403" s="554"/>
      <c r="N403" s="554"/>
      <c r="O403" s="554"/>
      <c r="P403" s="554"/>
    </row>
    <row r="404" spans="1:16" s="556" customFormat="1" ht="15">
      <c r="A404" s="553"/>
      <c r="B404" s="553"/>
      <c r="C404" s="559"/>
      <c r="D404" s="554"/>
      <c r="E404" s="554"/>
      <c r="F404" s="554"/>
      <c r="G404" s="554"/>
      <c r="H404" s="554"/>
      <c r="I404" s="554"/>
      <c r="J404" s="554"/>
      <c r="K404" s="554"/>
      <c r="L404" s="554"/>
      <c r="M404" s="554"/>
      <c r="N404" s="554"/>
      <c r="O404" s="554"/>
      <c r="P404" s="554"/>
    </row>
    <row r="405" spans="1:16" s="556" customFormat="1" ht="15">
      <c r="A405" s="553"/>
      <c r="B405" s="553"/>
      <c r="C405" s="559"/>
      <c r="D405" s="554"/>
      <c r="E405" s="554"/>
      <c r="F405" s="554"/>
      <c r="G405" s="554"/>
      <c r="H405" s="554"/>
      <c r="I405" s="554"/>
      <c r="J405" s="554"/>
      <c r="K405" s="554"/>
      <c r="L405" s="554"/>
      <c r="M405" s="554"/>
      <c r="N405" s="554"/>
      <c r="O405" s="554"/>
      <c r="P405" s="554"/>
    </row>
    <row r="406" spans="1:16" s="556" customFormat="1" ht="15">
      <c r="A406" s="553"/>
      <c r="B406" s="553"/>
      <c r="C406" s="559"/>
      <c r="D406" s="554"/>
      <c r="E406" s="554"/>
      <c r="F406" s="554"/>
      <c r="G406" s="554"/>
      <c r="H406" s="554"/>
      <c r="I406" s="554"/>
      <c r="J406" s="554"/>
      <c r="K406" s="554"/>
      <c r="L406" s="554"/>
      <c r="M406" s="554"/>
      <c r="N406" s="554"/>
      <c r="O406" s="554"/>
      <c r="P406" s="554"/>
    </row>
    <row r="407" spans="1:16" s="556" customFormat="1" ht="15">
      <c r="A407" s="553"/>
      <c r="B407" s="553"/>
      <c r="C407" s="559"/>
      <c r="D407" s="554"/>
      <c r="E407" s="554"/>
      <c r="F407" s="554"/>
      <c r="G407" s="554"/>
      <c r="H407" s="554"/>
      <c r="I407" s="554"/>
      <c r="J407" s="554"/>
      <c r="K407" s="554"/>
      <c r="L407" s="554"/>
      <c r="M407" s="554"/>
      <c r="N407" s="554"/>
      <c r="O407" s="554"/>
      <c r="P407" s="554"/>
    </row>
    <row r="408" spans="1:16" s="556" customFormat="1" ht="15">
      <c r="A408" s="553"/>
      <c r="B408" s="553"/>
      <c r="C408" s="559"/>
      <c r="D408" s="554"/>
      <c r="E408" s="554"/>
      <c r="F408" s="554"/>
      <c r="G408" s="554"/>
      <c r="H408" s="554"/>
      <c r="I408" s="554"/>
      <c r="J408" s="554"/>
      <c r="K408" s="554"/>
      <c r="L408" s="554"/>
      <c r="M408" s="554"/>
      <c r="N408" s="554"/>
      <c r="O408" s="554"/>
      <c r="P408" s="554"/>
    </row>
    <row r="409" spans="1:16" s="556" customFormat="1" ht="15">
      <c r="A409" s="553"/>
      <c r="B409" s="553"/>
      <c r="C409" s="559"/>
      <c r="D409" s="554"/>
      <c r="E409" s="554"/>
      <c r="F409" s="554"/>
      <c r="G409" s="554"/>
      <c r="H409" s="554"/>
      <c r="I409" s="554"/>
      <c r="J409" s="554"/>
      <c r="K409" s="554"/>
      <c r="L409" s="554"/>
      <c r="M409" s="554"/>
      <c r="N409" s="554"/>
      <c r="O409" s="554"/>
      <c r="P409" s="554"/>
    </row>
    <row r="410" spans="1:16" s="556" customFormat="1" ht="15">
      <c r="A410" s="553"/>
      <c r="B410" s="553"/>
      <c r="C410" s="559"/>
      <c r="D410" s="554"/>
      <c r="E410" s="554"/>
      <c r="F410" s="554"/>
      <c r="G410" s="554"/>
      <c r="H410" s="554"/>
      <c r="I410" s="554"/>
      <c r="J410" s="554"/>
      <c r="K410" s="554"/>
      <c r="L410" s="554"/>
      <c r="M410" s="554"/>
      <c r="N410" s="554"/>
      <c r="O410" s="554"/>
      <c r="P410" s="554"/>
    </row>
    <row r="411" spans="1:16" s="556" customFormat="1" ht="15">
      <c r="A411" s="553"/>
      <c r="B411" s="553"/>
      <c r="C411" s="559"/>
      <c r="D411" s="554"/>
      <c r="E411" s="554"/>
      <c r="F411" s="554"/>
      <c r="G411" s="554"/>
      <c r="H411" s="554"/>
      <c r="I411" s="554"/>
      <c r="J411" s="554"/>
      <c r="K411" s="554"/>
      <c r="L411" s="554"/>
      <c r="M411" s="554"/>
      <c r="N411" s="554"/>
      <c r="O411" s="554"/>
      <c r="P411" s="554"/>
    </row>
    <row r="412" spans="1:16" s="556" customFormat="1" ht="15">
      <c r="A412" s="553"/>
      <c r="B412" s="553"/>
      <c r="C412" s="559"/>
      <c r="D412" s="554"/>
      <c r="E412" s="554"/>
      <c r="F412" s="554"/>
      <c r="G412" s="554"/>
      <c r="H412" s="554"/>
      <c r="I412" s="554"/>
      <c r="J412" s="554"/>
      <c r="K412" s="554"/>
      <c r="L412" s="554"/>
      <c r="M412" s="554"/>
      <c r="N412" s="554"/>
      <c r="O412" s="554"/>
      <c r="P412" s="554"/>
    </row>
    <row r="413" spans="1:16" s="556" customFormat="1" ht="15">
      <c r="A413" s="553"/>
      <c r="B413" s="553"/>
      <c r="C413" s="559"/>
      <c r="D413" s="554"/>
      <c r="E413" s="554"/>
      <c r="F413" s="554"/>
      <c r="G413" s="554"/>
      <c r="H413" s="554"/>
      <c r="I413" s="554"/>
      <c r="J413" s="554"/>
      <c r="K413" s="554"/>
      <c r="L413" s="554"/>
      <c r="M413" s="554"/>
      <c r="N413" s="554"/>
      <c r="O413" s="554"/>
      <c r="P413" s="554"/>
    </row>
    <row r="414" spans="1:16" s="556" customFormat="1" ht="15">
      <c r="A414" s="553"/>
      <c r="B414" s="553"/>
      <c r="C414" s="553"/>
      <c r="D414" s="554"/>
      <c r="E414" s="554"/>
      <c r="F414" s="554"/>
      <c r="G414" s="554"/>
      <c r="H414" s="554"/>
      <c r="I414" s="554"/>
      <c r="J414" s="554"/>
      <c r="K414" s="554"/>
      <c r="L414" s="554"/>
      <c r="M414" s="554"/>
      <c r="N414" s="554"/>
      <c r="O414" s="554"/>
      <c r="P414" s="554"/>
    </row>
    <row r="415" spans="1:16" s="556" customFormat="1" ht="15">
      <c r="A415" s="553"/>
      <c r="B415" s="553"/>
      <c r="C415" s="553"/>
      <c r="D415" s="554"/>
      <c r="E415" s="554"/>
      <c r="F415" s="554"/>
      <c r="G415" s="554"/>
      <c r="H415" s="554"/>
      <c r="I415" s="554"/>
      <c r="J415" s="554"/>
      <c r="K415" s="554"/>
      <c r="L415" s="554"/>
      <c r="M415" s="554"/>
      <c r="N415" s="554"/>
      <c r="O415" s="554"/>
      <c r="P415" s="554"/>
    </row>
    <row r="416" spans="1:16" s="556" customFormat="1" ht="15">
      <c r="A416" s="553"/>
      <c r="B416" s="553"/>
      <c r="C416" s="553"/>
      <c r="D416" s="554"/>
      <c r="E416" s="554"/>
      <c r="F416" s="554"/>
      <c r="G416" s="554"/>
      <c r="H416" s="554"/>
      <c r="I416" s="554"/>
      <c r="J416" s="554"/>
      <c r="K416" s="554"/>
      <c r="L416" s="554"/>
      <c r="M416" s="554"/>
      <c r="N416" s="554"/>
      <c r="O416" s="554"/>
      <c r="P416" s="554"/>
    </row>
    <row r="417" spans="1:16" s="556" customFormat="1" ht="15">
      <c r="A417" s="553"/>
      <c r="B417" s="553"/>
      <c r="C417" s="553"/>
      <c r="D417" s="554"/>
      <c r="E417" s="554"/>
      <c r="F417" s="554"/>
      <c r="G417" s="554"/>
      <c r="H417" s="554"/>
      <c r="I417" s="554"/>
      <c r="J417" s="554"/>
      <c r="K417" s="554"/>
      <c r="L417" s="554"/>
      <c r="M417" s="554"/>
      <c r="N417" s="554"/>
      <c r="O417" s="554"/>
      <c r="P417" s="554"/>
    </row>
    <row r="418" spans="1:16" s="556" customFormat="1" ht="15">
      <c r="A418" s="553"/>
      <c r="B418" s="553"/>
      <c r="C418" s="553"/>
      <c r="D418" s="554"/>
      <c r="E418" s="554"/>
      <c r="F418" s="554"/>
      <c r="G418" s="554"/>
      <c r="H418" s="554"/>
      <c r="I418" s="554"/>
      <c r="J418" s="554"/>
      <c r="K418" s="554"/>
      <c r="L418" s="554"/>
      <c r="M418" s="554"/>
      <c r="N418" s="554"/>
      <c r="O418" s="554"/>
      <c r="P418" s="554"/>
    </row>
    <row r="419" spans="1:16" s="556" customFormat="1" ht="15">
      <c r="A419" s="553"/>
      <c r="B419" s="553"/>
      <c r="C419" s="553"/>
      <c r="D419" s="554"/>
      <c r="E419" s="554"/>
      <c r="F419" s="554"/>
      <c r="G419" s="554"/>
      <c r="H419" s="554"/>
      <c r="I419" s="554"/>
      <c r="J419" s="554"/>
      <c r="K419" s="554"/>
      <c r="L419" s="554"/>
      <c r="M419" s="554"/>
      <c r="N419" s="554"/>
      <c r="O419" s="554"/>
      <c r="P419" s="554"/>
    </row>
    <row r="420" spans="1:16" s="556" customFormat="1" ht="15">
      <c r="A420" s="553"/>
      <c r="B420" s="553"/>
      <c r="C420" s="553"/>
      <c r="D420" s="554"/>
      <c r="E420" s="554"/>
      <c r="F420" s="554"/>
      <c r="G420" s="554"/>
      <c r="H420" s="554"/>
      <c r="I420" s="554"/>
      <c r="J420" s="554"/>
      <c r="K420" s="554"/>
      <c r="L420" s="554"/>
      <c r="M420" s="554"/>
      <c r="N420" s="554"/>
      <c r="O420" s="554"/>
      <c r="P420" s="554"/>
    </row>
    <row r="421" spans="1:16" s="556" customFormat="1" ht="15">
      <c r="A421" s="553"/>
      <c r="B421" s="553"/>
      <c r="C421" s="553"/>
      <c r="D421" s="554"/>
      <c r="E421" s="554"/>
      <c r="F421" s="554"/>
      <c r="G421" s="554"/>
      <c r="H421" s="554"/>
      <c r="I421" s="554"/>
      <c r="J421" s="554"/>
      <c r="K421" s="554"/>
      <c r="L421" s="554"/>
      <c r="M421" s="554"/>
      <c r="N421" s="554"/>
      <c r="O421" s="554"/>
      <c r="P421" s="554"/>
    </row>
    <row r="422" spans="1:16" s="556" customFormat="1" ht="15">
      <c r="A422" s="553"/>
      <c r="B422" s="553"/>
      <c r="C422" s="553"/>
      <c r="D422" s="554"/>
      <c r="E422" s="554"/>
      <c r="F422" s="554"/>
      <c r="G422" s="554"/>
      <c r="H422" s="554"/>
      <c r="I422" s="554"/>
      <c r="J422" s="554"/>
      <c r="K422" s="554"/>
      <c r="L422" s="554"/>
      <c r="M422" s="554"/>
      <c r="N422" s="554"/>
      <c r="O422" s="554"/>
      <c r="P422" s="554"/>
    </row>
    <row r="423" spans="1:16" s="556" customFormat="1" ht="15">
      <c r="A423" s="553"/>
      <c r="B423" s="553"/>
      <c r="C423" s="553"/>
      <c r="D423" s="554"/>
      <c r="E423" s="554"/>
      <c r="F423" s="554"/>
      <c r="G423" s="554"/>
      <c r="H423" s="554"/>
      <c r="I423" s="554"/>
      <c r="J423" s="554"/>
      <c r="K423" s="554"/>
      <c r="L423" s="554"/>
      <c r="M423" s="554"/>
      <c r="N423" s="554"/>
      <c r="O423" s="554"/>
      <c r="P423" s="554"/>
    </row>
    <row r="424" spans="1:16" s="556" customFormat="1" ht="15">
      <c r="A424" s="553"/>
      <c r="B424" s="553"/>
      <c r="C424" s="553"/>
      <c r="D424" s="554"/>
      <c r="E424" s="554"/>
      <c r="F424" s="554"/>
      <c r="G424" s="554"/>
      <c r="H424" s="554"/>
      <c r="I424" s="554"/>
      <c r="J424" s="554"/>
      <c r="K424" s="554"/>
      <c r="L424" s="554"/>
      <c r="M424" s="554"/>
      <c r="N424" s="554"/>
      <c r="O424" s="554"/>
      <c r="P424" s="554"/>
    </row>
    <row r="425" spans="1:16" s="556" customFormat="1" ht="15">
      <c r="A425" s="553"/>
      <c r="B425" s="553"/>
      <c r="C425" s="553"/>
      <c r="D425" s="554"/>
      <c r="E425" s="554"/>
      <c r="F425" s="554"/>
      <c r="G425" s="554"/>
      <c r="H425" s="554"/>
      <c r="I425" s="554"/>
      <c r="J425" s="554"/>
      <c r="K425" s="554"/>
      <c r="L425" s="554"/>
      <c r="M425" s="554"/>
      <c r="N425" s="554"/>
      <c r="O425" s="554"/>
      <c r="P425" s="554"/>
    </row>
    <row r="426" spans="1:16" s="556" customFormat="1" ht="15">
      <c r="A426" s="553"/>
      <c r="B426" s="553"/>
      <c r="C426" s="553"/>
      <c r="D426" s="554"/>
      <c r="E426" s="554"/>
      <c r="F426" s="554"/>
      <c r="G426" s="554"/>
      <c r="H426" s="554"/>
      <c r="I426" s="554"/>
      <c r="J426" s="554"/>
      <c r="K426" s="554"/>
      <c r="L426" s="554"/>
      <c r="M426" s="554"/>
      <c r="N426" s="554"/>
      <c r="O426" s="554"/>
      <c r="P426" s="554"/>
    </row>
    <row r="427" spans="1:16" s="556" customFormat="1" ht="15">
      <c r="A427" s="553"/>
      <c r="B427" s="553"/>
      <c r="C427" s="553"/>
      <c r="D427" s="554"/>
      <c r="E427" s="554"/>
      <c r="F427" s="554"/>
      <c r="G427" s="554"/>
      <c r="H427" s="554"/>
      <c r="I427" s="554"/>
      <c r="J427" s="554"/>
      <c r="K427" s="554"/>
      <c r="L427" s="554"/>
      <c r="M427" s="554"/>
      <c r="N427" s="554"/>
      <c r="O427" s="554"/>
      <c r="P427" s="554"/>
    </row>
    <row r="428" spans="1:16" s="556" customFormat="1" ht="15">
      <c r="A428" s="553"/>
      <c r="B428" s="553"/>
      <c r="C428" s="553"/>
      <c r="D428" s="554"/>
      <c r="E428" s="554"/>
      <c r="F428" s="554"/>
      <c r="G428" s="554"/>
      <c r="H428" s="554"/>
      <c r="I428" s="554"/>
      <c r="J428" s="554"/>
      <c r="K428" s="554"/>
      <c r="L428" s="554"/>
      <c r="M428" s="554"/>
      <c r="N428" s="554"/>
      <c r="O428" s="554"/>
      <c r="P428" s="554"/>
    </row>
    <row r="429" spans="1:16" s="556" customFormat="1" ht="15">
      <c r="A429" s="553"/>
      <c r="B429" s="553"/>
      <c r="C429" s="553"/>
      <c r="D429" s="554"/>
      <c r="E429" s="554"/>
      <c r="F429" s="554"/>
      <c r="G429" s="554"/>
      <c r="H429" s="554"/>
      <c r="I429" s="554"/>
      <c r="J429" s="554"/>
      <c r="K429" s="554"/>
      <c r="L429" s="554"/>
      <c r="M429" s="554"/>
      <c r="N429" s="554"/>
      <c r="O429" s="554"/>
      <c r="P429" s="554"/>
    </row>
    <row r="430" spans="1:16" s="556" customFormat="1" ht="15">
      <c r="A430" s="553"/>
      <c r="B430" s="553"/>
      <c r="C430" s="553"/>
      <c r="D430" s="554"/>
      <c r="E430" s="554"/>
      <c r="F430" s="554"/>
      <c r="G430" s="554"/>
      <c r="H430" s="554"/>
      <c r="I430" s="554"/>
      <c r="J430" s="554"/>
      <c r="K430" s="554"/>
      <c r="L430" s="554"/>
      <c r="M430" s="554"/>
      <c r="N430" s="554"/>
      <c r="O430" s="554"/>
      <c r="P430" s="554"/>
    </row>
    <row r="431" spans="1:16" s="556" customFormat="1" ht="15">
      <c r="A431" s="553"/>
      <c r="B431" s="553"/>
      <c r="C431" s="553"/>
      <c r="D431" s="554"/>
      <c r="E431" s="554"/>
      <c r="F431" s="554"/>
      <c r="G431" s="554"/>
      <c r="H431" s="554"/>
      <c r="I431" s="554"/>
      <c r="J431" s="554"/>
      <c r="K431" s="554"/>
      <c r="L431" s="554"/>
      <c r="M431" s="554"/>
      <c r="N431" s="554"/>
      <c r="O431" s="554"/>
      <c r="P431" s="554"/>
    </row>
    <row r="432" spans="1:16" s="556" customFormat="1" ht="15">
      <c r="A432" s="553"/>
      <c r="B432" s="553"/>
      <c r="C432" s="553"/>
      <c r="D432" s="554"/>
      <c r="E432" s="554"/>
      <c r="F432" s="554"/>
      <c r="G432" s="554"/>
      <c r="H432" s="554"/>
      <c r="I432" s="554"/>
      <c r="J432" s="554"/>
      <c r="K432" s="554"/>
      <c r="L432" s="554"/>
      <c r="M432" s="554"/>
      <c r="N432" s="554"/>
      <c r="O432" s="554"/>
      <c r="P432" s="554"/>
    </row>
    <row r="433" spans="1:16" s="556" customFormat="1" ht="15">
      <c r="A433" s="553"/>
      <c r="B433" s="553"/>
      <c r="C433" s="553"/>
      <c r="D433" s="554"/>
      <c r="E433" s="554"/>
      <c r="F433" s="554"/>
      <c r="G433" s="554"/>
      <c r="H433" s="554"/>
      <c r="I433" s="554"/>
      <c r="J433" s="554"/>
      <c r="K433" s="554"/>
      <c r="L433" s="554"/>
      <c r="M433" s="554"/>
      <c r="N433" s="554"/>
      <c r="O433" s="554"/>
      <c r="P433" s="554"/>
    </row>
    <row r="434" spans="1:16" s="556" customFormat="1" ht="15">
      <c r="A434" s="553"/>
      <c r="B434" s="553"/>
      <c r="C434" s="553"/>
      <c r="D434" s="554"/>
      <c r="E434" s="554"/>
      <c r="F434" s="554"/>
      <c r="G434" s="554"/>
      <c r="H434" s="554"/>
      <c r="I434" s="554"/>
      <c r="J434" s="554"/>
      <c r="K434" s="554"/>
      <c r="L434" s="554"/>
      <c r="M434" s="554"/>
      <c r="N434" s="554"/>
      <c r="O434" s="554"/>
      <c r="P434" s="554"/>
    </row>
    <row r="435" spans="1:16" s="556" customFormat="1" ht="15">
      <c r="A435" s="553"/>
      <c r="B435" s="553"/>
      <c r="C435" s="553"/>
      <c r="D435" s="554"/>
      <c r="E435" s="554"/>
      <c r="F435" s="554"/>
      <c r="G435" s="554"/>
      <c r="H435" s="554"/>
      <c r="I435" s="554"/>
      <c r="J435" s="554"/>
      <c r="K435" s="554"/>
      <c r="L435" s="554"/>
      <c r="M435" s="554"/>
      <c r="N435" s="554"/>
      <c r="O435" s="554"/>
      <c r="P435" s="554"/>
    </row>
    <row r="436" spans="1:16" s="556" customFormat="1" ht="15">
      <c r="A436" s="553"/>
      <c r="B436" s="553"/>
      <c r="C436" s="553"/>
      <c r="D436" s="554"/>
      <c r="E436" s="554"/>
      <c r="F436" s="554"/>
      <c r="G436" s="554"/>
      <c r="H436" s="554"/>
      <c r="I436" s="554"/>
      <c r="J436" s="554"/>
      <c r="K436" s="554"/>
      <c r="L436" s="554"/>
      <c r="M436" s="554"/>
      <c r="N436" s="554"/>
      <c r="O436" s="554"/>
      <c r="P436" s="554"/>
    </row>
    <row r="437" spans="1:16" s="556" customFormat="1" ht="15">
      <c r="A437" s="553"/>
      <c r="B437" s="553"/>
      <c r="C437" s="553"/>
      <c r="D437" s="554"/>
      <c r="E437" s="554"/>
      <c r="F437" s="554"/>
      <c r="G437" s="554"/>
      <c r="H437" s="554"/>
      <c r="I437" s="554"/>
      <c r="J437" s="554"/>
      <c r="K437" s="554"/>
      <c r="L437" s="554"/>
      <c r="M437" s="554"/>
      <c r="N437" s="554"/>
      <c r="O437" s="554"/>
      <c r="P437" s="554"/>
    </row>
    <row r="438" spans="1:16" s="556" customFormat="1" ht="15">
      <c r="A438" s="553"/>
      <c r="B438" s="553"/>
      <c r="C438" s="553"/>
      <c r="D438" s="554"/>
      <c r="E438" s="554"/>
      <c r="F438" s="554"/>
      <c r="G438" s="554"/>
      <c r="H438" s="554"/>
      <c r="I438" s="554"/>
      <c r="J438" s="554"/>
      <c r="K438" s="554"/>
      <c r="L438" s="554"/>
      <c r="M438" s="554"/>
      <c r="N438" s="554"/>
      <c r="O438" s="554"/>
      <c r="P438" s="554"/>
    </row>
    <row r="439" spans="1:16" s="556" customFormat="1" ht="15">
      <c r="A439" s="553"/>
      <c r="B439" s="553"/>
      <c r="C439" s="553"/>
      <c r="D439" s="554"/>
      <c r="E439" s="554"/>
      <c r="F439" s="554"/>
      <c r="G439" s="554"/>
      <c r="H439" s="554"/>
      <c r="I439" s="554"/>
      <c r="J439" s="554"/>
      <c r="K439" s="554"/>
      <c r="L439" s="554"/>
      <c r="M439" s="554"/>
      <c r="N439" s="554"/>
      <c r="O439" s="554"/>
      <c r="P439" s="554"/>
    </row>
    <row r="440" spans="1:16" s="556" customFormat="1" ht="15">
      <c r="A440" s="553"/>
      <c r="B440" s="553"/>
      <c r="C440" s="553"/>
      <c r="D440" s="554"/>
      <c r="E440" s="554"/>
      <c r="F440" s="554"/>
      <c r="G440" s="554"/>
      <c r="H440" s="554"/>
      <c r="I440" s="554"/>
      <c r="J440" s="554"/>
      <c r="K440" s="554"/>
      <c r="L440" s="554"/>
      <c r="M440" s="554"/>
      <c r="N440" s="554"/>
      <c r="O440" s="554"/>
      <c r="P440" s="554"/>
    </row>
    <row r="441" spans="1:16" s="556" customFormat="1" ht="15">
      <c r="A441" s="553"/>
      <c r="B441" s="553"/>
      <c r="C441" s="553"/>
      <c r="D441" s="554"/>
      <c r="E441" s="554"/>
      <c r="F441" s="554"/>
      <c r="G441" s="554"/>
      <c r="H441" s="554"/>
      <c r="I441" s="554"/>
      <c r="J441" s="554"/>
      <c r="K441" s="554"/>
      <c r="L441" s="554"/>
      <c r="M441" s="554"/>
      <c r="N441" s="554"/>
      <c r="O441" s="554"/>
      <c r="P441" s="554"/>
    </row>
    <row r="442" spans="1:16" s="556" customFormat="1" ht="15">
      <c r="A442" s="553"/>
      <c r="B442" s="553"/>
      <c r="C442" s="553"/>
      <c r="D442" s="554"/>
      <c r="E442" s="554"/>
      <c r="F442" s="554"/>
      <c r="G442" s="554"/>
      <c r="H442" s="554"/>
      <c r="I442" s="554"/>
      <c r="J442" s="554"/>
      <c r="K442" s="554"/>
      <c r="L442" s="554"/>
      <c r="M442" s="554"/>
      <c r="N442" s="554"/>
      <c r="O442" s="554"/>
      <c r="P442" s="554"/>
    </row>
    <row r="443" spans="1:16" s="556" customFormat="1" ht="15">
      <c r="A443" s="553"/>
      <c r="B443" s="553"/>
      <c r="C443" s="553"/>
      <c r="D443" s="554"/>
      <c r="E443" s="554"/>
      <c r="F443" s="554"/>
      <c r="G443" s="554"/>
      <c r="H443" s="554"/>
      <c r="I443" s="554"/>
      <c r="J443" s="554"/>
      <c r="K443" s="554"/>
      <c r="L443" s="554"/>
      <c r="M443" s="554"/>
      <c r="N443" s="554"/>
      <c r="O443" s="554"/>
      <c r="P443" s="554"/>
    </row>
    <row r="444" spans="1:16" s="556" customFormat="1" ht="15">
      <c r="A444" s="553"/>
      <c r="B444" s="553"/>
      <c r="C444" s="553"/>
      <c r="D444" s="554"/>
      <c r="E444" s="554"/>
      <c r="F444" s="554"/>
      <c r="G444" s="554"/>
      <c r="H444" s="554"/>
      <c r="I444" s="554"/>
      <c r="J444" s="554"/>
      <c r="K444" s="554"/>
      <c r="L444" s="554"/>
      <c r="M444" s="554"/>
      <c r="N444" s="554"/>
      <c r="O444" s="554"/>
      <c r="P444" s="554"/>
    </row>
    <row r="445" spans="1:16" s="556" customFormat="1" ht="15">
      <c r="A445" s="553"/>
      <c r="B445" s="553"/>
      <c r="C445" s="553"/>
      <c r="D445" s="554"/>
      <c r="E445" s="554"/>
      <c r="F445" s="554"/>
      <c r="G445" s="554"/>
      <c r="H445" s="554"/>
      <c r="I445" s="554"/>
      <c r="J445" s="554"/>
      <c r="K445" s="554"/>
      <c r="L445" s="554"/>
      <c r="M445" s="554"/>
      <c r="N445" s="554"/>
      <c r="O445" s="554"/>
      <c r="P445" s="554"/>
    </row>
    <row r="446" spans="1:16" s="556" customFormat="1" ht="15">
      <c r="A446" s="553"/>
      <c r="B446" s="553"/>
      <c r="C446" s="553"/>
      <c r="D446" s="554"/>
      <c r="E446" s="554"/>
      <c r="F446" s="554"/>
      <c r="G446" s="554"/>
      <c r="H446" s="554"/>
      <c r="I446" s="554"/>
      <c r="J446" s="554"/>
      <c r="K446" s="554"/>
      <c r="L446" s="554"/>
      <c r="M446" s="554"/>
      <c r="N446" s="554"/>
      <c r="O446" s="554"/>
      <c r="P446" s="554"/>
    </row>
    <row r="447" spans="1:16" s="556" customFormat="1" ht="15">
      <c r="A447" s="553"/>
      <c r="B447" s="553"/>
      <c r="C447" s="553"/>
      <c r="D447" s="554"/>
      <c r="E447" s="554"/>
      <c r="F447" s="554"/>
      <c r="G447" s="554"/>
      <c r="H447" s="554"/>
      <c r="I447" s="554"/>
      <c r="J447" s="554"/>
      <c r="K447" s="554"/>
      <c r="L447" s="554"/>
      <c r="M447" s="554"/>
      <c r="N447" s="554"/>
      <c r="O447" s="554"/>
      <c r="P447" s="554"/>
    </row>
    <row r="448" spans="1:16" s="556" customFormat="1" ht="15">
      <c r="A448" s="553"/>
      <c r="B448" s="553"/>
      <c r="C448" s="553"/>
      <c r="D448" s="554"/>
      <c r="E448" s="554"/>
      <c r="F448" s="554"/>
      <c r="G448" s="554"/>
      <c r="H448" s="554"/>
      <c r="I448" s="554"/>
      <c r="J448" s="554"/>
      <c r="K448" s="554"/>
      <c r="L448" s="554"/>
      <c r="M448" s="554"/>
      <c r="N448" s="554"/>
      <c r="O448" s="554"/>
      <c r="P448" s="554"/>
    </row>
    <row r="449" spans="1:16" s="556" customFormat="1" ht="15">
      <c r="A449" s="553"/>
      <c r="B449" s="553"/>
      <c r="C449" s="553"/>
      <c r="D449" s="554"/>
      <c r="E449" s="554"/>
      <c r="F449" s="554"/>
      <c r="G449" s="554"/>
      <c r="H449" s="554"/>
      <c r="I449" s="554"/>
      <c r="J449" s="554"/>
      <c r="K449" s="554"/>
      <c r="L449" s="554"/>
      <c r="M449" s="554"/>
      <c r="N449" s="554"/>
      <c r="O449" s="554"/>
      <c r="P449" s="554"/>
    </row>
    <row r="450" spans="1:16" s="556" customFormat="1" ht="15">
      <c r="A450" s="553"/>
      <c r="B450" s="553"/>
      <c r="C450" s="553"/>
      <c r="D450" s="554"/>
      <c r="E450" s="554"/>
      <c r="F450" s="554"/>
      <c r="G450" s="554"/>
      <c r="H450" s="554"/>
      <c r="I450" s="554"/>
      <c r="J450" s="554"/>
      <c r="K450" s="554"/>
      <c r="L450" s="554"/>
      <c r="M450" s="554"/>
      <c r="N450" s="554"/>
      <c r="O450" s="554"/>
      <c r="P450" s="554"/>
    </row>
    <row r="451" spans="1:16" s="556" customFormat="1" ht="15">
      <c r="A451" s="553"/>
      <c r="B451" s="553"/>
      <c r="C451" s="553"/>
      <c r="D451" s="554"/>
      <c r="E451" s="554"/>
      <c r="F451" s="554"/>
      <c r="G451" s="554"/>
      <c r="H451" s="554"/>
      <c r="I451" s="554"/>
      <c r="J451" s="554"/>
      <c r="K451" s="554"/>
      <c r="L451" s="554"/>
      <c r="M451" s="554"/>
      <c r="N451" s="554"/>
      <c r="O451" s="554"/>
      <c r="P451" s="554"/>
    </row>
    <row r="452" spans="1:16" s="556" customFormat="1" ht="15">
      <c r="A452" s="553"/>
      <c r="B452" s="553"/>
      <c r="C452" s="553"/>
      <c r="D452" s="554"/>
      <c r="E452" s="554"/>
      <c r="F452" s="554"/>
      <c r="G452" s="554"/>
      <c r="H452" s="554"/>
      <c r="I452" s="554"/>
      <c r="J452" s="554"/>
      <c r="K452" s="554"/>
      <c r="L452" s="554"/>
      <c r="M452" s="554"/>
      <c r="N452" s="554"/>
      <c r="O452" s="554"/>
      <c r="P452" s="554"/>
    </row>
    <row r="453" spans="1:16" s="556" customFormat="1" ht="15">
      <c r="A453" s="553"/>
      <c r="B453" s="553"/>
      <c r="C453" s="553"/>
      <c r="D453" s="554"/>
      <c r="E453" s="554"/>
      <c r="F453" s="554"/>
      <c r="G453" s="554"/>
      <c r="H453" s="554"/>
      <c r="I453" s="554"/>
      <c r="J453" s="554"/>
      <c r="K453" s="554"/>
      <c r="L453" s="554"/>
      <c r="M453" s="554"/>
      <c r="N453" s="554"/>
      <c r="O453" s="554"/>
      <c r="P453" s="554"/>
    </row>
    <row r="454" spans="1:16" s="556" customFormat="1" ht="15">
      <c r="A454" s="553"/>
      <c r="B454" s="553"/>
      <c r="C454" s="553"/>
      <c r="D454" s="554"/>
      <c r="E454" s="554"/>
      <c r="F454" s="554"/>
      <c r="G454" s="554"/>
      <c r="H454" s="554"/>
      <c r="I454" s="554"/>
      <c r="J454" s="554"/>
      <c r="K454" s="554"/>
      <c r="L454" s="554"/>
      <c r="M454" s="554"/>
      <c r="N454" s="554"/>
      <c r="O454" s="554"/>
      <c r="P454" s="554"/>
    </row>
    <row r="455" spans="1:16" s="556" customFormat="1" ht="15">
      <c r="A455" s="553"/>
      <c r="B455" s="553"/>
      <c r="C455" s="553"/>
      <c r="D455" s="554"/>
      <c r="E455" s="554"/>
      <c r="F455" s="554"/>
      <c r="G455" s="554"/>
      <c r="H455" s="554"/>
      <c r="I455" s="554"/>
      <c r="J455" s="554"/>
      <c r="K455" s="554"/>
      <c r="L455" s="554"/>
      <c r="M455" s="554"/>
      <c r="N455" s="554"/>
      <c r="O455" s="554"/>
      <c r="P455" s="554"/>
    </row>
    <row r="456" spans="1:16" s="556" customFormat="1" ht="15">
      <c r="A456" s="553"/>
      <c r="B456" s="553"/>
      <c r="C456" s="553"/>
      <c r="D456" s="554"/>
      <c r="E456" s="554"/>
      <c r="F456" s="554"/>
      <c r="G456" s="554"/>
      <c r="H456" s="554"/>
      <c r="I456" s="554"/>
      <c r="J456" s="554"/>
      <c r="K456" s="554"/>
      <c r="L456" s="554"/>
      <c r="M456" s="554"/>
      <c r="N456" s="554"/>
      <c r="O456" s="554"/>
      <c r="P456" s="554"/>
    </row>
    <row r="457" spans="1:16" s="556" customFormat="1" ht="15">
      <c r="A457" s="553"/>
      <c r="B457" s="553"/>
      <c r="C457" s="553"/>
      <c r="D457" s="554"/>
      <c r="E457" s="554"/>
      <c r="F457" s="554"/>
      <c r="G457" s="554"/>
      <c r="H457" s="554"/>
      <c r="I457" s="554"/>
      <c r="J457" s="554"/>
      <c r="K457" s="554"/>
      <c r="L457" s="554"/>
      <c r="M457" s="554"/>
      <c r="N457" s="554"/>
      <c r="O457" s="554"/>
      <c r="P457" s="554"/>
    </row>
    <row r="458" spans="1:16" s="556" customFormat="1" ht="15">
      <c r="A458" s="553"/>
      <c r="B458" s="553"/>
      <c r="C458" s="553"/>
      <c r="D458" s="554"/>
      <c r="E458" s="554"/>
      <c r="F458" s="554"/>
      <c r="G458" s="554"/>
      <c r="H458" s="554"/>
      <c r="I458" s="554"/>
      <c r="J458" s="554"/>
      <c r="K458" s="554"/>
      <c r="L458" s="554"/>
      <c r="M458" s="554"/>
      <c r="N458" s="554"/>
      <c r="O458" s="554"/>
      <c r="P458" s="554"/>
    </row>
    <row r="459" spans="1:16" s="556" customFormat="1" ht="15">
      <c r="A459" s="553"/>
      <c r="B459" s="553"/>
      <c r="C459" s="553"/>
      <c r="D459" s="554"/>
      <c r="E459" s="554"/>
      <c r="F459" s="554"/>
      <c r="G459" s="554"/>
      <c r="H459" s="554"/>
      <c r="I459" s="554"/>
      <c r="J459" s="554"/>
      <c r="K459" s="554"/>
      <c r="L459" s="554"/>
      <c r="M459" s="554"/>
      <c r="N459" s="554"/>
      <c r="O459" s="554"/>
      <c r="P459" s="554"/>
    </row>
    <row r="460" spans="1:16" s="556" customFormat="1" ht="15">
      <c r="A460" s="553"/>
      <c r="B460" s="553"/>
      <c r="C460" s="553"/>
      <c r="D460" s="554"/>
      <c r="E460" s="554"/>
      <c r="F460" s="554"/>
      <c r="G460" s="554"/>
      <c r="H460" s="554"/>
      <c r="I460" s="554"/>
      <c r="J460" s="554"/>
      <c r="K460" s="554"/>
      <c r="L460" s="554"/>
      <c r="M460" s="554"/>
      <c r="N460" s="554"/>
      <c r="O460" s="554"/>
      <c r="P460" s="554"/>
    </row>
    <row r="461" spans="1:16" s="556" customFormat="1" ht="15">
      <c r="A461" s="553"/>
      <c r="B461" s="553"/>
      <c r="C461" s="553"/>
      <c r="D461" s="554"/>
      <c r="E461" s="554"/>
      <c r="F461" s="554"/>
      <c r="G461" s="554"/>
      <c r="H461" s="554"/>
      <c r="I461" s="554"/>
      <c r="J461" s="554"/>
      <c r="K461" s="554"/>
      <c r="L461" s="554"/>
      <c r="M461" s="554"/>
      <c r="N461" s="554"/>
      <c r="O461" s="554"/>
      <c r="P461" s="554"/>
    </row>
    <row r="462" spans="1:16" s="556" customFormat="1" ht="15">
      <c r="A462" s="553"/>
      <c r="B462" s="553"/>
      <c r="C462" s="553"/>
      <c r="D462" s="554"/>
      <c r="E462" s="554"/>
      <c r="F462" s="554"/>
      <c r="G462" s="554"/>
      <c r="H462" s="554"/>
      <c r="I462" s="554"/>
      <c r="J462" s="554"/>
      <c r="K462" s="554"/>
      <c r="L462" s="554"/>
      <c r="M462" s="554"/>
      <c r="N462" s="554"/>
      <c r="O462" s="554"/>
      <c r="P462" s="554"/>
    </row>
    <row r="463" spans="1:16" s="556" customFormat="1" ht="15">
      <c r="A463" s="553"/>
      <c r="B463" s="553"/>
      <c r="C463" s="553"/>
      <c r="D463" s="554"/>
      <c r="E463" s="554"/>
      <c r="F463" s="554"/>
      <c r="G463" s="554"/>
      <c r="H463" s="554"/>
      <c r="I463" s="554"/>
      <c r="J463" s="554"/>
      <c r="K463" s="554"/>
      <c r="L463" s="554"/>
      <c r="M463" s="554"/>
      <c r="N463" s="554"/>
      <c r="O463" s="554"/>
      <c r="P463" s="554"/>
    </row>
    <row r="464" spans="1:16" s="556" customFormat="1" ht="15">
      <c r="A464" s="553"/>
      <c r="B464" s="553"/>
      <c r="C464" s="553"/>
      <c r="D464" s="554"/>
      <c r="E464" s="554"/>
      <c r="F464" s="554"/>
      <c r="G464" s="554"/>
      <c r="H464" s="554"/>
      <c r="I464" s="554"/>
      <c r="J464" s="554"/>
      <c r="K464" s="554"/>
      <c r="L464" s="554"/>
      <c r="M464" s="554"/>
      <c r="N464" s="554"/>
      <c r="O464" s="554"/>
      <c r="P464" s="554"/>
    </row>
    <row r="465" spans="1:16" s="556" customFormat="1" ht="15">
      <c r="A465" s="553"/>
      <c r="B465" s="553"/>
      <c r="C465" s="553"/>
      <c r="D465" s="554"/>
      <c r="E465" s="554"/>
      <c r="F465" s="554"/>
      <c r="G465" s="554"/>
      <c r="H465" s="554"/>
      <c r="I465" s="554"/>
      <c r="J465" s="554"/>
      <c r="K465" s="554"/>
      <c r="L465" s="554"/>
      <c r="M465" s="554"/>
      <c r="N465" s="554"/>
      <c r="O465" s="554"/>
      <c r="P465" s="554"/>
    </row>
    <row r="466" spans="1:16" s="556" customFormat="1" ht="15">
      <c r="A466" s="553"/>
      <c r="B466" s="553"/>
      <c r="C466" s="553"/>
      <c r="D466" s="554"/>
      <c r="E466" s="554"/>
      <c r="F466" s="554"/>
      <c r="G466" s="554"/>
      <c r="H466" s="554"/>
      <c r="I466" s="554"/>
      <c r="J466" s="554"/>
      <c r="K466" s="554"/>
      <c r="L466" s="554"/>
      <c r="M466" s="554"/>
      <c r="N466" s="554"/>
      <c r="O466" s="554"/>
      <c r="P466" s="554"/>
    </row>
    <row r="467" spans="1:16" s="556" customFormat="1" ht="15">
      <c r="A467" s="553"/>
      <c r="B467" s="553"/>
      <c r="C467" s="553"/>
      <c r="D467" s="554"/>
      <c r="E467" s="554"/>
      <c r="F467" s="554"/>
      <c r="G467" s="554"/>
      <c r="H467" s="554"/>
      <c r="I467" s="554"/>
      <c r="J467" s="554"/>
      <c r="K467" s="554"/>
      <c r="L467" s="554"/>
      <c r="M467" s="554"/>
      <c r="N467" s="554"/>
      <c r="O467" s="554"/>
      <c r="P467" s="554"/>
    </row>
    <row r="468" spans="1:16" s="556" customFormat="1" ht="15">
      <c r="A468" s="553"/>
      <c r="B468" s="553"/>
      <c r="C468" s="553"/>
      <c r="D468" s="554"/>
      <c r="E468" s="554"/>
      <c r="F468" s="554"/>
      <c r="G468" s="554"/>
      <c r="H468" s="554"/>
      <c r="I468" s="554"/>
      <c r="J468" s="554"/>
      <c r="K468" s="554"/>
      <c r="L468" s="554"/>
      <c r="M468" s="554"/>
      <c r="N468" s="554"/>
      <c r="O468" s="554"/>
      <c r="P468" s="554"/>
    </row>
    <row r="469" spans="1:16" s="556" customFormat="1" ht="15">
      <c r="A469" s="553"/>
      <c r="B469" s="553"/>
      <c r="C469" s="553"/>
      <c r="D469" s="554"/>
      <c r="E469" s="554"/>
      <c r="F469" s="554"/>
      <c r="G469" s="554"/>
      <c r="H469" s="554"/>
      <c r="I469" s="554"/>
      <c r="J469" s="554"/>
      <c r="K469" s="554"/>
      <c r="L469" s="554"/>
      <c r="M469" s="554"/>
      <c r="N469" s="554"/>
      <c r="O469" s="554"/>
      <c r="P469" s="554"/>
    </row>
    <row r="470" spans="1:16" s="556" customFormat="1" ht="15">
      <c r="A470" s="553"/>
      <c r="B470" s="553"/>
      <c r="C470" s="553"/>
      <c r="D470" s="554"/>
      <c r="E470" s="554"/>
      <c r="F470" s="554"/>
      <c r="G470" s="554"/>
      <c r="H470" s="554"/>
      <c r="I470" s="554"/>
      <c r="J470" s="554"/>
      <c r="K470" s="554"/>
      <c r="L470" s="554"/>
      <c r="M470" s="554"/>
      <c r="N470" s="554"/>
      <c r="O470" s="554"/>
      <c r="P470" s="554"/>
    </row>
    <row r="471" spans="1:16" s="556" customFormat="1" ht="15">
      <c r="A471" s="553"/>
      <c r="B471" s="553"/>
      <c r="C471" s="553"/>
      <c r="D471" s="554"/>
      <c r="E471" s="554"/>
      <c r="F471" s="554"/>
      <c r="G471" s="554"/>
      <c r="H471" s="554"/>
      <c r="I471" s="554"/>
      <c r="J471" s="554"/>
      <c r="K471" s="554"/>
      <c r="L471" s="554"/>
      <c r="M471" s="554"/>
      <c r="N471" s="554"/>
      <c r="O471" s="554"/>
      <c r="P471" s="554"/>
    </row>
    <row r="472" spans="1:16" s="556" customFormat="1" ht="15">
      <c r="A472" s="553"/>
      <c r="B472" s="553"/>
      <c r="C472" s="553"/>
      <c r="D472" s="554"/>
      <c r="E472" s="554"/>
      <c r="F472" s="554"/>
      <c r="G472" s="554"/>
      <c r="H472" s="554"/>
      <c r="I472" s="554"/>
      <c r="J472" s="554"/>
      <c r="K472" s="554"/>
      <c r="L472" s="554"/>
      <c r="M472" s="554"/>
      <c r="N472" s="554"/>
      <c r="O472" s="554"/>
      <c r="P472" s="554"/>
    </row>
    <row r="473" spans="1:16" s="556" customFormat="1" ht="15">
      <c r="A473" s="553"/>
      <c r="B473" s="553"/>
      <c r="C473" s="553"/>
      <c r="D473" s="554"/>
      <c r="E473" s="554"/>
      <c r="F473" s="554"/>
      <c r="G473" s="554"/>
      <c r="H473" s="554"/>
      <c r="I473" s="554"/>
      <c r="J473" s="554"/>
      <c r="K473" s="554"/>
      <c r="L473" s="554"/>
      <c r="M473" s="554"/>
      <c r="N473" s="554"/>
      <c r="O473" s="554"/>
      <c r="P473" s="554"/>
    </row>
  </sheetData>
  <printOptions/>
  <pageMargins left="0.31" right="0.28" top="0.55" bottom="0.46" header="0.5118110236220472" footer="0.31"/>
  <pageSetup firstPageNumber="45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40">
      <selection activeCell="D65" sqref="D65"/>
    </sheetView>
  </sheetViews>
  <sheetFormatPr defaultColWidth="9.00390625" defaultRowHeight="12.75"/>
  <cols>
    <col min="1" max="1" width="6.75390625" style="146" customWidth="1"/>
    <col min="2" max="2" width="8.375" style="146" customWidth="1"/>
    <col min="3" max="3" width="69.375" style="146" customWidth="1"/>
    <col min="4" max="4" width="18.125" style="146" customWidth="1"/>
    <col min="5" max="5" width="11.75390625" style="146" customWidth="1"/>
    <col min="6" max="7" width="18.125" style="146" customWidth="1"/>
    <col min="8" max="8" width="11.75390625" style="146" customWidth="1"/>
    <col min="9" max="9" width="18.125" style="146" customWidth="1"/>
    <col min="10" max="16384" width="9.125" style="146" customWidth="1"/>
  </cols>
  <sheetData>
    <row r="1" spans="3:8" s="11" customFormat="1" ht="18" customHeight="1">
      <c r="C1" s="130"/>
      <c r="H1" s="11" t="s">
        <v>708</v>
      </c>
    </row>
    <row r="2" spans="1:8" s="11" customFormat="1" ht="18" customHeight="1">
      <c r="A2" s="132" t="s">
        <v>311</v>
      </c>
      <c r="B2" s="131"/>
      <c r="C2" s="131"/>
      <c r="H2" s="11" t="s">
        <v>163</v>
      </c>
    </row>
    <row r="3" spans="1:8" s="11" customFormat="1" ht="18" customHeight="1">
      <c r="A3" s="132" t="s">
        <v>312</v>
      </c>
      <c r="B3" s="131"/>
      <c r="C3" s="131"/>
      <c r="H3" s="11" t="s">
        <v>272</v>
      </c>
    </row>
    <row r="4" spans="1:8" s="11" customFormat="1" ht="18" customHeight="1">
      <c r="A4" s="132" t="s">
        <v>207</v>
      </c>
      <c r="B4" s="131"/>
      <c r="C4" s="131"/>
      <c r="H4" s="11" t="s">
        <v>355</v>
      </c>
    </row>
    <row r="5" spans="4:9" s="11" customFormat="1" ht="22.5" customHeight="1" thickBot="1">
      <c r="D5" s="133"/>
      <c r="E5" s="133"/>
      <c r="F5" s="133"/>
      <c r="G5" s="133"/>
      <c r="H5" s="133"/>
      <c r="I5" s="20" t="s">
        <v>184</v>
      </c>
    </row>
    <row r="6" spans="1:9" s="10" customFormat="1" ht="15" customHeight="1" thickTop="1">
      <c r="A6" s="134"/>
      <c r="B6" s="134"/>
      <c r="C6" s="122"/>
      <c r="D6" s="1580" t="s">
        <v>616</v>
      </c>
      <c r="E6" s="1580" t="s">
        <v>187</v>
      </c>
      <c r="F6" s="1580" t="s">
        <v>332</v>
      </c>
      <c r="G6" s="1580" t="s">
        <v>206</v>
      </c>
      <c r="H6" s="1580" t="s">
        <v>187</v>
      </c>
      <c r="I6" s="1580" t="s">
        <v>333</v>
      </c>
    </row>
    <row r="7" spans="1:9" s="10" customFormat="1" ht="15" customHeight="1">
      <c r="A7" s="157" t="s">
        <v>179</v>
      </c>
      <c r="B7" s="158" t="s">
        <v>313</v>
      </c>
      <c r="C7" s="159" t="s">
        <v>314</v>
      </c>
      <c r="D7" s="1581"/>
      <c r="E7" s="1581"/>
      <c r="F7" s="1581"/>
      <c r="G7" s="1581"/>
      <c r="H7" s="1581"/>
      <c r="I7" s="1581"/>
    </row>
    <row r="8" spans="1:9" s="10" customFormat="1" ht="52.5" customHeight="1" thickBot="1">
      <c r="A8" s="123"/>
      <c r="B8" s="160" t="s">
        <v>276</v>
      </c>
      <c r="C8" s="124" t="s">
        <v>316</v>
      </c>
      <c r="D8" s="1582"/>
      <c r="E8" s="1582"/>
      <c r="F8" s="1582"/>
      <c r="G8" s="1582"/>
      <c r="H8" s="1582"/>
      <c r="I8" s="1582"/>
    </row>
    <row r="9" spans="1:9" s="11" customFormat="1" ht="14.25" customHeight="1" thickBot="1" thickTop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s="11" customFormat="1" ht="22.5" customHeight="1" thickBot="1" thickTop="1">
      <c r="A10" s="125"/>
      <c r="B10" s="125"/>
      <c r="C10" s="135" t="s">
        <v>317</v>
      </c>
      <c r="D10" s="136">
        <v>121125544</v>
      </c>
      <c r="E10" s="136">
        <f>E12+E19</f>
        <v>1215171</v>
      </c>
      <c r="F10" s="136">
        <f>D10+E10</f>
        <v>122340715</v>
      </c>
      <c r="G10" s="136">
        <v>111901292</v>
      </c>
      <c r="H10" s="136">
        <f>H12+H19</f>
        <v>1215171</v>
      </c>
      <c r="I10" s="136">
        <f>G10+H10</f>
        <v>113116463</v>
      </c>
    </row>
    <row r="11" spans="1:9" s="11" customFormat="1" ht="13.5" customHeight="1">
      <c r="A11" s="13"/>
      <c r="B11" s="13"/>
      <c r="C11" s="137" t="s">
        <v>182</v>
      </c>
      <c r="D11" s="138"/>
      <c r="E11" s="138"/>
      <c r="F11" s="138"/>
      <c r="G11" s="138"/>
      <c r="H11" s="138"/>
      <c r="I11" s="138"/>
    </row>
    <row r="12" spans="1:9" s="11" customFormat="1" ht="19.5" customHeight="1" thickBot="1">
      <c r="A12" s="139"/>
      <c r="B12" s="139"/>
      <c r="C12" s="140" t="s">
        <v>318</v>
      </c>
      <c r="D12" s="141">
        <v>89507137</v>
      </c>
      <c r="E12" s="141">
        <f>E13</f>
        <v>23600</v>
      </c>
      <c r="F12" s="141">
        <f aca="true" t="shared" si="0" ref="F12:F23">D12+E12</f>
        <v>89530737</v>
      </c>
      <c r="G12" s="141">
        <v>87743885</v>
      </c>
      <c r="H12" s="141">
        <f>H13</f>
        <v>23600</v>
      </c>
      <c r="I12" s="141">
        <f aca="true" t="shared" si="1" ref="I12:I18">G12+H12</f>
        <v>87767485</v>
      </c>
    </row>
    <row r="13" spans="1:9" s="143" customFormat="1" ht="19.5" customHeight="1" thickBot="1" thickTop="1">
      <c r="A13" s="142">
        <v>852</v>
      </c>
      <c r="B13" s="1097"/>
      <c r="C13" s="28" t="s">
        <v>324</v>
      </c>
      <c r="D13" s="1098">
        <v>86149552</v>
      </c>
      <c r="E13" s="1098">
        <f>E14</f>
        <v>23600</v>
      </c>
      <c r="F13" s="1098">
        <f t="shared" si="0"/>
        <v>86173152</v>
      </c>
      <c r="G13" s="1098">
        <v>86034552</v>
      </c>
      <c r="H13" s="1098">
        <f>H14</f>
        <v>23600</v>
      </c>
      <c r="I13" s="1098">
        <f t="shared" si="1"/>
        <v>86058152</v>
      </c>
    </row>
    <row r="14" spans="1:9" s="11" customFormat="1" ht="19.5" customHeight="1">
      <c r="A14" s="151"/>
      <c r="B14" s="1286">
        <v>85278</v>
      </c>
      <c r="C14" s="1248" t="s">
        <v>157</v>
      </c>
      <c r="D14" s="152">
        <v>37552</v>
      </c>
      <c r="E14" s="152">
        <f>E15</f>
        <v>23600</v>
      </c>
      <c r="F14" s="152">
        <f t="shared" si="0"/>
        <v>61152</v>
      </c>
      <c r="G14" s="152">
        <v>37552</v>
      </c>
      <c r="H14" s="152">
        <f>H17</f>
        <v>23600</v>
      </c>
      <c r="I14" s="152">
        <f t="shared" si="1"/>
        <v>61152</v>
      </c>
    </row>
    <row r="15" spans="1:9" s="11" customFormat="1" ht="25.5">
      <c r="A15" s="151"/>
      <c r="B15" s="126"/>
      <c r="C15" s="172" t="s">
        <v>545</v>
      </c>
      <c r="D15" s="404">
        <v>37552</v>
      </c>
      <c r="E15" s="404">
        <f>E16</f>
        <v>23600</v>
      </c>
      <c r="F15" s="404">
        <f t="shared" si="0"/>
        <v>61152</v>
      </c>
      <c r="G15" s="404"/>
      <c r="H15" s="404"/>
      <c r="I15" s="404"/>
    </row>
    <row r="16" spans="1:9" s="36" customFormat="1" ht="25.5">
      <c r="A16" s="948"/>
      <c r="B16" s="1287">
        <v>2010</v>
      </c>
      <c r="C16" s="1030" t="s">
        <v>367</v>
      </c>
      <c r="D16" s="406">
        <v>37552</v>
      </c>
      <c r="E16" s="406">
        <v>23600</v>
      </c>
      <c r="F16" s="406">
        <f t="shared" si="0"/>
        <v>61152</v>
      </c>
      <c r="G16" s="406"/>
      <c r="H16" s="406"/>
      <c r="I16" s="406"/>
    </row>
    <row r="17" spans="1:9" s="454" customFormat="1" ht="18" customHeight="1">
      <c r="A17" s="1294"/>
      <c r="B17" s="161"/>
      <c r="C17" s="287" t="s">
        <v>544</v>
      </c>
      <c r="D17" s="928"/>
      <c r="E17" s="928"/>
      <c r="F17" s="928"/>
      <c r="G17" s="1295">
        <v>37552</v>
      </c>
      <c r="H17" s="1295">
        <f>H18</f>
        <v>23600</v>
      </c>
      <c r="I17" s="1295">
        <f t="shared" si="1"/>
        <v>61152</v>
      </c>
    </row>
    <row r="18" spans="1:9" s="36" customFormat="1" ht="18" customHeight="1">
      <c r="A18" s="948"/>
      <c r="B18" s="1293">
        <v>3110</v>
      </c>
      <c r="C18" s="1127" t="s">
        <v>725</v>
      </c>
      <c r="D18" s="951"/>
      <c r="E18" s="951"/>
      <c r="F18" s="951"/>
      <c r="G18" s="406">
        <v>37552</v>
      </c>
      <c r="H18" s="406">
        <v>23600</v>
      </c>
      <c r="I18" s="406">
        <f t="shared" si="1"/>
        <v>61152</v>
      </c>
    </row>
    <row r="19" spans="1:9" s="11" customFormat="1" ht="22.5" customHeight="1" thickBot="1">
      <c r="A19" s="149"/>
      <c r="B19" s="400"/>
      <c r="C19" s="401" t="s">
        <v>325</v>
      </c>
      <c r="D19" s="150">
        <v>31618407</v>
      </c>
      <c r="E19" s="150">
        <f>E20+E26+E35+E49</f>
        <v>1191571</v>
      </c>
      <c r="F19" s="150">
        <f t="shared" si="0"/>
        <v>32809978</v>
      </c>
      <c r="G19" s="150">
        <v>24157407</v>
      </c>
      <c r="H19" s="150">
        <f>H20+H26+H35+H49</f>
        <v>1191571</v>
      </c>
      <c r="I19" s="150">
        <f>G19+H19</f>
        <v>25348978</v>
      </c>
    </row>
    <row r="20" spans="1:9" s="11" customFormat="1" ht="19.5" customHeight="1" thickBot="1" thickTop="1">
      <c r="A20" s="142">
        <v>700</v>
      </c>
      <c r="B20" s="366"/>
      <c r="C20" s="1266" t="s">
        <v>161</v>
      </c>
      <c r="D20" s="147">
        <v>8112500</v>
      </c>
      <c r="E20" s="147">
        <f>E21</f>
        <v>173650</v>
      </c>
      <c r="F20" s="147">
        <f t="shared" si="0"/>
        <v>8286150</v>
      </c>
      <c r="G20" s="147">
        <v>827500</v>
      </c>
      <c r="H20" s="147">
        <f>H21</f>
        <v>173650</v>
      </c>
      <c r="I20" s="147">
        <f>G20+H20</f>
        <v>1001150</v>
      </c>
    </row>
    <row r="21" spans="1:9" s="11" customFormat="1" ht="19.5" customHeight="1">
      <c r="A21" s="151"/>
      <c r="B21" s="398">
        <v>70005</v>
      </c>
      <c r="C21" s="1269" t="s">
        <v>622</v>
      </c>
      <c r="D21" s="152">
        <v>8112500</v>
      </c>
      <c r="E21" s="152">
        <f>E22</f>
        <v>173650</v>
      </c>
      <c r="F21" s="152">
        <f t="shared" si="0"/>
        <v>8286150</v>
      </c>
      <c r="G21" s="152">
        <v>827500</v>
      </c>
      <c r="H21" s="152">
        <f>H24</f>
        <v>173650</v>
      </c>
      <c r="I21" s="152">
        <f>G21+H21</f>
        <v>1001150</v>
      </c>
    </row>
    <row r="22" spans="1:9" s="11" customFormat="1" ht="25.5">
      <c r="A22" s="151"/>
      <c r="B22" s="126"/>
      <c r="C22" s="1272" t="s">
        <v>368</v>
      </c>
      <c r="D22" s="404">
        <v>827500</v>
      </c>
      <c r="E22" s="404">
        <f>E23</f>
        <v>173650</v>
      </c>
      <c r="F22" s="404">
        <f t="shared" si="0"/>
        <v>1001150</v>
      </c>
      <c r="G22" s="404"/>
      <c r="H22" s="404"/>
      <c r="I22" s="404"/>
    </row>
    <row r="23" spans="1:9" s="36" customFormat="1" ht="25.5" customHeight="1">
      <c r="A23" s="948"/>
      <c r="B23" s="1288">
        <v>2110</v>
      </c>
      <c r="C23" s="1274" t="s">
        <v>329</v>
      </c>
      <c r="D23" s="406">
        <v>827500</v>
      </c>
      <c r="E23" s="406">
        <v>173650</v>
      </c>
      <c r="F23" s="406">
        <f t="shared" si="0"/>
        <v>1001150</v>
      </c>
      <c r="G23" s="406"/>
      <c r="H23" s="406"/>
      <c r="I23" s="406"/>
    </row>
    <row r="24" spans="1:9" s="328" customFormat="1" ht="18" customHeight="1">
      <c r="A24" s="1294"/>
      <c r="B24" s="1326"/>
      <c r="C24" s="1055" t="s">
        <v>369</v>
      </c>
      <c r="D24" s="1261"/>
      <c r="E24" s="1261"/>
      <c r="F24" s="1261"/>
      <c r="G24" s="1261">
        <v>827500</v>
      </c>
      <c r="H24" s="1261">
        <f>SUM(H25)</f>
        <v>173650</v>
      </c>
      <c r="I24" s="1261">
        <f>G24+H24</f>
        <v>1001150</v>
      </c>
    </row>
    <row r="25" spans="1:9" s="36" customFormat="1" ht="18" customHeight="1">
      <c r="A25" s="948"/>
      <c r="B25" s="33">
        <v>4590</v>
      </c>
      <c r="C25" s="1417" t="s">
        <v>64</v>
      </c>
      <c r="D25" s="1216"/>
      <c r="E25" s="1216"/>
      <c r="F25" s="1216"/>
      <c r="G25" s="1216">
        <v>277500</v>
      </c>
      <c r="H25" s="1216">
        <v>173650</v>
      </c>
      <c r="I25" s="1216">
        <f>G25+H25</f>
        <v>451150</v>
      </c>
    </row>
    <row r="26" spans="1:9" s="11" customFormat="1" ht="19.5" customHeight="1" thickBot="1">
      <c r="A26" s="142">
        <v>750</v>
      </c>
      <c r="B26" s="366"/>
      <c r="C26" s="28" t="s">
        <v>319</v>
      </c>
      <c r="D26" s="147">
        <v>924596</v>
      </c>
      <c r="E26" s="147"/>
      <c r="F26" s="147">
        <f>D26+E26</f>
        <v>924596</v>
      </c>
      <c r="G26" s="147">
        <v>924596</v>
      </c>
      <c r="H26" s="147">
        <f>H27</f>
        <v>0</v>
      </c>
      <c r="I26" s="147">
        <f aca="true" t="shared" si="2" ref="I26:I32">G26+H26</f>
        <v>924596</v>
      </c>
    </row>
    <row r="27" spans="1:9" s="11" customFormat="1" ht="19.5" customHeight="1">
      <c r="A27" s="151"/>
      <c r="B27" s="398">
        <v>75045</v>
      </c>
      <c r="C27" s="792" t="s">
        <v>722</v>
      </c>
      <c r="D27" s="152">
        <v>95000</v>
      </c>
      <c r="E27" s="152"/>
      <c r="F27" s="152">
        <v>95000</v>
      </c>
      <c r="G27" s="152">
        <v>95000</v>
      </c>
      <c r="H27" s="152">
        <f>H28</f>
        <v>0</v>
      </c>
      <c r="I27" s="152">
        <f t="shared" si="2"/>
        <v>95000</v>
      </c>
    </row>
    <row r="28" spans="1:9" s="11" customFormat="1" ht="18" customHeight="1">
      <c r="A28" s="151"/>
      <c r="B28" s="126"/>
      <c r="C28" s="513" t="s">
        <v>534</v>
      </c>
      <c r="D28" s="404"/>
      <c r="E28" s="404"/>
      <c r="F28" s="404"/>
      <c r="G28" s="404">
        <v>95000</v>
      </c>
      <c r="H28" s="404">
        <f>SUM(H29:H32)</f>
        <v>0</v>
      </c>
      <c r="I28" s="404">
        <f t="shared" si="2"/>
        <v>95000</v>
      </c>
    </row>
    <row r="29" spans="1:9" s="36" customFormat="1" ht="18" customHeight="1">
      <c r="A29" s="948"/>
      <c r="B29" s="949">
        <v>4210</v>
      </c>
      <c r="C29" s="953" t="s">
        <v>321</v>
      </c>
      <c r="D29" s="951"/>
      <c r="E29" s="951"/>
      <c r="F29" s="951"/>
      <c r="G29" s="406">
        <v>6000</v>
      </c>
      <c r="H29" s="406">
        <v>22</v>
      </c>
      <c r="I29" s="406">
        <f t="shared" si="2"/>
        <v>6022</v>
      </c>
    </row>
    <row r="30" spans="1:9" s="36" customFormat="1" ht="18" customHeight="1">
      <c r="A30" s="948"/>
      <c r="B30" s="950">
        <v>4260</v>
      </c>
      <c r="C30" s="208" t="s">
        <v>605</v>
      </c>
      <c r="D30" s="952"/>
      <c r="E30" s="952"/>
      <c r="F30" s="952"/>
      <c r="G30" s="1215">
        <v>4000</v>
      </c>
      <c r="H30" s="1215">
        <v>-835</v>
      </c>
      <c r="I30" s="1215">
        <f t="shared" si="2"/>
        <v>3165</v>
      </c>
    </row>
    <row r="31" spans="1:9" s="36" customFormat="1" ht="18" customHeight="1">
      <c r="A31" s="948"/>
      <c r="B31" s="950">
        <v>4300</v>
      </c>
      <c r="C31" s="208" t="s">
        <v>322</v>
      </c>
      <c r="D31" s="952"/>
      <c r="E31" s="952"/>
      <c r="F31" s="952"/>
      <c r="G31" s="1215">
        <v>18250</v>
      </c>
      <c r="H31" s="1215">
        <v>-133</v>
      </c>
      <c r="I31" s="1215">
        <f t="shared" si="2"/>
        <v>18117</v>
      </c>
    </row>
    <row r="32" spans="1:9" s="36" customFormat="1" ht="18" customHeight="1">
      <c r="A32" s="1419"/>
      <c r="B32" s="950">
        <v>4370</v>
      </c>
      <c r="C32" s="208" t="s">
        <v>546</v>
      </c>
      <c r="D32" s="952"/>
      <c r="E32" s="952"/>
      <c r="F32" s="952"/>
      <c r="G32" s="1215"/>
      <c r="H32" s="1215">
        <v>946</v>
      </c>
      <c r="I32" s="1215">
        <f t="shared" si="2"/>
        <v>946</v>
      </c>
    </row>
    <row r="33" ht="18" customHeight="1"/>
    <row r="34" ht="18" customHeight="1"/>
    <row r="35" spans="1:9" s="11" customFormat="1" ht="19.5" customHeight="1" thickBot="1">
      <c r="A35" s="142">
        <v>754</v>
      </c>
      <c r="B35" s="730"/>
      <c r="C35" s="28" t="s">
        <v>309</v>
      </c>
      <c r="D35" s="147">
        <v>13191000</v>
      </c>
      <c r="E35" s="147">
        <f>E36</f>
        <v>1010100</v>
      </c>
      <c r="F35" s="147">
        <f aca="true" t="shared" si="3" ref="F35:F40">D35+E35</f>
        <v>14201100</v>
      </c>
      <c r="G35" s="147">
        <v>13091000</v>
      </c>
      <c r="H35" s="147">
        <f>H36</f>
        <v>1010100</v>
      </c>
      <c r="I35" s="147">
        <f aca="true" t="shared" si="4" ref="I35:I48">G35+H35</f>
        <v>14101100</v>
      </c>
    </row>
    <row r="36" spans="1:9" s="11" customFormat="1" ht="19.5" customHeight="1">
      <c r="A36" s="151"/>
      <c r="B36" s="398">
        <v>75411</v>
      </c>
      <c r="C36" s="280" t="s">
        <v>360</v>
      </c>
      <c r="D36" s="152">
        <v>13191000</v>
      </c>
      <c r="E36" s="152">
        <f>E37+E39</f>
        <v>1010100</v>
      </c>
      <c r="F36" s="152">
        <f t="shared" si="3"/>
        <v>14201100</v>
      </c>
      <c r="G36" s="152">
        <v>13091000</v>
      </c>
      <c r="H36" s="152">
        <f>H41</f>
        <v>1010100</v>
      </c>
      <c r="I36" s="152">
        <f t="shared" si="4"/>
        <v>14101100</v>
      </c>
    </row>
    <row r="37" spans="1:9" s="11" customFormat="1" ht="25.5">
      <c r="A37" s="151"/>
      <c r="B37" s="126"/>
      <c r="C37" s="737" t="s">
        <v>703</v>
      </c>
      <c r="D37" s="404">
        <v>12941000</v>
      </c>
      <c r="E37" s="404">
        <f>E38</f>
        <v>910100</v>
      </c>
      <c r="F37" s="404">
        <f t="shared" si="3"/>
        <v>13851100</v>
      </c>
      <c r="G37" s="405"/>
      <c r="H37" s="405"/>
      <c r="I37" s="405"/>
    </row>
    <row r="38" spans="1:9" s="11" customFormat="1" ht="38.25">
      <c r="A38" s="151"/>
      <c r="B38" s="399">
        <v>2110</v>
      </c>
      <c r="C38" s="742" t="s">
        <v>329</v>
      </c>
      <c r="D38" s="406">
        <v>12941000</v>
      </c>
      <c r="E38" s="406">
        <f>848000+62100</f>
        <v>910100</v>
      </c>
      <c r="F38" s="406">
        <f t="shared" si="3"/>
        <v>13851100</v>
      </c>
      <c r="G38" s="407"/>
      <c r="H38" s="407"/>
      <c r="I38" s="407"/>
    </row>
    <row r="39" spans="1:9" s="11" customFormat="1" ht="25.5">
      <c r="A39" s="153"/>
      <c r="B39" s="403"/>
      <c r="C39" s="745" t="s">
        <v>704</v>
      </c>
      <c r="D39" s="155">
        <v>150000</v>
      </c>
      <c r="E39" s="155">
        <f>E40</f>
        <v>100000</v>
      </c>
      <c r="F39" s="155">
        <f t="shared" si="3"/>
        <v>250000</v>
      </c>
      <c r="G39" s="155"/>
      <c r="H39" s="155"/>
      <c r="I39" s="155"/>
    </row>
    <row r="40" spans="1:9" s="128" customFormat="1" ht="38.25">
      <c r="A40" s="153"/>
      <c r="B40" s="399">
        <v>6410</v>
      </c>
      <c r="C40" s="747" t="s">
        <v>712</v>
      </c>
      <c r="D40" s="148">
        <v>150000</v>
      </c>
      <c r="E40" s="148">
        <v>100000</v>
      </c>
      <c r="F40" s="148">
        <f t="shared" si="3"/>
        <v>250000</v>
      </c>
      <c r="G40" s="148"/>
      <c r="H40" s="148"/>
      <c r="I40" s="148"/>
    </row>
    <row r="41" spans="1:9" s="328" customFormat="1" ht="25.5">
      <c r="A41" s="1294"/>
      <c r="B41" s="1327"/>
      <c r="C41" s="172" t="s">
        <v>713</v>
      </c>
      <c r="D41" s="1328"/>
      <c r="E41" s="1328"/>
      <c r="F41" s="1328"/>
      <c r="G41" s="1328">
        <v>13091000</v>
      </c>
      <c r="H41" s="1328">
        <f>H42+H48+H43+H44+H45+H46</f>
        <v>1010100</v>
      </c>
      <c r="I41" s="1328">
        <f t="shared" si="4"/>
        <v>14101100</v>
      </c>
    </row>
    <row r="42" spans="1:9" s="128" customFormat="1" ht="18" customHeight="1">
      <c r="A42" s="153"/>
      <c r="B42" s="759">
        <v>4050</v>
      </c>
      <c r="C42" s="39" t="s">
        <v>5</v>
      </c>
      <c r="D42" s="148"/>
      <c r="E42" s="148"/>
      <c r="F42" s="148"/>
      <c r="G42" s="148">
        <v>8499000</v>
      </c>
      <c r="H42" s="148">
        <v>701000</v>
      </c>
      <c r="I42" s="148">
        <f t="shared" si="4"/>
        <v>9200000</v>
      </c>
    </row>
    <row r="43" spans="1:9" s="128" customFormat="1" ht="25.5">
      <c r="A43" s="153"/>
      <c r="B43" s="817">
        <v>4060</v>
      </c>
      <c r="C43" s="813" t="s">
        <v>6</v>
      </c>
      <c r="D43" s="818"/>
      <c r="E43" s="818"/>
      <c r="F43" s="818"/>
      <c r="G43" s="818">
        <v>400000</v>
      </c>
      <c r="H43" s="818">
        <v>77000</v>
      </c>
      <c r="I43" s="148">
        <f t="shared" si="4"/>
        <v>477000</v>
      </c>
    </row>
    <row r="44" spans="1:9" s="128" customFormat="1" ht="25.5">
      <c r="A44" s="153"/>
      <c r="B44" s="817">
        <v>4070</v>
      </c>
      <c r="C44" s="813" t="s">
        <v>7</v>
      </c>
      <c r="D44" s="818"/>
      <c r="E44" s="818"/>
      <c r="F44" s="818"/>
      <c r="G44" s="818">
        <v>798000</v>
      </c>
      <c r="H44" s="818">
        <v>53000</v>
      </c>
      <c r="I44" s="148">
        <f t="shared" si="4"/>
        <v>851000</v>
      </c>
    </row>
    <row r="45" spans="1:9" s="128" customFormat="1" ht="25.5">
      <c r="A45" s="153"/>
      <c r="B45" s="756">
        <v>4080</v>
      </c>
      <c r="C45" s="810" t="s">
        <v>689</v>
      </c>
      <c r="D45" s="816"/>
      <c r="E45" s="816"/>
      <c r="F45" s="816"/>
      <c r="G45" s="816">
        <v>31000</v>
      </c>
      <c r="H45" s="816">
        <v>17000</v>
      </c>
      <c r="I45" s="816">
        <f t="shared" si="4"/>
        <v>48000</v>
      </c>
    </row>
    <row r="46" spans="1:9" s="128" customFormat="1" ht="18" customHeight="1">
      <c r="A46" s="153"/>
      <c r="B46" s="817">
        <v>4210</v>
      </c>
      <c r="C46" s="813" t="s">
        <v>321</v>
      </c>
      <c r="D46" s="818"/>
      <c r="E46" s="818"/>
      <c r="F46" s="818"/>
      <c r="G46" s="818">
        <v>306300</v>
      </c>
      <c r="H46" s="818">
        <v>62100</v>
      </c>
      <c r="I46" s="818">
        <f t="shared" si="4"/>
        <v>368400</v>
      </c>
    </row>
    <row r="47" spans="1:9" s="128" customFormat="1" ht="18" customHeight="1">
      <c r="A47" s="153"/>
      <c r="B47" s="760"/>
      <c r="C47" s="761" t="s">
        <v>714</v>
      </c>
      <c r="D47" s="762"/>
      <c r="E47" s="762"/>
      <c r="F47" s="762"/>
      <c r="G47" s="762">
        <v>150000</v>
      </c>
      <c r="H47" s="762">
        <v>100000</v>
      </c>
      <c r="I47" s="762">
        <f t="shared" si="4"/>
        <v>250000</v>
      </c>
    </row>
    <row r="48" spans="1:9" s="128" customFormat="1" ht="18" customHeight="1">
      <c r="A48" s="153"/>
      <c r="B48" s="399">
        <v>6050</v>
      </c>
      <c r="C48" s="763" t="s">
        <v>723</v>
      </c>
      <c r="D48" s="764"/>
      <c r="E48" s="764"/>
      <c r="F48" s="764"/>
      <c r="G48" s="764">
        <v>150000</v>
      </c>
      <c r="H48" s="764">
        <f>H47</f>
        <v>100000</v>
      </c>
      <c r="I48" s="764">
        <f t="shared" si="4"/>
        <v>250000</v>
      </c>
    </row>
    <row r="49" spans="1:9" s="11" customFormat="1" ht="19.5" customHeight="1" thickBot="1">
      <c r="A49" s="142">
        <v>853</v>
      </c>
      <c r="B49" s="366"/>
      <c r="C49" s="757" t="s">
        <v>389</v>
      </c>
      <c r="D49" s="758">
        <v>552850</v>
      </c>
      <c r="E49" s="758">
        <f>E50</f>
        <v>7821</v>
      </c>
      <c r="F49" s="758">
        <f>D49+E49</f>
        <v>560671</v>
      </c>
      <c r="G49" s="758">
        <v>552850</v>
      </c>
      <c r="H49" s="758">
        <f>H50</f>
        <v>7821</v>
      </c>
      <c r="I49" s="758">
        <f>G49+H49</f>
        <v>560671</v>
      </c>
    </row>
    <row r="50" spans="1:9" s="11" customFormat="1" ht="19.5" customHeight="1">
      <c r="A50" s="151"/>
      <c r="B50" s="398">
        <v>85334</v>
      </c>
      <c r="C50" s="280" t="s">
        <v>623</v>
      </c>
      <c r="D50" s="152">
        <v>24850</v>
      </c>
      <c r="E50" s="152">
        <f>E51</f>
        <v>7821</v>
      </c>
      <c r="F50" s="152">
        <f>D50+E50</f>
        <v>32671</v>
      </c>
      <c r="G50" s="152">
        <v>24850</v>
      </c>
      <c r="H50" s="152">
        <f>H53</f>
        <v>7821</v>
      </c>
      <c r="I50" s="152">
        <f>G50+H50</f>
        <v>32671</v>
      </c>
    </row>
    <row r="51" spans="1:9" s="11" customFormat="1" ht="18" customHeight="1">
      <c r="A51" s="151"/>
      <c r="B51" s="126"/>
      <c r="C51" s="21" t="s">
        <v>159</v>
      </c>
      <c r="D51" s="404">
        <v>24850</v>
      </c>
      <c r="E51" s="404">
        <f>E52</f>
        <v>7821</v>
      </c>
      <c r="F51" s="404">
        <f>D51+E51</f>
        <v>32671</v>
      </c>
      <c r="G51" s="405"/>
      <c r="H51" s="405"/>
      <c r="I51" s="405"/>
    </row>
    <row r="52" spans="1:9" s="11" customFormat="1" ht="25.5" customHeight="1">
      <c r="A52" s="151"/>
      <c r="B52" s="399">
        <v>2110</v>
      </c>
      <c r="C52" s="402" t="s">
        <v>329</v>
      </c>
      <c r="D52" s="406">
        <v>24850</v>
      </c>
      <c r="E52" s="406">
        <f>2321+5500</f>
        <v>7821</v>
      </c>
      <c r="F52" s="406">
        <f>D52+E52</f>
        <v>32671</v>
      </c>
      <c r="G52" s="407"/>
      <c r="H52" s="407"/>
      <c r="I52" s="407"/>
    </row>
    <row r="53" spans="1:9" s="11" customFormat="1" ht="18" customHeight="1">
      <c r="A53" s="153"/>
      <c r="B53" s="403"/>
      <c r="C53" s="287" t="s">
        <v>160</v>
      </c>
      <c r="D53" s="155"/>
      <c r="E53" s="155"/>
      <c r="F53" s="155"/>
      <c r="G53" s="155">
        <v>24850</v>
      </c>
      <c r="H53" s="155">
        <f>SUM(H54:H55)</f>
        <v>7821</v>
      </c>
      <c r="I53" s="155">
        <f>G53+H53</f>
        <v>32671</v>
      </c>
    </row>
    <row r="54" spans="1:9" s="128" customFormat="1" ht="18" customHeight="1">
      <c r="A54" s="153"/>
      <c r="B54" s="399">
        <v>3030</v>
      </c>
      <c r="C54" s="177" t="s">
        <v>42</v>
      </c>
      <c r="D54" s="148"/>
      <c r="E54" s="148"/>
      <c r="F54" s="148"/>
      <c r="G54" s="148"/>
      <c r="H54" s="148">
        <v>2321</v>
      </c>
      <c r="I54" s="148">
        <f>G54+H54</f>
        <v>2321</v>
      </c>
    </row>
    <row r="55" spans="1:9" s="128" customFormat="1" ht="18" customHeight="1">
      <c r="A55" s="343"/>
      <c r="B55" s="1310">
        <v>4300</v>
      </c>
      <c r="C55" s="369" t="s">
        <v>322</v>
      </c>
      <c r="D55" s="818"/>
      <c r="E55" s="818"/>
      <c r="F55" s="818"/>
      <c r="G55" s="818">
        <v>19000</v>
      </c>
      <c r="H55" s="818">
        <v>5500</v>
      </c>
      <c r="I55" s="818">
        <f>G55+H55</f>
        <v>24500</v>
      </c>
    </row>
    <row r="58" spans="2:8" ht="15">
      <c r="B58" s="683" t="s">
        <v>17</v>
      </c>
      <c r="H58" s="1584" t="s">
        <v>20</v>
      </c>
    </row>
    <row r="59" spans="2:8" ht="15">
      <c r="B59" s="1583" t="s">
        <v>19</v>
      </c>
      <c r="H59" s="1585" t="s">
        <v>18</v>
      </c>
    </row>
  </sheetData>
  <mergeCells count="6">
    <mergeCell ref="I6:I8"/>
    <mergeCell ref="E6:E8"/>
    <mergeCell ref="F6:F8"/>
    <mergeCell ref="D6:D8"/>
    <mergeCell ref="G6:G8"/>
    <mergeCell ref="H6:H8"/>
  </mergeCells>
  <printOptions horizontalCentered="1"/>
  <pageMargins left="0.5905511811023623" right="0.5905511811023623" top="0.5905511811023623" bottom="0.5905511811023623" header="0.5118110236220472" footer="0.5118110236220472"/>
  <pageSetup firstPageNumber="51" useFirstPageNumber="1"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215"/>
  <sheetViews>
    <sheetView zoomScale="90" zoomScaleNormal="90" workbookViewId="0" topLeftCell="A8">
      <pane xSplit="3" ySplit="4" topLeftCell="H84" activePane="bottomRight" state="frozen"/>
      <selection pane="topLeft" activeCell="D58" sqref="D58"/>
      <selection pane="topRight" activeCell="D58" sqref="D58"/>
      <selection pane="bottomLeft" activeCell="D58" sqref="D58"/>
      <selection pane="bottomRight" activeCell="S94" sqref="S94:S95"/>
    </sheetView>
  </sheetViews>
  <sheetFormatPr defaultColWidth="9.00390625" defaultRowHeight="12.75"/>
  <cols>
    <col min="1" max="1" width="5.375" style="251" customWidth="1"/>
    <col min="2" max="2" width="7.375" style="251" customWidth="1"/>
    <col min="3" max="3" width="46.00390625" style="1496" customWidth="1"/>
    <col min="4" max="4" width="13.375" style="264" customWidth="1"/>
    <col min="5" max="5" width="12.125" style="264" customWidth="1"/>
    <col min="6" max="6" width="14.125" style="264" customWidth="1"/>
    <col min="7" max="7" width="12.875" style="264" customWidth="1"/>
    <col min="8" max="9" width="11.125" style="264" customWidth="1"/>
    <col min="10" max="10" width="10.75390625" style="264" customWidth="1"/>
    <col min="11" max="11" width="11.00390625" style="264" customWidth="1"/>
    <col min="12" max="12" width="12.25390625" style="264" customWidth="1"/>
    <col min="13" max="13" width="12.25390625" style="251" customWidth="1"/>
    <col min="14" max="14" width="13.25390625" style="251" customWidth="1"/>
    <col min="15" max="15" width="12.125" style="251" customWidth="1"/>
    <col min="16" max="16" width="14.125" style="251" customWidth="1"/>
    <col min="17" max="17" width="13.25390625" style="251" customWidth="1"/>
    <col min="18" max="20" width="11.00390625" style="251" customWidth="1"/>
    <col min="21" max="21" width="12.00390625" style="251" customWidth="1"/>
    <col min="22" max="22" width="12.625" style="251" customWidth="1"/>
    <col min="23" max="23" width="16.25390625" style="251" customWidth="1"/>
    <col min="24" max="24" width="10.625" style="251" customWidth="1"/>
    <col min="25" max="16384" width="7.875" style="251" customWidth="1"/>
  </cols>
  <sheetData>
    <row r="1" ht="19.5" customHeight="1">
      <c r="S1" s="264" t="s">
        <v>630</v>
      </c>
    </row>
    <row r="2" ht="19.5" customHeight="1">
      <c r="S2" s="264" t="s">
        <v>163</v>
      </c>
    </row>
    <row r="3" spans="3:19" ht="19.5" customHeight="1">
      <c r="C3" s="1465" t="s">
        <v>606</v>
      </c>
      <c r="S3" s="264" t="s">
        <v>272</v>
      </c>
    </row>
    <row r="4" spans="3:19" ht="19.5" customHeight="1">
      <c r="C4" s="1497"/>
      <c r="S4" s="264" t="s">
        <v>355</v>
      </c>
    </row>
    <row r="5" ht="15.75">
      <c r="C5" s="1497"/>
    </row>
    <row r="6" ht="15.75" thickBot="1">
      <c r="V6" s="531" t="s">
        <v>184</v>
      </c>
    </row>
    <row r="7" spans="1:22" ht="17.25" customHeight="1" thickBot="1" thickTop="1">
      <c r="A7" s="1525" t="s">
        <v>179</v>
      </c>
      <c r="B7" s="1528" t="s">
        <v>186</v>
      </c>
      <c r="C7" s="1531" t="s">
        <v>208</v>
      </c>
      <c r="D7" s="1534" t="s">
        <v>310</v>
      </c>
      <c r="E7" s="265" t="s">
        <v>182</v>
      </c>
      <c r="F7" s="252"/>
      <c r="G7" s="252"/>
      <c r="H7" s="252"/>
      <c r="I7" s="252"/>
      <c r="J7" s="252"/>
      <c r="K7" s="252"/>
      <c r="L7" s="266"/>
      <c r="M7" s="1539" t="s">
        <v>187</v>
      </c>
      <c r="N7" s="1534" t="s">
        <v>177</v>
      </c>
      <c r="O7" s="265" t="s">
        <v>182</v>
      </c>
      <c r="P7" s="252"/>
      <c r="Q7" s="252"/>
      <c r="R7" s="252"/>
      <c r="S7" s="252"/>
      <c r="T7" s="252"/>
      <c r="U7" s="252"/>
      <c r="V7" s="266"/>
    </row>
    <row r="8" spans="1:22" ht="22.5" customHeight="1" thickBot="1" thickTop="1">
      <c r="A8" s="1526"/>
      <c r="B8" s="1529"/>
      <c r="C8" s="1532"/>
      <c r="D8" s="1537"/>
      <c r="E8" s="1534" t="s">
        <v>209</v>
      </c>
      <c r="F8" s="263" t="s">
        <v>210</v>
      </c>
      <c r="G8" s="263"/>
      <c r="H8" s="263"/>
      <c r="I8" s="263"/>
      <c r="J8" s="263"/>
      <c r="K8" s="263"/>
      <c r="L8" s="1534" t="s">
        <v>211</v>
      </c>
      <c r="M8" s="1540"/>
      <c r="N8" s="1537"/>
      <c r="O8" s="1534" t="s">
        <v>209</v>
      </c>
      <c r="P8" s="253" t="s">
        <v>210</v>
      </c>
      <c r="Q8" s="263"/>
      <c r="R8" s="263"/>
      <c r="S8" s="263"/>
      <c r="T8" s="263"/>
      <c r="U8" s="263"/>
      <c r="V8" s="1534" t="s">
        <v>211</v>
      </c>
    </row>
    <row r="9" spans="1:22" ht="69.75" customHeight="1" thickBot="1" thickTop="1">
      <c r="A9" s="1527"/>
      <c r="B9" s="1530"/>
      <c r="C9" s="1533"/>
      <c r="D9" s="1538"/>
      <c r="E9" s="1536"/>
      <c r="F9" s="254" t="s">
        <v>203</v>
      </c>
      <c r="G9" s="254" t="s">
        <v>212</v>
      </c>
      <c r="H9" s="254" t="s">
        <v>213</v>
      </c>
      <c r="I9" s="254" t="s">
        <v>204</v>
      </c>
      <c r="J9" s="254" t="s">
        <v>214</v>
      </c>
      <c r="K9" s="254" t="s">
        <v>270</v>
      </c>
      <c r="L9" s="1535"/>
      <c r="M9" s="1541"/>
      <c r="N9" s="1538"/>
      <c r="O9" s="1536"/>
      <c r="P9" s="254" t="s">
        <v>203</v>
      </c>
      <c r="Q9" s="254" t="s">
        <v>212</v>
      </c>
      <c r="R9" s="254" t="s">
        <v>213</v>
      </c>
      <c r="S9" s="254" t="s">
        <v>204</v>
      </c>
      <c r="T9" s="254" t="s">
        <v>214</v>
      </c>
      <c r="U9" s="254" t="s">
        <v>270</v>
      </c>
      <c r="V9" s="1535"/>
    </row>
    <row r="10" spans="1:23" s="1498" customFormat="1" ht="14.25" customHeight="1" thickBot="1" thickTop="1">
      <c r="A10" s="1458">
        <v>1</v>
      </c>
      <c r="B10" s="1464">
        <v>2</v>
      </c>
      <c r="C10" s="268">
        <v>4</v>
      </c>
      <c r="D10" s="255">
        <v>5</v>
      </c>
      <c r="E10" s="255">
        <v>6</v>
      </c>
      <c r="F10" s="255">
        <v>7</v>
      </c>
      <c r="G10" s="255">
        <v>8</v>
      </c>
      <c r="H10" s="255">
        <v>9</v>
      </c>
      <c r="I10" s="255">
        <v>10</v>
      </c>
      <c r="J10" s="255">
        <v>11</v>
      </c>
      <c r="K10" s="255">
        <v>12</v>
      </c>
      <c r="L10" s="255">
        <v>13</v>
      </c>
      <c r="M10" s="269">
        <v>14</v>
      </c>
      <c r="N10" s="255">
        <v>15</v>
      </c>
      <c r="O10" s="255">
        <v>16</v>
      </c>
      <c r="P10" s="255">
        <v>17</v>
      </c>
      <c r="Q10" s="255">
        <v>18</v>
      </c>
      <c r="R10" s="255">
        <v>19</v>
      </c>
      <c r="S10" s="255">
        <v>20</v>
      </c>
      <c r="T10" s="255">
        <v>21</v>
      </c>
      <c r="U10" s="255">
        <v>22</v>
      </c>
      <c r="V10" s="255">
        <v>23</v>
      </c>
      <c r="W10" s="272"/>
    </row>
    <row r="11" spans="1:23" s="143" customFormat="1" ht="24.75" customHeight="1" thickBot="1" thickTop="1">
      <c r="A11" s="1459"/>
      <c r="B11" s="270"/>
      <c r="C11" s="271" t="s">
        <v>271</v>
      </c>
      <c r="D11" s="170">
        <v>1137809914</v>
      </c>
      <c r="E11" s="170">
        <v>852051252</v>
      </c>
      <c r="F11" s="170">
        <v>359427344</v>
      </c>
      <c r="G11" s="170">
        <v>68320002</v>
      </c>
      <c r="H11" s="170">
        <v>86093444</v>
      </c>
      <c r="I11" s="170">
        <v>27176284</v>
      </c>
      <c r="J11" s="170">
        <v>9200000</v>
      </c>
      <c r="K11" s="170">
        <v>4000000</v>
      </c>
      <c r="L11" s="170">
        <v>285758662</v>
      </c>
      <c r="M11" s="170">
        <f>M13+M72+M76</f>
        <v>1236426</v>
      </c>
      <c r="N11" s="170">
        <f>D11+M11</f>
        <v>1139046340</v>
      </c>
      <c r="O11" s="170">
        <f>E11+M11-4100-203000-147000-100000</f>
        <v>852833578</v>
      </c>
      <c r="P11" s="170">
        <f>F11-2500+5007-2150+1978-3727+49000+591+848000</f>
        <v>360323543</v>
      </c>
      <c r="Q11" s="170">
        <f>G11+2500-40000-8851+380-335+8000-4759-591-150000</f>
        <v>68126346</v>
      </c>
      <c r="R11" s="170">
        <f>H11-3516-6792+3516+6792</f>
        <v>86093444</v>
      </c>
      <c r="S11" s="170">
        <f>I11+6701+40000+52620-83735-180992+4000</f>
        <v>27014878</v>
      </c>
      <c r="T11" s="170">
        <f>J11-25000</f>
        <v>9175000</v>
      </c>
      <c r="U11" s="170">
        <f>K11</f>
        <v>4000000</v>
      </c>
      <c r="V11" s="170">
        <f>L11+4100+203000+147000+100000</f>
        <v>286212762</v>
      </c>
      <c r="W11" s="272"/>
    </row>
    <row r="12" spans="1:23" s="143" customFormat="1" ht="19.5" customHeight="1">
      <c r="A12" s="1460"/>
      <c r="B12" s="273"/>
      <c r="C12" s="274" t="s">
        <v>182</v>
      </c>
      <c r="D12" s="275"/>
      <c r="E12" s="169"/>
      <c r="F12" s="169"/>
      <c r="G12" s="169"/>
      <c r="H12" s="169"/>
      <c r="I12" s="169"/>
      <c r="J12" s="169"/>
      <c r="K12" s="169"/>
      <c r="L12" s="169"/>
      <c r="M12" s="169"/>
      <c r="N12" s="275"/>
      <c r="O12" s="275"/>
      <c r="P12" s="169"/>
      <c r="Q12" s="169"/>
      <c r="R12" s="169"/>
      <c r="S12" s="169"/>
      <c r="T12" s="169"/>
      <c r="U12" s="169"/>
      <c r="V12" s="169"/>
      <c r="W12" s="272"/>
    </row>
    <row r="13" spans="1:23" s="143" customFormat="1" ht="19.5" customHeight="1" thickBot="1">
      <c r="A13" s="1461"/>
      <c r="B13" s="276"/>
      <c r="C13" s="277" t="s">
        <v>192</v>
      </c>
      <c r="D13" s="256">
        <v>1020845491</v>
      </c>
      <c r="E13" s="256">
        <v>735649829</v>
      </c>
      <c r="F13" s="256">
        <v>343576619</v>
      </c>
      <c r="G13" s="256">
        <v>67206132</v>
      </c>
      <c r="H13" s="256">
        <v>80993689</v>
      </c>
      <c r="I13" s="256">
        <v>26716284</v>
      </c>
      <c r="J13" s="256">
        <v>9200000</v>
      </c>
      <c r="K13" s="256">
        <v>4000000</v>
      </c>
      <c r="L13" s="256">
        <v>285195662</v>
      </c>
      <c r="M13" s="256">
        <f>M23+M26+M55+M60+M49+M52+M17+M69+M20+M14</f>
        <v>9697</v>
      </c>
      <c r="N13" s="256">
        <f>D13+M13</f>
        <v>1020855188</v>
      </c>
      <c r="O13" s="256">
        <f>E13+M13-4100-203000-147000</f>
        <v>735305426</v>
      </c>
      <c r="P13" s="256">
        <f>F13-2500+5007-2150+1978-3727+49000+591</f>
        <v>343624818</v>
      </c>
      <c r="Q13" s="256">
        <f>G13+2500-40000-8851+380-335+8000-4759-591-150000</f>
        <v>67012476</v>
      </c>
      <c r="R13" s="256">
        <f>H13-3516-6792</f>
        <v>80983381</v>
      </c>
      <c r="S13" s="256">
        <f>I13+6701+40000+52620-83735-180992+4000</f>
        <v>26554878</v>
      </c>
      <c r="T13" s="256">
        <f>J13-25000</f>
        <v>9175000</v>
      </c>
      <c r="U13" s="256">
        <f>K13</f>
        <v>4000000</v>
      </c>
      <c r="V13" s="256">
        <f>L13+4100+203000+147000</f>
        <v>285549762</v>
      </c>
      <c r="W13" s="272"/>
    </row>
    <row r="14" spans="1:23" s="143" customFormat="1" ht="19.5" customHeight="1" thickBot="1" thickTop="1">
      <c r="A14" s="1462">
        <v>750</v>
      </c>
      <c r="B14" s="29"/>
      <c r="C14" s="28" t="s">
        <v>319</v>
      </c>
      <c r="D14" s="30">
        <v>74514876</v>
      </c>
      <c r="E14" s="30">
        <v>64296500</v>
      </c>
      <c r="F14" s="30">
        <v>39245509</v>
      </c>
      <c r="G14" s="30">
        <v>7011600</v>
      </c>
      <c r="H14" s="30"/>
      <c r="I14" s="30">
        <v>417000</v>
      </c>
      <c r="J14" s="30"/>
      <c r="K14" s="30"/>
      <c r="L14" s="30">
        <v>10218376</v>
      </c>
      <c r="M14" s="30"/>
      <c r="N14" s="30">
        <f>D14+M14</f>
        <v>74514876</v>
      </c>
      <c r="O14" s="30">
        <f aca="true" t="shared" si="0" ref="O14:P16">E14</f>
        <v>64296500</v>
      </c>
      <c r="P14" s="30">
        <f t="shared" si="0"/>
        <v>39245509</v>
      </c>
      <c r="Q14" s="30">
        <f>G14-150000</f>
        <v>6861600</v>
      </c>
      <c r="R14" s="30"/>
      <c r="S14" s="30">
        <f>I14</f>
        <v>417000</v>
      </c>
      <c r="T14" s="30"/>
      <c r="U14" s="30"/>
      <c r="V14" s="30">
        <f>L14</f>
        <v>10218376</v>
      </c>
      <c r="W14" s="272"/>
    </row>
    <row r="15" spans="1:23" s="143" customFormat="1" ht="18.75" customHeight="1">
      <c r="A15" s="1450"/>
      <c r="B15" s="279">
        <v>75023</v>
      </c>
      <c r="C15" s="792" t="s">
        <v>96</v>
      </c>
      <c r="D15" s="257">
        <v>70416376</v>
      </c>
      <c r="E15" s="257">
        <v>60198000</v>
      </c>
      <c r="F15" s="257">
        <v>39160509</v>
      </c>
      <c r="G15" s="257">
        <v>7008000</v>
      </c>
      <c r="H15" s="257"/>
      <c r="I15" s="257">
        <v>400000</v>
      </c>
      <c r="J15" s="257"/>
      <c r="K15" s="257"/>
      <c r="L15" s="257">
        <v>10218376</v>
      </c>
      <c r="M15" s="257"/>
      <c r="N15" s="257">
        <f>D15+M15</f>
        <v>70416376</v>
      </c>
      <c r="O15" s="257">
        <f t="shared" si="0"/>
        <v>60198000</v>
      </c>
      <c r="P15" s="257">
        <f t="shared" si="0"/>
        <v>39160509</v>
      </c>
      <c r="Q15" s="257">
        <f>G15-150000</f>
        <v>6858000</v>
      </c>
      <c r="R15" s="257"/>
      <c r="S15" s="257">
        <f>I15</f>
        <v>400000</v>
      </c>
      <c r="T15" s="257"/>
      <c r="U15" s="257"/>
      <c r="V15" s="257">
        <f>L15</f>
        <v>10218376</v>
      </c>
      <c r="W15" s="272"/>
    </row>
    <row r="16" spans="1:23" s="143" customFormat="1" ht="18" customHeight="1">
      <c r="A16" s="1450"/>
      <c r="B16" s="278"/>
      <c r="C16" s="1134" t="s">
        <v>98</v>
      </c>
      <c r="D16" s="562">
        <v>67898000</v>
      </c>
      <c r="E16" s="562">
        <v>60198000</v>
      </c>
      <c r="F16" s="562">
        <v>39160509</v>
      </c>
      <c r="G16" s="562">
        <v>7008000</v>
      </c>
      <c r="H16" s="562"/>
      <c r="I16" s="562">
        <v>400000</v>
      </c>
      <c r="J16" s="562"/>
      <c r="K16" s="562"/>
      <c r="L16" s="562">
        <v>7700000</v>
      </c>
      <c r="M16" s="562"/>
      <c r="N16" s="562">
        <f>D16+M16</f>
        <v>67898000</v>
      </c>
      <c r="O16" s="562">
        <f t="shared" si="0"/>
        <v>60198000</v>
      </c>
      <c r="P16" s="562">
        <f t="shared" si="0"/>
        <v>39160509</v>
      </c>
      <c r="Q16" s="562">
        <f>G16-150000</f>
        <v>6858000</v>
      </c>
      <c r="R16" s="562"/>
      <c r="S16" s="562">
        <f>I16</f>
        <v>400000</v>
      </c>
      <c r="T16" s="562"/>
      <c r="U16" s="562"/>
      <c r="V16" s="562">
        <f>L16</f>
        <v>7700000</v>
      </c>
      <c r="W16" s="272"/>
    </row>
    <row r="17" spans="1:23" s="143" customFormat="1" ht="51.75" thickBot="1">
      <c r="A17" s="1462">
        <v>756</v>
      </c>
      <c r="B17" s="29"/>
      <c r="C17" s="585" t="s">
        <v>685</v>
      </c>
      <c r="D17" s="30">
        <v>267000</v>
      </c>
      <c r="E17" s="30">
        <v>267000</v>
      </c>
      <c r="F17" s="30">
        <v>58000</v>
      </c>
      <c r="G17" s="30"/>
      <c r="H17" s="30"/>
      <c r="I17" s="30"/>
      <c r="J17" s="30"/>
      <c r="K17" s="30"/>
      <c r="L17" s="30"/>
      <c r="M17" s="30"/>
      <c r="N17" s="30">
        <f>D17+M17</f>
        <v>267000</v>
      </c>
      <c r="O17" s="30">
        <f aca="true" t="shared" si="1" ref="O17:O22">E17</f>
        <v>267000</v>
      </c>
      <c r="P17" s="30">
        <v>55500</v>
      </c>
      <c r="Q17" s="30">
        <v>2500</v>
      </c>
      <c r="R17" s="30"/>
      <c r="S17" s="30"/>
      <c r="T17" s="30"/>
      <c r="U17" s="30"/>
      <c r="V17" s="30"/>
      <c r="W17" s="272"/>
    </row>
    <row r="18" spans="1:23" s="143" customFormat="1" ht="25.5">
      <c r="A18" s="1450"/>
      <c r="B18" s="279">
        <v>75647</v>
      </c>
      <c r="C18" s="545" t="s">
        <v>373</v>
      </c>
      <c r="D18" s="257">
        <v>267000</v>
      </c>
      <c r="E18" s="257">
        <v>267000</v>
      </c>
      <c r="F18" s="257">
        <v>58000</v>
      </c>
      <c r="G18" s="257"/>
      <c r="H18" s="257"/>
      <c r="I18" s="257"/>
      <c r="J18" s="257"/>
      <c r="K18" s="257"/>
      <c r="L18" s="257"/>
      <c r="M18" s="257"/>
      <c r="N18" s="257">
        <f aca="true" t="shared" si="2" ref="N18:N37">D18+M18</f>
        <v>267000</v>
      </c>
      <c r="O18" s="257">
        <f t="shared" si="1"/>
        <v>267000</v>
      </c>
      <c r="P18" s="257">
        <v>55500</v>
      </c>
      <c r="Q18" s="257">
        <v>2500</v>
      </c>
      <c r="R18" s="257"/>
      <c r="S18" s="257"/>
      <c r="T18" s="257"/>
      <c r="U18" s="257"/>
      <c r="V18" s="257"/>
      <c r="W18" s="272"/>
    </row>
    <row r="19" spans="1:23" s="143" customFormat="1" ht="18" customHeight="1">
      <c r="A19" s="1450"/>
      <c r="B19" s="278"/>
      <c r="C19" s="586" t="s">
        <v>374</v>
      </c>
      <c r="D19" s="562">
        <v>267000</v>
      </c>
      <c r="E19" s="562">
        <v>267000</v>
      </c>
      <c r="F19" s="562">
        <v>58000</v>
      </c>
      <c r="G19" s="562"/>
      <c r="H19" s="562"/>
      <c r="I19" s="562"/>
      <c r="J19" s="562"/>
      <c r="K19" s="562"/>
      <c r="L19" s="562"/>
      <c r="M19" s="562"/>
      <c r="N19" s="562">
        <f t="shared" si="2"/>
        <v>267000</v>
      </c>
      <c r="O19" s="562">
        <f t="shared" si="1"/>
        <v>267000</v>
      </c>
      <c r="P19" s="562">
        <v>55500</v>
      </c>
      <c r="Q19" s="562">
        <v>2500</v>
      </c>
      <c r="R19" s="562"/>
      <c r="S19" s="562"/>
      <c r="T19" s="562"/>
      <c r="U19" s="562"/>
      <c r="V19" s="562"/>
      <c r="W19" s="272"/>
    </row>
    <row r="20" spans="1:23" s="143" customFormat="1" ht="19.5" customHeight="1" thickBot="1">
      <c r="A20" s="1462">
        <v>757</v>
      </c>
      <c r="B20" s="29"/>
      <c r="C20" s="28" t="s">
        <v>362</v>
      </c>
      <c r="D20" s="30">
        <v>13200000</v>
      </c>
      <c r="E20" s="30">
        <v>13200000</v>
      </c>
      <c r="F20" s="30"/>
      <c r="G20" s="30"/>
      <c r="H20" s="30"/>
      <c r="I20" s="30"/>
      <c r="J20" s="30">
        <v>9200000</v>
      </c>
      <c r="K20" s="30">
        <v>4000000</v>
      </c>
      <c r="L20" s="30"/>
      <c r="M20" s="30"/>
      <c r="N20" s="30">
        <f t="shared" si="2"/>
        <v>13200000</v>
      </c>
      <c r="O20" s="30">
        <f t="shared" si="1"/>
        <v>13200000</v>
      </c>
      <c r="P20" s="30"/>
      <c r="Q20" s="30"/>
      <c r="R20" s="30"/>
      <c r="S20" s="30"/>
      <c r="T20" s="30">
        <v>9175000</v>
      </c>
      <c r="U20" s="30">
        <f>K20</f>
        <v>4000000</v>
      </c>
      <c r="V20" s="30"/>
      <c r="W20" s="272"/>
    </row>
    <row r="21" spans="1:23" s="143" customFormat="1" ht="25.5">
      <c r="A21" s="1450"/>
      <c r="B21" s="279">
        <v>75702</v>
      </c>
      <c r="C21" s="792" t="s">
        <v>363</v>
      </c>
      <c r="D21" s="257">
        <v>9200000</v>
      </c>
      <c r="E21" s="257">
        <v>9200000</v>
      </c>
      <c r="F21" s="257"/>
      <c r="G21" s="257"/>
      <c r="H21" s="257"/>
      <c r="I21" s="257"/>
      <c r="J21" s="257">
        <v>9200000</v>
      </c>
      <c r="K21" s="257"/>
      <c r="L21" s="257"/>
      <c r="M21" s="257"/>
      <c r="N21" s="257">
        <f t="shared" si="2"/>
        <v>9200000</v>
      </c>
      <c r="O21" s="257">
        <f t="shared" si="1"/>
        <v>9200000</v>
      </c>
      <c r="P21" s="257"/>
      <c r="Q21" s="257"/>
      <c r="R21" s="257"/>
      <c r="S21" s="257"/>
      <c r="T21" s="257">
        <v>9175000</v>
      </c>
      <c r="U21" s="257"/>
      <c r="V21" s="257"/>
      <c r="W21" s="272"/>
    </row>
    <row r="22" spans="1:23" s="143" customFormat="1" ht="18" customHeight="1">
      <c r="A22" s="1450"/>
      <c r="B22" s="278"/>
      <c r="C22" s="1134" t="s">
        <v>364</v>
      </c>
      <c r="D22" s="562">
        <v>6100000</v>
      </c>
      <c r="E22" s="562">
        <v>6100000</v>
      </c>
      <c r="F22" s="562"/>
      <c r="G22" s="562"/>
      <c r="H22" s="562"/>
      <c r="I22" s="562"/>
      <c r="J22" s="562">
        <v>6100000</v>
      </c>
      <c r="K22" s="562"/>
      <c r="L22" s="562"/>
      <c r="M22" s="562"/>
      <c r="N22" s="562">
        <f t="shared" si="2"/>
        <v>6100000</v>
      </c>
      <c r="O22" s="562">
        <f t="shared" si="1"/>
        <v>6100000</v>
      </c>
      <c r="P22" s="562"/>
      <c r="Q22" s="562"/>
      <c r="R22" s="562"/>
      <c r="S22" s="562"/>
      <c r="T22" s="562">
        <v>6075000</v>
      </c>
      <c r="U22" s="562"/>
      <c r="V22" s="562"/>
      <c r="W22" s="272"/>
    </row>
    <row r="23" spans="1:23" s="143" customFormat="1" ht="19.5" customHeight="1" thickBot="1">
      <c r="A23" s="1462">
        <v>758</v>
      </c>
      <c r="B23" s="29"/>
      <c r="C23" s="28" t="s">
        <v>391</v>
      </c>
      <c r="D23" s="30">
        <v>10761841</v>
      </c>
      <c r="E23" s="30">
        <v>10261841</v>
      </c>
      <c r="F23" s="30">
        <v>85499</v>
      </c>
      <c r="G23" s="30">
        <v>985</v>
      </c>
      <c r="H23" s="30"/>
      <c r="I23" s="30"/>
      <c r="J23" s="30"/>
      <c r="K23" s="30"/>
      <c r="L23" s="30">
        <v>500000</v>
      </c>
      <c r="M23" s="30">
        <f>M24</f>
        <v>-151070</v>
      </c>
      <c r="N23" s="30">
        <f t="shared" si="2"/>
        <v>10610771</v>
      </c>
      <c r="O23" s="30">
        <f>E23+M23</f>
        <v>10110771</v>
      </c>
      <c r="P23" s="30">
        <f>F23</f>
        <v>85499</v>
      </c>
      <c r="Q23" s="30">
        <f>G23</f>
        <v>985</v>
      </c>
      <c r="R23" s="30"/>
      <c r="S23" s="30"/>
      <c r="T23" s="30"/>
      <c r="U23" s="30"/>
      <c r="V23" s="30">
        <f>L23</f>
        <v>500000</v>
      </c>
      <c r="W23" s="272"/>
    </row>
    <row r="24" spans="1:23" s="143" customFormat="1" ht="19.5" customHeight="1">
      <c r="A24" s="1450"/>
      <c r="B24" s="279">
        <v>75818</v>
      </c>
      <c r="C24" s="280" t="s">
        <v>392</v>
      </c>
      <c r="D24" s="257">
        <v>4879575</v>
      </c>
      <c r="E24" s="257">
        <v>4379575</v>
      </c>
      <c r="F24" s="257"/>
      <c r="G24" s="257"/>
      <c r="H24" s="257"/>
      <c r="I24" s="257"/>
      <c r="J24" s="257"/>
      <c r="K24" s="257"/>
      <c r="L24" s="257">
        <v>500000</v>
      </c>
      <c r="M24" s="257">
        <f>M25</f>
        <v>-151070</v>
      </c>
      <c r="N24" s="257">
        <f t="shared" si="2"/>
        <v>4728505</v>
      </c>
      <c r="O24" s="257">
        <f>E24+M24</f>
        <v>4228505</v>
      </c>
      <c r="P24" s="257"/>
      <c r="Q24" s="257"/>
      <c r="R24" s="257"/>
      <c r="S24" s="257"/>
      <c r="T24" s="257"/>
      <c r="U24" s="257"/>
      <c r="V24" s="257">
        <f>L24</f>
        <v>500000</v>
      </c>
      <c r="W24" s="272"/>
    </row>
    <row r="25" spans="1:23" s="143" customFormat="1" ht="18" customHeight="1">
      <c r="A25" s="1450"/>
      <c r="B25" s="278"/>
      <c r="C25" s="547" t="s">
        <v>624</v>
      </c>
      <c r="D25" s="562">
        <v>3480800</v>
      </c>
      <c r="E25" s="562">
        <v>3480800</v>
      </c>
      <c r="F25" s="562"/>
      <c r="G25" s="562"/>
      <c r="H25" s="562"/>
      <c r="I25" s="562"/>
      <c r="J25" s="562"/>
      <c r="K25" s="562"/>
      <c r="L25" s="562"/>
      <c r="M25" s="562">
        <v>-151070</v>
      </c>
      <c r="N25" s="562">
        <f t="shared" si="2"/>
        <v>3329730</v>
      </c>
      <c r="O25" s="562">
        <f>E25+M25</f>
        <v>3329730</v>
      </c>
      <c r="P25" s="562"/>
      <c r="Q25" s="562"/>
      <c r="R25" s="562"/>
      <c r="S25" s="562"/>
      <c r="T25" s="562"/>
      <c r="U25" s="562"/>
      <c r="V25" s="562"/>
      <c r="W25" s="272"/>
    </row>
    <row r="26" spans="1:23" s="143" customFormat="1" ht="19.5" customHeight="1" thickBot="1">
      <c r="A26" s="1462">
        <v>801</v>
      </c>
      <c r="B26" s="29"/>
      <c r="C26" s="28" t="s">
        <v>395</v>
      </c>
      <c r="D26" s="30">
        <v>401944947</v>
      </c>
      <c r="E26" s="30">
        <v>360334638</v>
      </c>
      <c r="F26" s="30">
        <v>235985535</v>
      </c>
      <c r="G26" s="30">
        <v>46922885</v>
      </c>
      <c r="H26" s="30">
        <v>27731915</v>
      </c>
      <c r="I26" s="30">
        <v>7244562</v>
      </c>
      <c r="J26" s="30"/>
      <c r="K26" s="30"/>
      <c r="L26" s="30">
        <v>41610309</v>
      </c>
      <c r="M26" s="30">
        <f>M27+M30+M32+M44+M42+M36+M40+M34+M38+M46</f>
        <v>9697</v>
      </c>
      <c r="N26" s="30">
        <f t="shared" si="2"/>
        <v>401954644</v>
      </c>
      <c r="O26" s="30">
        <f>E26+M26-4100-203000</f>
        <v>360137235</v>
      </c>
      <c r="P26" s="30">
        <f>F26+5007-2150+1978</f>
        <v>235990370</v>
      </c>
      <c r="Q26" s="30">
        <f>G26-40000-8851+380</f>
        <v>46874414</v>
      </c>
      <c r="R26" s="30">
        <f>H26</f>
        <v>27731915</v>
      </c>
      <c r="S26" s="30">
        <f>I26+6701+40000+52620-83735-180992</f>
        <v>7079156</v>
      </c>
      <c r="T26" s="30"/>
      <c r="U26" s="30"/>
      <c r="V26" s="30">
        <f>L26+4100+203000</f>
        <v>41817409</v>
      </c>
      <c r="W26" s="272"/>
    </row>
    <row r="27" spans="1:23" s="143" customFormat="1" ht="19.5" customHeight="1">
      <c r="A27" s="1450"/>
      <c r="B27" s="279">
        <v>80101</v>
      </c>
      <c r="C27" s="280" t="s">
        <v>396</v>
      </c>
      <c r="D27" s="257">
        <v>119382667</v>
      </c>
      <c r="E27" s="257">
        <v>92033861</v>
      </c>
      <c r="F27" s="257">
        <v>63220270</v>
      </c>
      <c r="G27" s="257">
        <v>13016100</v>
      </c>
      <c r="H27" s="257">
        <v>1335000</v>
      </c>
      <c r="I27" s="257">
        <v>2223600</v>
      </c>
      <c r="J27" s="257"/>
      <c r="K27" s="257"/>
      <c r="L27" s="257">
        <v>27348806</v>
      </c>
      <c r="M27" s="257">
        <f>M28+M29</f>
        <v>-54706</v>
      </c>
      <c r="N27" s="257">
        <f t="shared" si="2"/>
        <v>119327961</v>
      </c>
      <c r="O27" s="257">
        <f>E27+M29+M28</f>
        <v>91979155</v>
      </c>
      <c r="P27" s="257">
        <f aca="true" t="shared" si="3" ref="P27:P37">F27</f>
        <v>63220270</v>
      </c>
      <c r="Q27" s="257">
        <f>G27-40000</f>
        <v>12976100</v>
      </c>
      <c r="R27" s="257">
        <f>H27</f>
        <v>1335000</v>
      </c>
      <c r="S27" s="257">
        <f>I27+6701</f>
        <v>2230301</v>
      </c>
      <c r="T27" s="257"/>
      <c r="U27" s="257"/>
      <c r="V27" s="257">
        <f>L27</f>
        <v>27348806</v>
      </c>
      <c r="W27" s="272"/>
    </row>
    <row r="28" spans="1:23" s="143" customFormat="1" ht="25.5">
      <c r="A28" s="1450"/>
      <c r="B28" s="278"/>
      <c r="C28" s="524" t="s">
        <v>716</v>
      </c>
      <c r="D28" s="525">
        <v>117193997</v>
      </c>
      <c r="E28" s="525">
        <v>89845191</v>
      </c>
      <c r="F28" s="525">
        <v>62549000</v>
      </c>
      <c r="G28" s="525">
        <v>12821200</v>
      </c>
      <c r="H28" s="525"/>
      <c r="I28" s="525">
        <v>2223600</v>
      </c>
      <c r="J28" s="525"/>
      <c r="K28" s="525"/>
      <c r="L28" s="525">
        <v>27348806</v>
      </c>
      <c r="M28" s="525">
        <v>-57156</v>
      </c>
      <c r="N28" s="525">
        <f>D28+M28</f>
        <v>117136841</v>
      </c>
      <c r="O28" s="525">
        <f aca="true" t="shared" si="4" ref="O28:O35">E28+M28</f>
        <v>89788035</v>
      </c>
      <c r="P28" s="525">
        <f t="shared" si="3"/>
        <v>62549000</v>
      </c>
      <c r="Q28" s="525">
        <f>G28-40000</f>
        <v>12781200</v>
      </c>
      <c r="R28" s="525"/>
      <c r="S28" s="525">
        <f>I28+6701</f>
        <v>2230301</v>
      </c>
      <c r="T28" s="525"/>
      <c r="U28" s="525"/>
      <c r="V28" s="525">
        <f>L28</f>
        <v>27348806</v>
      </c>
      <c r="W28" s="272"/>
    </row>
    <row r="29" spans="1:23" s="143" customFormat="1" ht="18" customHeight="1">
      <c r="A29" s="1450"/>
      <c r="B29" s="278"/>
      <c r="C29" s="1470" t="s">
        <v>69</v>
      </c>
      <c r="D29" s="1432">
        <v>450000</v>
      </c>
      <c r="E29" s="1432">
        <v>450000</v>
      </c>
      <c r="F29" s="1432">
        <v>352000</v>
      </c>
      <c r="G29" s="1432">
        <v>71900</v>
      </c>
      <c r="H29" s="1432"/>
      <c r="I29" s="1432"/>
      <c r="J29" s="1432"/>
      <c r="K29" s="1432"/>
      <c r="L29" s="1432"/>
      <c r="M29" s="1432">
        <v>2450</v>
      </c>
      <c r="N29" s="1432">
        <f t="shared" si="2"/>
        <v>452450</v>
      </c>
      <c r="O29" s="1432">
        <f t="shared" si="4"/>
        <v>452450</v>
      </c>
      <c r="P29" s="1432">
        <f t="shared" si="3"/>
        <v>352000</v>
      </c>
      <c r="Q29" s="1432">
        <f aca="true" t="shared" si="5" ref="Q29:Q37">G29</f>
        <v>71900</v>
      </c>
      <c r="R29" s="1432"/>
      <c r="S29" s="1432"/>
      <c r="T29" s="1432"/>
      <c r="U29" s="1432"/>
      <c r="V29" s="1432"/>
      <c r="W29" s="272"/>
    </row>
    <row r="30" spans="1:23" s="143" customFormat="1" ht="19.5" customHeight="1">
      <c r="A30" s="1450"/>
      <c r="B30" s="291">
        <v>80102</v>
      </c>
      <c r="C30" s="629" t="s">
        <v>593</v>
      </c>
      <c r="D30" s="630">
        <v>7390440</v>
      </c>
      <c r="E30" s="630">
        <v>7385440</v>
      </c>
      <c r="F30" s="630">
        <v>5722510</v>
      </c>
      <c r="G30" s="630">
        <v>1082800</v>
      </c>
      <c r="H30" s="630"/>
      <c r="I30" s="630"/>
      <c r="J30" s="630"/>
      <c r="K30" s="630"/>
      <c r="L30" s="630">
        <v>5000</v>
      </c>
      <c r="M30" s="630">
        <f>M31</f>
        <v>5348</v>
      </c>
      <c r="N30" s="630">
        <f t="shared" si="2"/>
        <v>7395788</v>
      </c>
      <c r="O30" s="630">
        <f t="shared" si="4"/>
        <v>7390788</v>
      </c>
      <c r="P30" s="630">
        <f t="shared" si="3"/>
        <v>5722510</v>
      </c>
      <c r="Q30" s="630">
        <f t="shared" si="5"/>
        <v>1082800</v>
      </c>
      <c r="R30" s="630"/>
      <c r="S30" s="630"/>
      <c r="T30" s="630"/>
      <c r="U30" s="630"/>
      <c r="V30" s="630">
        <f aca="true" t="shared" si="6" ref="V30:V35">L30</f>
        <v>5000</v>
      </c>
      <c r="W30" s="272"/>
    </row>
    <row r="31" spans="1:23" s="143" customFormat="1" ht="25.5">
      <c r="A31" s="1450"/>
      <c r="B31" s="278"/>
      <c r="C31" s="1090" t="s">
        <v>246</v>
      </c>
      <c r="D31" s="525">
        <v>7387430</v>
      </c>
      <c r="E31" s="525">
        <v>7382430</v>
      </c>
      <c r="F31" s="525">
        <v>5720000</v>
      </c>
      <c r="G31" s="525">
        <v>1082300</v>
      </c>
      <c r="H31" s="525"/>
      <c r="I31" s="525"/>
      <c r="J31" s="525"/>
      <c r="K31" s="525"/>
      <c r="L31" s="525">
        <v>5000</v>
      </c>
      <c r="M31" s="525">
        <v>5348</v>
      </c>
      <c r="N31" s="525">
        <f t="shared" si="2"/>
        <v>7392778</v>
      </c>
      <c r="O31" s="525">
        <f t="shared" si="4"/>
        <v>7387778</v>
      </c>
      <c r="P31" s="525">
        <f t="shared" si="3"/>
        <v>5720000</v>
      </c>
      <c r="Q31" s="525">
        <f t="shared" si="5"/>
        <v>1082300</v>
      </c>
      <c r="R31" s="525"/>
      <c r="S31" s="525"/>
      <c r="T31" s="525"/>
      <c r="U31" s="525"/>
      <c r="V31" s="525">
        <f t="shared" si="6"/>
        <v>5000</v>
      </c>
      <c r="W31" s="272"/>
    </row>
    <row r="32" spans="1:23" s="143" customFormat="1" ht="19.5" customHeight="1">
      <c r="A32" s="1450"/>
      <c r="B32" s="291">
        <v>80104</v>
      </c>
      <c r="C32" s="629" t="s">
        <v>595</v>
      </c>
      <c r="D32" s="630">
        <v>55968035</v>
      </c>
      <c r="E32" s="630">
        <v>55173726</v>
      </c>
      <c r="F32" s="630">
        <v>34015785</v>
      </c>
      <c r="G32" s="630">
        <v>6479000</v>
      </c>
      <c r="H32" s="630">
        <v>7300000</v>
      </c>
      <c r="I32" s="630">
        <v>650000</v>
      </c>
      <c r="J32" s="630"/>
      <c r="K32" s="630"/>
      <c r="L32" s="630">
        <v>794309</v>
      </c>
      <c r="M32" s="630">
        <f>M33</f>
        <v>40000</v>
      </c>
      <c r="N32" s="630">
        <f t="shared" si="2"/>
        <v>56008035</v>
      </c>
      <c r="O32" s="630">
        <f t="shared" si="4"/>
        <v>55213726</v>
      </c>
      <c r="P32" s="630">
        <f t="shared" si="3"/>
        <v>34015785</v>
      </c>
      <c r="Q32" s="630">
        <f t="shared" si="5"/>
        <v>6479000</v>
      </c>
      <c r="R32" s="630">
        <f>H32</f>
        <v>7300000</v>
      </c>
      <c r="S32" s="630">
        <f>I32+40000</f>
        <v>690000</v>
      </c>
      <c r="T32" s="630"/>
      <c r="U32" s="630"/>
      <c r="V32" s="630">
        <f t="shared" si="6"/>
        <v>794309</v>
      </c>
      <c r="W32" s="272"/>
    </row>
    <row r="33" spans="1:23" s="143" customFormat="1" ht="18" customHeight="1">
      <c r="A33" s="1450"/>
      <c r="B33" s="278"/>
      <c r="C33" s="524" t="s">
        <v>627</v>
      </c>
      <c r="D33" s="525">
        <v>48638035</v>
      </c>
      <c r="E33" s="525">
        <v>47843726</v>
      </c>
      <c r="F33" s="525">
        <v>34015785</v>
      </c>
      <c r="G33" s="525">
        <v>6479000</v>
      </c>
      <c r="H33" s="525"/>
      <c r="I33" s="525">
        <v>650000</v>
      </c>
      <c r="J33" s="525"/>
      <c r="K33" s="525"/>
      <c r="L33" s="525">
        <v>794309</v>
      </c>
      <c r="M33" s="525">
        <v>40000</v>
      </c>
      <c r="N33" s="525">
        <f t="shared" si="2"/>
        <v>48678035</v>
      </c>
      <c r="O33" s="525">
        <f t="shared" si="4"/>
        <v>47883726</v>
      </c>
      <c r="P33" s="525">
        <f t="shared" si="3"/>
        <v>34015785</v>
      </c>
      <c r="Q33" s="525">
        <f t="shared" si="5"/>
        <v>6479000</v>
      </c>
      <c r="R33" s="525"/>
      <c r="S33" s="525">
        <f>I33+40000</f>
        <v>690000</v>
      </c>
      <c r="T33" s="525"/>
      <c r="U33" s="525"/>
      <c r="V33" s="525">
        <f t="shared" si="6"/>
        <v>794309</v>
      </c>
      <c r="W33" s="272"/>
    </row>
    <row r="34" spans="1:23" s="143" customFormat="1" ht="19.5" customHeight="1">
      <c r="A34" s="1450"/>
      <c r="B34" s="291">
        <v>80105</v>
      </c>
      <c r="C34" s="1135" t="s">
        <v>53</v>
      </c>
      <c r="D34" s="630">
        <v>1931405</v>
      </c>
      <c r="E34" s="630">
        <v>1926405</v>
      </c>
      <c r="F34" s="630">
        <v>1446000</v>
      </c>
      <c r="G34" s="630">
        <v>267900</v>
      </c>
      <c r="H34" s="630"/>
      <c r="I34" s="630">
        <v>50000</v>
      </c>
      <c r="J34" s="630"/>
      <c r="K34" s="630"/>
      <c r="L34" s="630">
        <v>5000</v>
      </c>
      <c r="M34" s="630">
        <f>M35</f>
        <v>7000</v>
      </c>
      <c r="N34" s="630">
        <f t="shared" si="2"/>
        <v>1938405</v>
      </c>
      <c r="O34" s="630">
        <f t="shared" si="4"/>
        <v>1933405</v>
      </c>
      <c r="P34" s="630">
        <f t="shared" si="3"/>
        <v>1446000</v>
      </c>
      <c r="Q34" s="630">
        <f t="shared" si="5"/>
        <v>267900</v>
      </c>
      <c r="R34" s="630"/>
      <c r="S34" s="630">
        <f>I34</f>
        <v>50000</v>
      </c>
      <c r="T34" s="630"/>
      <c r="U34" s="630"/>
      <c r="V34" s="630">
        <f t="shared" si="6"/>
        <v>5000</v>
      </c>
      <c r="W34" s="272"/>
    </row>
    <row r="35" spans="1:23" s="143" customFormat="1" ht="25.5">
      <c r="A35" s="1450"/>
      <c r="B35" s="278"/>
      <c r="C35" s="1090" t="s">
        <v>71</v>
      </c>
      <c r="D35" s="525">
        <v>1931405</v>
      </c>
      <c r="E35" s="525">
        <v>1926405</v>
      </c>
      <c r="F35" s="525">
        <v>1446000</v>
      </c>
      <c r="G35" s="525">
        <v>267900</v>
      </c>
      <c r="H35" s="525"/>
      <c r="I35" s="525">
        <v>50000</v>
      </c>
      <c r="J35" s="525"/>
      <c r="K35" s="525"/>
      <c r="L35" s="525">
        <v>5000</v>
      </c>
      <c r="M35" s="525">
        <v>7000</v>
      </c>
      <c r="N35" s="525">
        <f t="shared" si="2"/>
        <v>1938405</v>
      </c>
      <c r="O35" s="525">
        <f t="shared" si="4"/>
        <v>1933405</v>
      </c>
      <c r="P35" s="525">
        <f t="shared" si="3"/>
        <v>1446000</v>
      </c>
      <c r="Q35" s="525">
        <f t="shared" si="5"/>
        <v>267900</v>
      </c>
      <c r="R35" s="525"/>
      <c r="S35" s="525">
        <f>I35</f>
        <v>50000</v>
      </c>
      <c r="T35" s="525"/>
      <c r="U35" s="525"/>
      <c r="V35" s="525">
        <f t="shared" si="6"/>
        <v>5000</v>
      </c>
      <c r="W35" s="272"/>
    </row>
    <row r="36" spans="1:23" s="143" customFormat="1" ht="19.5" customHeight="1">
      <c r="A36" s="1450"/>
      <c r="B36" s="291">
        <v>80110</v>
      </c>
      <c r="C36" s="629" t="s">
        <v>596</v>
      </c>
      <c r="D36" s="630">
        <v>63265172</v>
      </c>
      <c r="E36" s="630">
        <v>59349172</v>
      </c>
      <c r="F36" s="630">
        <v>38909572</v>
      </c>
      <c r="G36" s="630">
        <v>7668400</v>
      </c>
      <c r="H36" s="630">
        <v>4375000</v>
      </c>
      <c r="I36" s="630">
        <v>1560000</v>
      </c>
      <c r="J36" s="630"/>
      <c r="K36" s="630"/>
      <c r="L36" s="630">
        <v>3916000</v>
      </c>
      <c r="M36" s="630">
        <f>M37</f>
        <v>54720</v>
      </c>
      <c r="N36" s="630">
        <f t="shared" si="2"/>
        <v>63319892</v>
      </c>
      <c r="O36" s="630">
        <f>E36+M36-4100</f>
        <v>59399792</v>
      </c>
      <c r="P36" s="630">
        <f t="shared" si="3"/>
        <v>38909572</v>
      </c>
      <c r="Q36" s="630">
        <f t="shared" si="5"/>
        <v>7668400</v>
      </c>
      <c r="R36" s="630">
        <f>H36</f>
        <v>4375000</v>
      </c>
      <c r="S36" s="630">
        <f>I36+52620</f>
        <v>1612620</v>
      </c>
      <c r="T36" s="630"/>
      <c r="U36" s="630"/>
      <c r="V36" s="630">
        <f>L36+4100</f>
        <v>3920100</v>
      </c>
      <c r="W36" s="272"/>
    </row>
    <row r="37" spans="1:23" s="143" customFormat="1" ht="18" customHeight="1">
      <c r="A37" s="1450"/>
      <c r="B37" s="278"/>
      <c r="C37" s="524" t="s">
        <v>136</v>
      </c>
      <c r="D37" s="562">
        <v>58848372</v>
      </c>
      <c r="E37" s="562">
        <v>54932372</v>
      </c>
      <c r="F37" s="562">
        <v>38909572</v>
      </c>
      <c r="G37" s="562">
        <v>7668400</v>
      </c>
      <c r="H37" s="562"/>
      <c r="I37" s="562">
        <v>1560000</v>
      </c>
      <c r="J37" s="562"/>
      <c r="K37" s="562"/>
      <c r="L37" s="562">
        <v>3916000</v>
      </c>
      <c r="M37" s="562">
        <v>54720</v>
      </c>
      <c r="N37" s="562">
        <f t="shared" si="2"/>
        <v>58903092</v>
      </c>
      <c r="O37" s="562">
        <f>E37+M37-4100</f>
        <v>54982992</v>
      </c>
      <c r="P37" s="562">
        <f t="shared" si="3"/>
        <v>38909572</v>
      </c>
      <c r="Q37" s="562">
        <f t="shared" si="5"/>
        <v>7668400</v>
      </c>
      <c r="R37" s="562"/>
      <c r="S37" s="562">
        <f>I37+52620</f>
        <v>1612620</v>
      </c>
      <c r="T37" s="562"/>
      <c r="U37" s="562"/>
      <c r="V37" s="562">
        <f>L37+4100</f>
        <v>3920100</v>
      </c>
      <c r="W37" s="272"/>
    </row>
    <row r="38" spans="1:23" s="143" customFormat="1" ht="19.5" customHeight="1">
      <c r="A38" s="1450"/>
      <c r="B38" s="291">
        <v>80111</v>
      </c>
      <c r="C38" s="1135" t="s">
        <v>54</v>
      </c>
      <c r="D38" s="630">
        <v>5000785</v>
      </c>
      <c r="E38" s="630">
        <v>4990785</v>
      </c>
      <c r="F38" s="630">
        <v>3874000</v>
      </c>
      <c r="G38" s="630">
        <v>748600</v>
      </c>
      <c r="H38" s="630"/>
      <c r="I38" s="630"/>
      <c r="J38" s="630"/>
      <c r="K38" s="630"/>
      <c r="L38" s="630">
        <v>10000</v>
      </c>
      <c r="M38" s="630">
        <f>M39</f>
        <v>2000</v>
      </c>
      <c r="N38" s="630">
        <f>D38+M38</f>
        <v>5002785</v>
      </c>
      <c r="O38" s="630">
        <f>E38+M38</f>
        <v>4992785</v>
      </c>
      <c r="P38" s="630">
        <f>F38</f>
        <v>3874000</v>
      </c>
      <c r="Q38" s="630">
        <f>G38</f>
        <v>748600</v>
      </c>
      <c r="R38" s="630"/>
      <c r="S38" s="630"/>
      <c r="T38" s="630"/>
      <c r="U38" s="630"/>
      <c r="V38" s="630">
        <f>L38</f>
        <v>10000</v>
      </c>
      <c r="W38" s="272"/>
    </row>
    <row r="39" spans="1:23" s="143" customFormat="1" ht="25.5">
      <c r="A39" s="1450"/>
      <c r="B39" s="278"/>
      <c r="C39" s="1090" t="s">
        <v>72</v>
      </c>
      <c r="D39" s="525">
        <v>5000785</v>
      </c>
      <c r="E39" s="525">
        <v>4990785</v>
      </c>
      <c r="F39" s="525">
        <v>3874000</v>
      </c>
      <c r="G39" s="525">
        <v>748600</v>
      </c>
      <c r="H39" s="525"/>
      <c r="I39" s="525"/>
      <c r="J39" s="525"/>
      <c r="K39" s="525"/>
      <c r="L39" s="525">
        <v>10000</v>
      </c>
      <c r="M39" s="525">
        <v>2000</v>
      </c>
      <c r="N39" s="525">
        <f>D39+M39</f>
        <v>5002785</v>
      </c>
      <c r="O39" s="525">
        <f>E39+M39</f>
        <v>4992785</v>
      </c>
      <c r="P39" s="525">
        <f>F39</f>
        <v>3874000</v>
      </c>
      <c r="Q39" s="525">
        <f>G39</f>
        <v>748600</v>
      </c>
      <c r="R39" s="525"/>
      <c r="S39" s="525"/>
      <c r="T39" s="525"/>
      <c r="U39" s="525"/>
      <c r="V39" s="525">
        <f>L39</f>
        <v>10000</v>
      </c>
      <c r="W39" s="272"/>
    </row>
    <row r="40" spans="1:23" s="143" customFormat="1" ht="19.5" customHeight="1">
      <c r="A40" s="1450"/>
      <c r="B40" s="291">
        <v>80120</v>
      </c>
      <c r="C40" s="629" t="s">
        <v>597</v>
      </c>
      <c r="D40" s="630">
        <v>55525395</v>
      </c>
      <c r="E40" s="630">
        <v>55025395</v>
      </c>
      <c r="F40" s="630">
        <v>35462900</v>
      </c>
      <c r="G40" s="630">
        <v>7005120</v>
      </c>
      <c r="H40" s="630">
        <v>5840835</v>
      </c>
      <c r="I40" s="630">
        <v>1273970</v>
      </c>
      <c r="J40" s="630"/>
      <c r="K40" s="630"/>
      <c r="L40" s="630">
        <v>500000</v>
      </c>
      <c r="M40" s="630">
        <f>M41</f>
        <v>-66228</v>
      </c>
      <c r="N40" s="630">
        <f aca="true" t="shared" si="7" ref="N40:N51">D40+M40</f>
        <v>55459167</v>
      </c>
      <c r="O40" s="630">
        <f>E40+M40</f>
        <v>54959167</v>
      </c>
      <c r="P40" s="630">
        <f>F40+5007</f>
        <v>35467907</v>
      </c>
      <c r="Q40" s="630">
        <f>G40-8851</f>
        <v>6996269</v>
      </c>
      <c r="R40" s="630">
        <f>H40</f>
        <v>5840835</v>
      </c>
      <c r="S40" s="630">
        <f>I40-83735</f>
        <v>1190235</v>
      </c>
      <c r="T40" s="630"/>
      <c r="U40" s="630"/>
      <c r="V40" s="630">
        <f>L40</f>
        <v>500000</v>
      </c>
      <c r="W40" s="272"/>
    </row>
    <row r="41" spans="1:23" s="143" customFormat="1" ht="25.5">
      <c r="A41" s="1450"/>
      <c r="B41" s="278"/>
      <c r="C41" s="524" t="s">
        <v>137</v>
      </c>
      <c r="D41" s="525">
        <v>49673660</v>
      </c>
      <c r="E41" s="525">
        <v>49173660</v>
      </c>
      <c r="F41" s="525">
        <v>35462900</v>
      </c>
      <c r="G41" s="525">
        <v>7005120</v>
      </c>
      <c r="H41" s="525"/>
      <c r="I41" s="525">
        <v>1273970</v>
      </c>
      <c r="J41" s="525"/>
      <c r="K41" s="525"/>
      <c r="L41" s="525">
        <v>500000</v>
      </c>
      <c r="M41" s="525">
        <v>-66228</v>
      </c>
      <c r="N41" s="525">
        <f t="shared" si="7"/>
        <v>49607432</v>
      </c>
      <c r="O41" s="525">
        <f>E41+M41</f>
        <v>49107432</v>
      </c>
      <c r="P41" s="525">
        <f>F41+5007</f>
        <v>35467907</v>
      </c>
      <c r="Q41" s="525">
        <f>G41-8851</f>
        <v>6996269</v>
      </c>
      <c r="R41" s="525"/>
      <c r="S41" s="525">
        <f>I41-83735</f>
        <v>1190235</v>
      </c>
      <c r="T41" s="525"/>
      <c r="U41" s="525"/>
      <c r="V41" s="525">
        <f>L41</f>
        <v>500000</v>
      </c>
      <c r="W41" s="272"/>
    </row>
    <row r="42" spans="1:65" s="143" customFormat="1" ht="19.5" customHeight="1">
      <c r="A42" s="1450"/>
      <c r="B42" s="291">
        <v>80130</v>
      </c>
      <c r="C42" s="629" t="s">
        <v>399</v>
      </c>
      <c r="D42" s="630">
        <v>54240249</v>
      </c>
      <c r="E42" s="630">
        <v>45744055</v>
      </c>
      <c r="F42" s="630">
        <v>26223200</v>
      </c>
      <c r="G42" s="630">
        <v>5244010</v>
      </c>
      <c r="H42" s="630">
        <v>8186680</v>
      </c>
      <c r="I42" s="630">
        <v>1036992</v>
      </c>
      <c r="J42" s="630"/>
      <c r="K42" s="630"/>
      <c r="L42" s="630">
        <v>8496194</v>
      </c>
      <c r="M42" s="630">
        <f>M43</f>
        <v>9508</v>
      </c>
      <c r="N42" s="630">
        <f t="shared" si="7"/>
        <v>54249757</v>
      </c>
      <c r="O42" s="630">
        <f>E42+M43-203000</f>
        <v>45550563</v>
      </c>
      <c r="P42" s="630">
        <f>F42</f>
        <v>26223200</v>
      </c>
      <c r="Q42" s="630">
        <f>G42</f>
        <v>5244010</v>
      </c>
      <c r="R42" s="630">
        <f>H42</f>
        <v>8186680</v>
      </c>
      <c r="S42" s="630">
        <f>I42-180992</f>
        <v>856000</v>
      </c>
      <c r="T42" s="630"/>
      <c r="U42" s="630"/>
      <c r="V42" s="630">
        <f>L42+203000</f>
        <v>8699194</v>
      </c>
      <c r="W42" s="882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</row>
    <row r="43" spans="1:65" s="143" customFormat="1" ht="25.5">
      <c r="A43" s="1450"/>
      <c r="B43" s="278"/>
      <c r="C43" s="524" t="s">
        <v>724</v>
      </c>
      <c r="D43" s="525">
        <v>45930969</v>
      </c>
      <c r="E43" s="525">
        <v>37434775</v>
      </c>
      <c r="F43" s="525">
        <v>26170000</v>
      </c>
      <c r="G43" s="525">
        <v>5235010</v>
      </c>
      <c r="H43" s="525"/>
      <c r="I43" s="525">
        <v>1036992</v>
      </c>
      <c r="J43" s="525"/>
      <c r="K43" s="525"/>
      <c r="L43" s="525">
        <v>8496194</v>
      </c>
      <c r="M43" s="525">
        <v>9508</v>
      </c>
      <c r="N43" s="525">
        <f t="shared" si="7"/>
        <v>45940477</v>
      </c>
      <c r="O43" s="525">
        <f>E43+M43-203000</f>
        <v>37241283</v>
      </c>
      <c r="P43" s="525">
        <f>F43</f>
        <v>26170000</v>
      </c>
      <c r="Q43" s="525">
        <f>G43</f>
        <v>5235010</v>
      </c>
      <c r="R43" s="525"/>
      <c r="S43" s="525">
        <f>I43-180992</f>
        <v>856000</v>
      </c>
      <c r="T43" s="525"/>
      <c r="U43" s="525"/>
      <c r="V43" s="525">
        <f>L43+203000</f>
        <v>8699194</v>
      </c>
      <c r="W43" s="882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</row>
    <row r="44" spans="1:23" s="143" customFormat="1" ht="19.5" customHeight="1">
      <c r="A44" s="1450"/>
      <c r="B44" s="291">
        <v>80146</v>
      </c>
      <c r="C44" s="629" t="s">
        <v>604</v>
      </c>
      <c r="D44" s="630">
        <v>1640000</v>
      </c>
      <c r="E44" s="630">
        <v>1640000</v>
      </c>
      <c r="F44" s="630">
        <v>672050</v>
      </c>
      <c r="G44" s="630">
        <v>50000</v>
      </c>
      <c r="H44" s="630"/>
      <c r="I44" s="630"/>
      <c r="J44" s="630"/>
      <c r="K44" s="630"/>
      <c r="L44" s="630"/>
      <c r="M44" s="630">
        <f>M45</f>
        <v>0</v>
      </c>
      <c r="N44" s="630">
        <f t="shared" si="7"/>
        <v>1640000</v>
      </c>
      <c r="O44" s="630">
        <f>E44+M44</f>
        <v>1640000</v>
      </c>
      <c r="P44" s="630">
        <f>F44-2150</f>
        <v>669900</v>
      </c>
      <c r="Q44" s="630">
        <f>G44</f>
        <v>50000</v>
      </c>
      <c r="R44" s="630"/>
      <c r="S44" s="630"/>
      <c r="T44" s="630"/>
      <c r="U44" s="630"/>
      <c r="V44" s="630"/>
      <c r="W44" s="272"/>
    </row>
    <row r="45" spans="1:23" s="143" customFormat="1" ht="18" customHeight="1">
      <c r="A45" s="1450"/>
      <c r="B45" s="278"/>
      <c r="C45" s="547" t="s">
        <v>692</v>
      </c>
      <c r="D45" s="562">
        <v>1640000</v>
      </c>
      <c r="E45" s="562">
        <v>1640000</v>
      </c>
      <c r="F45" s="562">
        <v>672050</v>
      </c>
      <c r="G45" s="562">
        <v>50000</v>
      </c>
      <c r="H45" s="562"/>
      <c r="I45" s="562"/>
      <c r="J45" s="562"/>
      <c r="K45" s="562"/>
      <c r="L45" s="562"/>
      <c r="M45" s="562">
        <v>0</v>
      </c>
      <c r="N45" s="562">
        <f t="shared" si="7"/>
        <v>1640000</v>
      </c>
      <c r="O45" s="562">
        <f>E45+M45</f>
        <v>1640000</v>
      </c>
      <c r="P45" s="562">
        <f>F45-2150</f>
        <v>669900</v>
      </c>
      <c r="Q45" s="562">
        <f>G45</f>
        <v>50000</v>
      </c>
      <c r="R45" s="562"/>
      <c r="S45" s="562"/>
      <c r="T45" s="562"/>
      <c r="U45" s="562"/>
      <c r="V45" s="562"/>
      <c r="W45" s="272"/>
    </row>
    <row r="46" spans="1:23" s="1499" customFormat="1" ht="19.5" customHeight="1">
      <c r="A46" s="1463"/>
      <c r="B46" s="291">
        <v>80195</v>
      </c>
      <c r="C46" s="629" t="s">
        <v>401</v>
      </c>
      <c r="D46" s="630">
        <v>78656</v>
      </c>
      <c r="E46" s="630">
        <v>78656</v>
      </c>
      <c r="F46" s="630">
        <v>16848</v>
      </c>
      <c r="G46" s="630">
        <v>2296</v>
      </c>
      <c r="H46" s="630"/>
      <c r="I46" s="630"/>
      <c r="J46" s="630"/>
      <c r="K46" s="630"/>
      <c r="L46" s="630"/>
      <c r="M46" s="630">
        <f>M47+M48</f>
        <v>12055</v>
      </c>
      <c r="N46" s="630">
        <f t="shared" si="7"/>
        <v>90711</v>
      </c>
      <c r="O46" s="630">
        <f>E46+M47+M48</f>
        <v>90711</v>
      </c>
      <c r="P46" s="630">
        <f>F46+1978</f>
        <v>18826</v>
      </c>
      <c r="Q46" s="630">
        <f>G46+380</f>
        <v>2676</v>
      </c>
      <c r="R46" s="630"/>
      <c r="S46" s="630"/>
      <c r="T46" s="630"/>
      <c r="U46" s="630"/>
      <c r="V46" s="630"/>
      <c r="W46" s="272"/>
    </row>
    <row r="47" spans="1:23" s="143" customFormat="1" ht="25.5">
      <c r="A47" s="1512"/>
      <c r="B47" s="1427"/>
      <c r="C47" s="1431" t="s">
        <v>73</v>
      </c>
      <c r="D47" s="1430">
        <v>19144</v>
      </c>
      <c r="E47" s="1430">
        <v>19144</v>
      </c>
      <c r="F47" s="1430">
        <v>16848</v>
      </c>
      <c r="G47" s="1430">
        <v>2296</v>
      </c>
      <c r="H47" s="1430"/>
      <c r="I47" s="1430"/>
      <c r="J47" s="1430"/>
      <c r="K47" s="1430"/>
      <c r="L47" s="1430"/>
      <c r="M47" s="1430">
        <v>2358</v>
      </c>
      <c r="N47" s="1430">
        <f t="shared" si="7"/>
        <v>21502</v>
      </c>
      <c r="O47" s="1430">
        <f>E47+M47</f>
        <v>21502</v>
      </c>
      <c r="P47" s="1430">
        <f>F47+1978</f>
        <v>18826</v>
      </c>
      <c r="Q47" s="1430">
        <f>G47+380</f>
        <v>2676</v>
      </c>
      <c r="R47" s="1430"/>
      <c r="S47" s="1430"/>
      <c r="T47" s="1430"/>
      <c r="U47" s="1430"/>
      <c r="V47" s="1430"/>
      <c r="W47" s="272"/>
    </row>
    <row r="48" spans="1:23" s="143" customFormat="1" ht="25.5" customHeight="1">
      <c r="A48" s="1510"/>
      <c r="B48" s="1494"/>
      <c r="C48" s="1431" t="s">
        <v>372</v>
      </c>
      <c r="D48" s="1430"/>
      <c r="E48" s="1430"/>
      <c r="F48" s="1430"/>
      <c r="G48" s="1430"/>
      <c r="H48" s="1430"/>
      <c r="I48" s="1430"/>
      <c r="J48" s="1430"/>
      <c r="K48" s="1430"/>
      <c r="L48" s="1430"/>
      <c r="M48" s="1430">
        <v>9697</v>
      </c>
      <c r="N48" s="1430">
        <f t="shared" si="7"/>
        <v>9697</v>
      </c>
      <c r="O48" s="1430">
        <f>E48+M48</f>
        <v>9697</v>
      </c>
      <c r="P48" s="1430"/>
      <c r="Q48" s="1430"/>
      <c r="R48" s="1430"/>
      <c r="S48" s="1430"/>
      <c r="T48" s="1430"/>
      <c r="U48" s="1430"/>
      <c r="V48" s="1430"/>
      <c r="W48" s="272"/>
    </row>
    <row r="49" spans="1:23" s="143" customFormat="1" ht="19.5" customHeight="1" thickBot="1">
      <c r="A49" s="1433">
        <v>851</v>
      </c>
      <c r="B49" s="1433"/>
      <c r="C49" s="757" t="s">
        <v>323</v>
      </c>
      <c r="D49" s="1434">
        <v>6265000</v>
      </c>
      <c r="E49" s="1434">
        <v>5224000</v>
      </c>
      <c r="F49" s="1434">
        <v>1194484</v>
      </c>
      <c r="G49" s="1434">
        <v>160590</v>
      </c>
      <c r="H49" s="1434">
        <v>1209270</v>
      </c>
      <c r="I49" s="1434"/>
      <c r="J49" s="1434"/>
      <c r="K49" s="1434"/>
      <c r="L49" s="1434">
        <v>1041000</v>
      </c>
      <c r="M49" s="1434">
        <f>M50</f>
        <v>0</v>
      </c>
      <c r="N49" s="1434">
        <f t="shared" si="7"/>
        <v>6265000</v>
      </c>
      <c r="O49" s="1434">
        <f aca="true" t="shared" si="8" ref="O49:O59">E49+M49</f>
        <v>5224000</v>
      </c>
      <c r="P49" s="1434">
        <f>F49-3727</f>
        <v>1190757</v>
      </c>
      <c r="Q49" s="1434">
        <f>G49-335</f>
        <v>160255</v>
      </c>
      <c r="R49" s="1434">
        <f>H49</f>
        <v>1209270</v>
      </c>
      <c r="S49" s="1434"/>
      <c r="T49" s="1434"/>
      <c r="U49" s="1434"/>
      <c r="V49" s="1434">
        <f>L49</f>
        <v>1041000</v>
      </c>
      <c r="W49" s="272"/>
    </row>
    <row r="50" spans="1:23" s="143" customFormat="1" ht="19.5" customHeight="1">
      <c r="A50" s="278"/>
      <c r="B50" s="279">
        <v>85154</v>
      </c>
      <c r="C50" s="280" t="s">
        <v>334</v>
      </c>
      <c r="D50" s="257">
        <v>4440000</v>
      </c>
      <c r="E50" s="257">
        <v>3399000</v>
      </c>
      <c r="F50" s="257">
        <v>1182385</v>
      </c>
      <c r="G50" s="257">
        <v>159589</v>
      </c>
      <c r="H50" s="257">
        <v>1094270</v>
      </c>
      <c r="I50" s="257"/>
      <c r="J50" s="257"/>
      <c r="K50" s="257"/>
      <c r="L50" s="257">
        <v>1041000</v>
      </c>
      <c r="M50" s="257">
        <f>M51</f>
        <v>0</v>
      </c>
      <c r="N50" s="257">
        <f t="shared" si="7"/>
        <v>4440000</v>
      </c>
      <c r="O50" s="257">
        <f t="shared" si="8"/>
        <v>3399000</v>
      </c>
      <c r="P50" s="257">
        <f>F50-3727</f>
        <v>1178658</v>
      </c>
      <c r="Q50" s="257">
        <f>G50-335</f>
        <v>159254</v>
      </c>
      <c r="R50" s="257">
        <f>H50</f>
        <v>1094270</v>
      </c>
      <c r="S50" s="257"/>
      <c r="T50" s="257"/>
      <c r="U50" s="257"/>
      <c r="V50" s="257">
        <f>L50</f>
        <v>1041000</v>
      </c>
      <c r="W50" s="272"/>
    </row>
    <row r="51" spans="1:23" s="143" customFormat="1" ht="25.5">
      <c r="A51" s="278"/>
      <c r="B51" s="278"/>
      <c r="C51" s="969" t="s">
        <v>335</v>
      </c>
      <c r="D51" s="970">
        <v>4440000</v>
      </c>
      <c r="E51" s="970">
        <v>3399000</v>
      </c>
      <c r="F51" s="970">
        <v>1182385</v>
      </c>
      <c r="G51" s="970">
        <v>159589</v>
      </c>
      <c r="H51" s="970">
        <v>1094270</v>
      </c>
      <c r="I51" s="970"/>
      <c r="J51" s="970"/>
      <c r="K51" s="970"/>
      <c r="L51" s="970">
        <v>1041000</v>
      </c>
      <c r="M51" s="970">
        <v>0</v>
      </c>
      <c r="N51" s="970">
        <f t="shared" si="7"/>
        <v>4440000</v>
      </c>
      <c r="O51" s="970">
        <f t="shared" si="8"/>
        <v>3399000</v>
      </c>
      <c r="P51" s="970">
        <f>F51-3727</f>
        <v>1178658</v>
      </c>
      <c r="Q51" s="970">
        <f>G51-335</f>
        <v>159254</v>
      </c>
      <c r="R51" s="970">
        <f>H51</f>
        <v>1094270</v>
      </c>
      <c r="S51" s="970"/>
      <c r="T51" s="970"/>
      <c r="U51" s="970"/>
      <c r="V51" s="970">
        <f>L51</f>
        <v>1041000</v>
      </c>
      <c r="W51" s="272"/>
    </row>
    <row r="52" spans="1:23" s="143" customFormat="1" ht="19.5" customHeight="1" thickBot="1">
      <c r="A52" s="29">
        <v>852</v>
      </c>
      <c r="B52" s="29"/>
      <c r="C52" s="28" t="s">
        <v>324</v>
      </c>
      <c r="D52" s="30">
        <v>109721487</v>
      </c>
      <c r="E52" s="30">
        <v>99066200</v>
      </c>
      <c r="F52" s="30">
        <v>26153110</v>
      </c>
      <c r="G52" s="30">
        <v>5073715</v>
      </c>
      <c r="H52" s="30">
        <v>16247429</v>
      </c>
      <c r="I52" s="30">
        <v>185000</v>
      </c>
      <c r="J52" s="30"/>
      <c r="K52" s="30"/>
      <c r="L52" s="30">
        <v>10655287</v>
      </c>
      <c r="M52" s="30">
        <f>M53</f>
        <v>70</v>
      </c>
      <c r="N52" s="30">
        <f aca="true" t="shared" si="9" ref="N52:N68">D52+M52</f>
        <v>109721557</v>
      </c>
      <c r="O52" s="30">
        <f t="shared" si="8"/>
        <v>99066270</v>
      </c>
      <c r="P52" s="30">
        <f>F52</f>
        <v>26153110</v>
      </c>
      <c r="Q52" s="30">
        <f>G52</f>
        <v>5073715</v>
      </c>
      <c r="R52" s="30">
        <f>H52</f>
        <v>16247429</v>
      </c>
      <c r="S52" s="30">
        <f>I52</f>
        <v>185000</v>
      </c>
      <c r="T52" s="30"/>
      <c r="U52" s="30"/>
      <c r="V52" s="30">
        <f>L52</f>
        <v>10655287</v>
      </c>
      <c r="W52" s="272"/>
    </row>
    <row r="53" spans="1:23" s="143" customFormat="1" ht="19.5" customHeight="1">
      <c r="A53" s="278"/>
      <c r="B53" s="291">
        <v>85295</v>
      </c>
      <c r="C53" s="629" t="s">
        <v>401</v>
      </c>
      <c r="D53" s="630">
        <v>4511445</v>
      </c>
      <c r="E53" s="630">
        <v>4511445</v>
      </c>
      <c r="F53" s="630"/>
      <c r="G53" s="630"/>
      <c r="H53" s="630">
        <v>1240000</v>
      </c>
      <c r="I53" s="630"/>
      <c r="J53" s="630"/>
      <c r="K53" s="630"/>
      <c r="L53" s="630"/>
      <c r="M53" s="630">
        <f>M54</f>
        <v>70</v>
      </c>
      <c r="N53" s="630">
        <f>D53+M53</f>
        <v>4511515</v>
      </c>
      <c r="O53" s="630">
        <f t="shared" si="8"/>
        <v>4511515</v>
      </c>
      <c r="P53" s="630"/>
      <c r="Q53" s="630"/>
      <c r="R53" s="630">
        <f>H53</f>
        <v>1240000</v>
      </c>
      <c r="S53" s="630"/>
      <c r="T53" s="630"/>
      <c r="U53" s="630"/>
      <c r="V53" s="630"/>
      <c r="W53" s="272"/>
    </row>
    <row r="54" spans="1:23" s="143" customFormat="1" ht="25.5">
      <c r="A54" s="278"/>
      <c r="B54" s="278"/>
      <c r="C54" s="21" t="s">
        <v>40</v>
      </c>
      <c r="D54" s="1500">
        <v>11545</v>
      </c>
      <c r="E54" s="1500">
        <v>11545</v>
      </c>
      <c r="F54" s="1500"/>
      <c r="G54" s="1500"/>
      <c r="H54" s="1500"/>
      <c r="I54" s="1500"/>
      <c r="J54" s="1500"/>
      <c r="K54" s="1500"/>
      <c r="L54" s="1500"/>
      <c r="M54" s="1500">
        <v>70</v>
      </c>
      <c r="N54" s="1500">
        <f>D54+M54</f>
        <v>11615</v>
      </c>
      <c r="O54" s="1500">
        <f t="shared" si="8"/>
        <v>11615</v>
      </c>
      <c r="P54" s="1500"/>
      <c r="Q54" s="1500"/>
      <c r="R54" s="1500"/>
      <c r="S54" s="1500"/>
      <c r="T54" s="1500"/>
      <c r="U54" s="1500"/>
      <c r="V54" s="1500"/>
      <c r="W54" s="272"/>
    </row>
    <row r="55" spans="1:23" s="143" customFormat="1" ht="19.5" customHeight="1" thickBot="1">
      <c r="A55" s="29">
        <v>853</v>
      </c>
      <c r="B55" s="29"/>
      <c r="C55" s="28" t="s">
        <v>389</v>
      </c>
      <c r="D55" s="30">
        <v>11941270</v>
      </c>
      <c r="E55" s="30">
        <v>10700250</v>
      </c>
      <c r="F55" s="30">
        <v>7122232</v>
      </c>
      <c r="G55" s="30">
        <v>1367474</v>
      </c>
      <c r="H55" s="30">
        <v>343868</v>
      </c>
      <c r="I55" s="30">
        <v>189422</v>
      </c>
      <c r="J55" s="30"/>
      <c r="K55" s="30"/>
      <c r="L55" s="30">
        <v>1241020</v>
      </c>
      <c r="M55" s="30">
        <f>M58+M56</f>
        <v>0</v>
      </c>
      <c r="N55" s="30">
        <f t="shared" si="9"/>
        <v>11941270</v>
      </c>
      <c r="O55" s="30">
        <f t="shared" si="8"/>
        <v>10700250</v>
      </c>
      <c r="P55" s="30">
        <f>F55+49000</f>
        <v>7171232</v>
      </c>
      <c r="Q55" s="30">
        <f>G55+8000</f>
        <v>1375474</v>
      </c>
      <c r="R55" s="30">
        <f>H55-3516-6792</f>
        <v>333560</v>
      </c>
      <c r="S55" s="30">
        <f>I55</f>
        <v>189422</v>
      </c>
      <c r="T55" s="30"/>
      <c r="U55" s="30"/>
      <c r="V55" s="30">
        <f>L55</f>
        <v>1241020</v>
      </c>
      <c r="W55" s="272"/>
    </row>
    <row r="56" spans="1:23" s="143" customFormat="1" ht="25.5">
      <c r="A56" s="173"/>
      <c r="B56" s="291">
        <v>85311</v>
      </c>
      <c r="C56" s="792" t="s">
        <v>216</v>
      </c>
      <c r="D56" s="261">
        <v>528236</v>
      </c>
      <c r="E56" s="261">
        <v>528236</v>
      </c>
      <c r="F56" s="261">
        <v>31148</v>
      </c>
      <c r="G56" s="261">
        <v>5316</v>
      </c>
      <c r="H56" s="261">
        <v>343868</v>
      </c>
      <c r="I56" s="261"/>
      <c r="J56" s="261"/>
      <c r="K56" s="261"/>
      <c r="L56" s="261"/>
      <c r="M56" s="261">
        <f>M57</f>
        <v>0</v>
      </c>
      <c r="N56" s="261">
        <f t="shared" si="9"/>
        <v>528236</v>
      </c>
      <c r="O56" s="261">
        <f t="shared" si="8"/>
        <v>528236</v>
      </c>
      <c r="P56" s="261">
        <f>F56</f>
        <v>31148</v>
      </c>
      <c r="Q56" s="261">
        <f>G56</f>
        <v>5316</v>
      </c>
      <c r="R56" s="261">
        <f>H56-3516-6792</f>
        <v>333560</v>
      </c>
      <c r="S56" s="261"/>
      <c r="T56" s="261"/>
      <c r="U56" s="261"/>
      <c r="V56" s="261"/>
      <c r="W56" s="272"/>
    </row>
    <row r="57" spans="1:23" s="143" customFormat="1" ht="18" customHeight="1">
      <c r="A57" s="278"/>
      <c r="B57" s="278"/>
      <c r="C57" s="1501" t="s">
        <v>220</v>
      </c>
      <c r="D57" s="1430">
        <v>524000</v>
      </c>
      <c r="E57" s="1430">
        <v>524000</v>
      </c>
      <c r="F57" s="1430">
        <v>31148</v>
      </c>
      <c r="G57" s="1430">
        <v>5316</v>
      </c>
      <c r="H57" s="1430">
        <v>339632</v>
      </c>
      <c r="I57" s="1430"/>
      <c r="J57" s="1430"/>
      <c r="K57" s="1430"/>
      <c r="L57" s="1430"/>
      <c r="M57" s="1430">
        <v>0</v>
      </c>
      <c r="N57" s="1430">
        <f t="shared" si="9"/>
        <v>524000</v>
      </c>
      <c r="O57" s="1430">
        <f t="shared" si="8"/>
        <v>524000</v>
      </c>
      <c r="P57" s="1430">
        <f>F57</f>
        <v>31148</v>
      </c>
      <c r="Q57" s="1430">
        <f>G57</f>
        <v>5316</v>
      </c>
      <c r="R57" s="1430">
        <f>H57-3516-6792</f>
        <v>329324</v>
      </c>
      <c r="S57" s="1430"/>
      <c r="T57" s="1430"/>
      <c r="U57" s="1430"/>
      <c r="V57" s="1430"/>
      <c r="W57" s="272"/>
    </row>
    <row r="58" spans="1:23" s="1499" customFormat="1" ht="25.5">
      <c r="A58" s="173"/>
      <c r="B58" s="291">
        <v>85321</v>
      </c>
      <c r="C58" s="280" t="s">
        <v>686</v>
      </c>
      <c r="D58" s="261">
        <v>100000</v>
      </c>
      <c r="E58" s="261">
        <v>100000</v>
      </c>
      <c r="F58" s="261">
        <v>12000</v>
      </c>
      <c r="G58" s="261">
        <v>2300</v>
      </c>
      <c r="H58" s="261"/>
      <c r="I58" s="261"/>
      <c r="J58" s="261"/>
      <c r="K58" s="261"/>
      <c r="L58" s="261"/>
      <c r="M58" s="261">
        <f>M59</f>
        <v>0</v>
      </c>
      <c r="N58" s="257">
        <f t="shared" si="9"/>
        <v>100000</v>
      </c>
      <c r="O58" s="257">
        <f t="shared" si="8"/>
        <v>100000</v>
      </c>
      <c r="P58" s="261">
        <f>F58+49000</f>
        <v>61000</v>
      </c>
      <c r="Q58" s="261">
        <f>G58+8000</f>
        <v>10300</v>
      </c>
      <c r="R58" s="261"/>
      <c r="S58" s="261"/>
      <c r="T58" s="261"/>
      <c r="U58" s="261"/>
      <c r="V58" s="261"/>
      <c r="W58" s="272"/>
    </row>
    <row r="59" spans="1:23" s="143" customFormat="1" ht="25.5">
      <c r="A59" s="278"/>
      <c r="B59" s="278"/>
      <c r="C59" s="145" t="s">
        <v>359</v>
      </c>
      <c r="D59" s="562">
        <v>100000</v>
      </c>
      <c r="E59" s="562">
        <v>100000</v>
      </c>
      <c r="F59" s="562">
        <v>12000</v>
      </c>
      <c r="G59" s="562">
        <v>2300</v>
      </c>
      <c r="H59" s="562"/>
      <c r="I59" s="562"/>
      <c r="J59" s="562"/>
      <c r="K59" s="562"/>
      <c r="L59" s="562"/>
      <c r="M59" s="562">
        <v>0</v>
      </c>
      <c r="N59" s="1432">
        <f t="shared" si="9"/>
        <v>100000</v>
      </c>
      <c r="O59" s="562">
        <f t="shared" si="8"/>
        <v>100000</v>
      </c>
      <c r="P59" s="562">
        <f>F59+49000</f>
        <v>61000</v>
      </c>
      <c r="Q59" s="562">
        <f>G59+8000</f>
        <v>10300</v>
      </c>
      <c r="R59" s="562"/>
      <c r="S59" s="562"/>
      <c r="T59" s="562"/>
      <c r="U59" s="562"/>
      <c r="V59" s="562"/>
      <c r="W59" s="272"/>
    </row>
    <row r="60" spans="1:23" s="143" customFormat="1" ht="19.5" customHeight="1" thickBot="1">
      <c r="A60" s="29">
        <v>854</v>
      </c>
      <c r="B60" s="29"/>
      <c r="C60" s="28" t="s">
        <v>403</v>
      </c>
      <c r="D60" s="30">
        <v>46160333</v>
      </c>
      <c r="E60" s="30">
        <v>44140333</v>
      </c>
      <c r="F60" s="30">
        <v>28451160</v>
      </c>
      <c r="G60" s="30">
        <v>5638173</v>
      </c>
      <c r="H60" s="30">
        <v>1563000</v>
      </c>
      <c r="I60" s="30">
        <v>547300</v>
      </c>
      <c r="J60" s="30"/>
      <c r="K60" s="30"/>
      <c r="L60" s="30">
        <v>2020000</v>
      </c>
      <c r="M60" s="30">
        <f>+M63+M65+M61+M67</f>
        <v>151000</v>
      </c>
      <c r="N60" s="30">
        <f t="shared" si="9"/>
        <v>46311333</v>
      </c>
      <c r="O60" s="30">
        <f>E60+M60-147000</f>
        <v>44144333</v>
      </c>
      <c r="P60" s="30">
        <f>F60</f>
        <v>28451160</v>
      </c>
      <c r="Q60" s="30">
        <f>G60-4759</f>
        <v>5633414</v>
      </c>
      <c r="R60" s="30">
        <f>H60</f>
        <v>1563000</v>
      </c>
      <c r="S60" s="30">
        <f>I60+4000</f>
        <v>551300</v>
      </c>
      <c r="T60" s="30"/>
      <c r="U60" s="30"/>
      <c r="V60" s="30">
        <f>L60+147000</f>
        <v>2167000</v>
      </c>
      <c r="W60" s="272"/>
    </row>
    <row r="61" spans="1:23" s="143" customFormat="1" ht="19.5" customHeight="1">
      <c r="A61" s="173"/>
      <c r="B61" s="637">
        <v>85401</v>
      </c>
      <c r="C61" s="638" t="s">
        <v>61</v>
      </c>
      <c r="D61" s="261">
        <v>7820995</v>
      </c>
      <c r="E61" s="261">
        <v>7820995</v>
      </c>
      <c r="F61" s="261">
        <v>6050000</v>
      </c>
      <c r="G61" s="261">
        <v>1229773</v>
      </c>
      <c r="H61" s="261"/>
      <c r="I61" s="261"/>
      <c r="J61" s="261"/>
      <c r="K61" s="261"/>
      <c r="L61" s="261"/>
      <c r="M61" s="261">
        <f>M62</f>
        <v>0</v>
      </c>
      <c r="N61" s="261">
        <f t="shared" si="9"/>
        <v>7820995</v>
      </c>
      <c r="O61" s="261">
        <f>E61+M61</f>
        <v>7820995</v>
      </c>
      <c r="P61" s="261">
        <f>F61</f>
        <v>6050000</v>
      </c>
      <c r="Q61" s="261">
        <f>G61-4759</f>
        <v>1225014</v>
      </c>
      <c r="R61" s="261"/>
      <c r="S61" s="261"/>
      <c r="T61" s="261"/>
      <c r="U61" s="261"/>
      <c r="V61" s="261"/>
      <c r="W61" s="272"/>
    </row>
    <row r="62" spans="1:23" s="143" customFormat="1" ht="25.5">
      <c r="A62" s="278"/>
      <c r="B62" s="278"/>
      <c r="C62" s="1431" t="s">
        <v>260</v>
      </c>
      <c r="D62" s="1430">
        <v>7820995</v>
      </c>
      <c r="E62" s="1430">
        <v>7820995</v>
      </c>
      <c r="F62" s="1430">
        <v>6050000</v>
      </c>
      <c r="G62" s="1430">
        <v>1229773</v>
      </c>
      <c r="H62" s="1430"/>
      <c r="I62" s="1430"/>
      <c r="J62" s="1430"/>
      <c r="K62" s="1430"/>
      <c r="L62" s="1430"/>
      <c r="M62" s="1430">
        <v>0</v>
      </c>
      <c r="N62" s="1430">
        <f t="shared" si="9"/>
        <v>7820995</v>
      </c>
      <c r="O62" s="1430">
        <f>E62+M62</f>
        <v>7820995</v>
      </c>
      <c r="P62" s="1430">
        <f>F62</f>
        <v>6050000</v>
      </c>
      <c r="Q62" s="1430">
        <f>G62-4759</f>
        <v>1225014</v>
      </c>
      <c r="R62" s="1430"/>
      <c r="S62" s="1430"/>
      <c r="T62" s="1430"/>
      <c r="U62" s="1430"/>
      <c r="V62" s="1430"/>
      <c r="W62" s="272"/>
    </row>
    <row r="63" spans="1:23" s="143" customFormat="1" ht="19.5" customHeight="1">
      <c r="A63" s="173"/>
      <c r="B63" s="291">
        <v>85403</v>
      </c>
      <c r="C63" s="638" t="s">
        <v>599</v>
      </c>
      <c r="D63" s="261">
        <v>11053565</v>
      </c>
      <c r="E63" s="261">
        <v>9178565</v>
      </c>
      <c r="F63" s="261">
        <v>5880000</v>
      </c>
      <c r="G63" s="261">
        <v>1193000</v>
      </c>
      <c r="H63" s="261">
        <v>663000</v>
      </c>
      <c r="I63" s="261">
        <v>50000</v>
      </c>
      <c r="J63" s="261"/>
      <c r="K63" s="261"/>
      <c r="L63" s="261">
        <v>1875000</v>
      </c>
      <c r="M63" s="261">
        <f>M64</f>
        <v>147000</v>
      </c>
      <c r="N63" s="261">
        <f t="shared" si="9"/>
        <v>11200565</v>
      </c>
      <c r="O63" s="261">
        <f>E63+M63-147000</f>
        <v>9178565</v>
      </c>
      <c r="P63" s="261">
        <f>F63</f>
        <v>5880000</v>
      </c>
      <c r="Q63" s="261">
        <f>G63</f>
        <v>1193000</v>
      </c>
      <c r="R63" s="261">
        <f>H63</f>
        <v>663000</v>
      </c>
      <c r="S63" s="261">
        <f>I63</f>
        <v>50000</v>
      </c>
      <c r="T63" s="261"/>
      <c r="U63" s="261"/>
      <c r="V63" s="261">
        <f>L63+147000</f>
        <v>2022000</v>
      </c>
      <c r="W63" s="272"/>
    </row>
    <row r="64" spans="1:23" s="143" customFormat="1" ht="25.5">
      <c r="A64" s="278"/>
      <c r="B64" s="278"/>
      <c r="C64" s="524" t="s">
        <v>138</v>
      </c>
      <c r="D64" s="525">
        <v>9022765</v>
      </c>
      <c r="E64" s="525">
        <v>8397765</v>
      </c>
      <c r="F64" s="525">
        <v>5880000</v>
      </c>
      <c r="G64" s="525">
        <v>1193000</v>
      </c>
      <c r="H64" s="525"/>
      <c r="I64" s="525">
        <v>50000</v>
      </c>
      <c r="J64" s="525"/>
      <c r="K64" s="525"/>
      <c r="L64" s="525">
        <v>625000</v>
      </c>
      <c r="M64" s="525">
        <v>147000</v>
      </c>
      <c r="N64" s="525">
        <f t="shared" si="9"/>
        <v>9169765</v>
      </c>
      <c r="O64" s="525">
        <f>E64+M64-147000</f>
        <v>8397765</v>
      </c>
      <c r="P64" s="525">
        <f aca="true" t="shared" si="10" ref="P64:Q68">F64</f>
        <v>5880000</v>
      </c>
      <c r="Q64" s="525">
        <f t="shared" si="10"/>
        <v>1193000</v>
      </c>
      <c r="R64" s="525"/>
      <c r="S64" s="525">
        <f>I64</f>
        <v>50000</v>
      </c>
      <c r="T64" s="525"/>
      <c r="U64" s="525"/>
      <c r="V64" s="525">
        <f>L64+147000</f>
        <v>772000</v>
      </c>
      <c r="W64" s="272"/>
    </row>
    <row r="65" spans="1:23" s="143" customFormat="1" ht="25.5">
      <c r="A65" s="173"/>
      <c r="B65" s="291">
        <v>85406</v>
      </c>
      <c r="C65" s="1135" t="s">
        <v>556</v>
      </c>
      <c r="D65" s="1428">
        <v>6333400</v>
      </c>
      <c r="E65" s="1428">
        <v>6303400</v>
      </c>
      <c r="F65" s="1428">
        <v>4700000</v>
      </c>
      <c r="G65" s="1428">
        <v>910000</v>
      </c>
      <c r="H65" s="1428"/>
      <c r="I65" s="1428"/>
      <c r="J65" s="1428"/>
      <c r="K65" s="1428"/>
      <c r="L65" s="1428">
        <v>30000</v>
      </c>
      <c r="M65" s="1428">
        <f>M66</f>
        <v>-30500</v>
      </c>
      <c r="N65" s="1428">
        <f t="shared" si="9"/>
        <v>6302900</v>
      </c>
      <c r="O65" s="1428">
        <f aca="true" t="shared" si="11" ref="O65:O75">E65+M65</f>
        <v>6272900</v>
      </c>
      <c r="P65" s="1428">
        <f t="shared" si="10"/>
        <v>4700000</v>
      </c>
      <c r="Q65" s="1428">
        <f t="shared" si="10"/>
        <v>910000</v>
      </c>
      <c r="R65" s="1428"/>
      <c r="S65" s="1428">
        <f>I65+4000</f>
        <v>4000</v>
      </c>
      <c r="T65" s="1428"/>
      <c r="U65" s="1428"/>
      <c r="V65" s="1428">
        <f>L65</f>
        <v>30000</v>
      </c>
      <c r="W65" s="882"/>
    </row>
    <row r="66" spans="1:23" s="143" customFormat="1" ht="25.5">
      <c r="A66" s="278"/>
      <c r="B66" s="278"/>
      <c r="C66" s="1431" t="s">
        <v>557</v>
      </c>
      <c r="D66" s="1430">
        <v>6333400</v>
      </c>
      <c r="E66" s="1430">
        <v>6303400</v>
      </c>
      <c r="F66" s="1430">
        <v>4700000</v>
      </c>
      <c r="G66" s="1430">
        <v>910000</v>
      </c>
      <c r="H66" s="1430"/>
      <c r="I66" s="1430"/>
      <c r="J66" s="1430"/>
      <c r="K66" s="1430"/>
      <c r="L66" s="1430">
        <v>30000</v>
      </c>
      <c r="M66" s="1430">
        <v>-30500</v>
      </c>
      <c r="N66" s="1430">
        <f t="shared" si="9"/>
        <v>6302900</v>
      </c>
      <c r="O66" s="1430">
        <f t="shared" si="11"/>
        <v>6272900</v>
      </c>
      <c r="P66" s="1430">
        <f t="shared" si="10"/>
        <v>4700000</v>
      </c>
      <c r="Q66" s="1430">
        <f t="shared" si="10"/>
        <v>910000</v>
      </c>
      <c r="R66" s="1430"/>
      <c r="S66" s="1430">
        <f>I66+4000</f>
        <v>4000</v>
      </c>
      <c r="T66" s="1430"/>
      <c r="U66" s="1430"/>
      <c r="V66" s="1430">
        <f>L66</f>
        <v>30000</v>
      </c>
      <c r="W66" s="272"/>
    </row>
    <row r="67" spans="1:23" s="1499" customFormat="1" ht="19.5" customHeight="1">
      <c r="A67" s="173"/>
      <c r="B67" s="291">
        <v>85407</v>
      </c>
      <c r="C67" s="792" t="s">
        <v>15</v>
      </c>
      <c r="D67" s="261">
        <v>2949185</v>
      </c>
      <c r="E67" s="261">
        <v>2939185</v>
      </c>
      <c r="F67" s="261">
        <v>1977000</v>
      </c>
      <c r="G67" s="261">
        <v>375000</v>
      </c>
      <c r="H67" s="261"/>
      <c r="I67" s="261">
        <v>200000</v>
      </c>
      <c r="J67" s="261"/>
      <c r="K67" s="261"/>
      <c r="L67" s="261">
        <v>10000</v>
      </c>
      <c r="M67" s="261">
        <f>M68</f>
        <v>34500</v>
      </c>
      <c r="N67" s="257">
        <f t="shared" si="9"/>
        <v>2983685</v>
      </c>
      <c r="O67" s="257">
        <f t="shared" si="11"/>
        <v>2973685</v>
      </c>
      <c r="P67" s="261">
        <f t="shared" si="10"/>
        <v>1977000</v>
      </c>
      <c r="Q67" s="261">
        <f t="shared" si="10"/>
        <v>375000</v>
      </c>
      <c r="R67" s="261"/>
      <c r="S67" s="261">
        <f>I67</f>
        <v>200000</v>
      </c>
      <c r="T67" s="261"/>
      <c r="U67" s="261"/>
      <c r="V67" s="261">
        <f>L67</f>
        <v>10000</v>
      </c>
      <c r="W67" s="272"/>
    </row>
    <row r="68" spans="1:23" s="143" customFormat="1" ht="25.5">
      <c r="A68" s="278"/>
      <c r="B68" s="278"/>
      <c r="C68" s="1090" t="s">
        <v>74</v>
      </c>
      <c r="D68" s="525">
        <v>2949185</v>
      </c>
      <c r="E68" s="525">
        <v>2939185</v>
      </c>
      <c r="F68" s="525">
        <v>1977000</v>
      </c>
      <c r="G68" s="525">
        <v>375000</v>
      </c>
      <c r="H68" s="525"/>
      <c r="I68" s="525">
        <v>200000</v>
      </c>
      <c r="J68" s="525"/>
      <c r="K68" s="525"/>
      <c r="L68" s="525">
        <v>10000</v>
      </c>
      <c r="M68" s="525">
        <v>34500</v>
      </c>
      <c r="N68" s="525">
        <f t="shared" si="9"/>
        <v>2983685</v>
      </c>
      <c r="O68" s="525">
        <f t="shared" si="11"/>
        <v>2973685</v>
      </c>
      <c r="P68" s="525">
        <f t="shared" si="10"/>
        <v>1977000</v>
      </c>
      <c r="Q68" s="525">
        <f t="shared" si="10"/>
        <v>375000</v>
      </c>
      <c r="R68" s="525"/>
      <c r="S68" s="525">
        <f>I68</f>
        <v>200000</v>
      </c>
      <c r="T68" s="525"/>
      <c r="U68" s="525"/>
      <c r="V68" s="525">
        <f>L68</f>
        <v>10000</v>
      </c>
      <c r="W68" s="272"/>
    </row>
    <row r="69" spans="1:23" s="143" customFormat="1" ht="19.5" customHeight="1" thickBot="1">
      <c r="A69" s="29">
        <v>926</v>
      </c>
      <c r="B69" s="29"/>
      <c r="C69" s="28" t="s">
        <v>601</v>
      </c>
      <c r="D69" s="30">
        <v>19665000</v>
      </c>
      <c r="E69" s="30">
        <v>9315000</v>
      </c>
      <c r="F69" s="30">
        <v>913290</v>
      </c>
      <c r="G69" s="30">
        <v>186710</v>
      </c>
      <c r="H69" s="30">
        <v>6720000</v>
      </c>
      <c r="I69" s="30">
        <v>495000</v>
      </c>
      <c r="J69" s="30"/>
      <c r="K69" s="30"/>
      <c r="L69" s="30">
        <v>10350000</v>
      </c>
      <c r="M69" s="30">
        <f>M70</f>
        <v>0</v>
      </c>
      <c r="N69" s="30">
        <f aca="true" t="shared" si="12" ref="N69:N76">D69+M69</f>
        <v>19665000</v>
      </c>
      <c r="O69" s="30">
        <f t="shared" si="11"/>
        <v>9315000</v>
      </c>
      <c r="P69" s="30">
        <f>F69+591</f>
        <v>913881</v>
      </c>
      <c r="Q69" s="30">
        <f>G69-591</f>
        <v>186119</v>
      </c>
      <c r="R69" s="30">
        <f>H69</f>
        <v>6720000</v>
      </c>
      <c r="S69" s="30">
        <f>I69</f>
        <v>495000</v>
      </c>
      <c r="T69" s="30"/>
      <c r="U69" s="30"/>
      <c r="V69" s="30">
        <f>L69</f>
        <v>10350000</v>
      </c>
      <c r="W69" s="272"/>
    </row>
    <row r="70" spans="1:23" s="143" customFormat="1" ht="19.5" customHeight="1">
      <c r="A70" s="278"/>
      <c r="B70" s="291">
        <v>92605</v>
      </c>
      <c r="C70" s="792" t="s">
        <v>602</v>
      </c>
      <c r="D70" s="257">
        <v>6020000</v>
      </c>
      <c r="E70" s="257">
        <v>5120000</v>
      </c>
      <c r="F70" s="257">
        <v>913290</v>
      </c>
      <c r="G70" s="257">
        <v>186710</v>
      </c>
      <c r="H70" s="257">
        <v>2860000</v>
      </c>
      <c r="I70" s="257"/>
      <c r="J70" s="257"/>
      <c r="K70" s="257"/>
      <c r="L70" s="257">
        <v>900000</v>
      </c>
      <c r="M70" s="257">
        <f>M71</f>
        <v>0</v>
      </c>
      <c r="N70" s="257">
        <f>D70+M70</f>
        <v>6020000</v>
      </c>
      <c r="O70" s="257">
        <f t="shared" si="11"/>
        <v>5120000</v>
      </c>
      <c r="P70" s="257">
        <f>F70+591</f>
        <v>913881</v>
      </c>
      <c r="Q70" s="257">
        <f>G70-591</f>
        <v>186119</v>
      </c>
      <c r="R70" s="257">
        <f>H70</f>
        <v>2860000</v>
      </c>
      <c r="S70" s="257"/>
      <c r="T70" s="257"/>
      <c r="U70" s="257"/>
      <c r="V70" s="257">
        <f>L70+M70</f>
        <v>900000</v>
      </c>
      <c r="W70" s="272"/>
    </row>
    <row r="71" spans="1:23" s="143" customFormat="1" ht="18" customHeight="1">
      <c r="A71" s="278"/>
      <c r="B71" s="278"/>
      <c r="C71" s="1431" t="s">
        <v>75</v>
      </c>
      <c r="D71" s="1430">
        <v>1100000</v>
      </c>
      <c r="E71" s="1430">
        <v>1100000</v>
      </c>
      <c r="F71" s="1430">
        <v>913290</v>
      </c>
      <c r="G71" s="1430">
        <v>186710</v>
      </c>
      <c r="H71" s="1430"/>
      <c r="I71" s="1430"/>
      <c r="J71" s="1430"/>
      <c r="K71" s="1430"/>
      <c r="L71" s="1430"/>
      <c r="M71" s="1430">
        <v>0</v>
      </c>
      <c r="N71" s="1430">
        <f>D71+M71</f>
        <v>1100000</v>
      </c>
      <c r="O71" s="1430">
        <f t="shared" si="11"/>
        <v>1100000</v>
      </c>
      <c r="P71" s="1430">
        <f>F71+591</f>
        <v>913881</v>
      </c>
      <c r="Q71" s="1430">
        <f>G71-591</f>
        <v>186119</v>
      </c>
      <c r="R71" s="1430"/>
      <c r="S71" s="1430"/>
      <c r="T71" s="1430"/>
      <c r="U71" s="1430"/>
      <c r="V71" s="1430"/>
      <c r="W71" s="272"/>
    </row>
    <row r="72" spans="1:22" s="143" customFormat="1" ht="26.25" thickBot="1">
      <c r="A72" s="278"/>
      <c r="B72" s="278"/>
      <c r="C72" s="288" t="s">
        <v>195</v>
      </c>
      <c r="D72" s="259">
        <v>5063131</v>
      </c>
      <c r="E72" s="259">
        <v>4745131</v>
      </c>
      <c r="F72" s="259">
        <v>1350507</v>
      </c>
      <c r="G72" s="259">
        <v>226041</v>
      </c>
      <c r="H72" s="259">
        <v>1387655</v>
      </c>
      <c r="I72" s="259"/>
      <c r="J72" s="259"/>
      <c r="K72" s="259"/>
      <c r="L72" s="259">
        <v>318000</v>
      </c>
      <c r="M72" s="259">
        <f>M73</f>
        <v>11558</v>
      </c>
      <c r="N72" s="259">
        <f t="shared" si="12"/>
        <v>5074689</v>
      </c>
      <c r="O72" s="259">
        <f t="shared" si="11"/>
        <v>4756689</v>
      </c>
      <c r="P72" s="259">
        <f>F72</f>
        <v>1350507</v>
      </c>
      <c r="Q72" s="259">
        <f>G72</f>
        <v>226041</v>
      </c>
      <c r="R72" s="259">
        <f>H72+3516+6792</f>
        <v>1397963</v>
      </c>
      <c r="S72" s="259"/>
      <c r="T72" s="259"/>
      <c r="U72" s="259"/>
      <c r="V72" s="259">
        <f>L72</f>
        <v>318000</v>
      </c>
    </row>
    <row r="73" spans="1:22" s="143" customFormat="1" ht="19.5" customHeight="1" thickBot="1" thickTop="1">
      <c r="A73" s="29">
        <v>853</v>
      </c>
      <c r="B73" s="29"/>
      <c r="C73" s="28" t="s">
        <v>389</v>
      </c>
      <c r="D73" s="30"/>
      <c r="E73" s="30"/>
      <c r="F73" s="30"/>
      <c r="G73" s="30"/>
      <c r="H73" s="30"/>
      <c r="I73" s="30"/>
      <c r="J73" s="30"/>
      <c r="K73" s="30"/>
      <c r="L73" s="30"/>
      <c r="M73" s="30">
        <f>M74</f>
        <v>11558</v>
      </c>
      <c r="N73" s="30">
        <f t="shared" si="12"/>
        <v>11558</v>
      </c>
      <c r="O73" s="30">
        <f t="shared" si="11"/>
        <v>11558</v>
      </c>
      <c r="P73" s="30"/>
      <c r="Q73" s="30"/>
      <c r="R73" s="30">
        <f>H73+3516+6792</f>
        <v>10308</v>
      </c>
      <c r="S73" s="30"/>
      <c r="T73" s="30"/>
      <c r="U73" s="30"/>
      <c r="V73" s="30"/>
    </row>
    <row r="74" spans="1:22" s="143" customFormat="1" ht="25.5">
      <c r="A74" s="173"/>
      <c r="B74" s="291">
        <v>85311</v>
      </c>
      <c r="C74" s="792" t="s">
        <v>216</v>
      </c>
      <c r="D74" s="261"/>
      <c r="E74" s="261"/>
      <c r="F74" s="261"/>
      <c r="G74" s="261"/>
      <c r="H74" s="261"/>
      <c r="I74" s="261"/>
      <c r="J74" s="261"/>
      <c r="K74" s="261"/>
      <c r="L74" s="261"/>
      <c r="M74" s="261">
        <f>M75</f>
        <v>11558</v>
      </c>
      <c r="N74" s="261">
        <f t="shared" si="12"/>
        <v>11558</v>
      </c>
      <c r="O74" s="261">
        <f t="shared" si="11"/>
        <v>11558</v>
      </c>
      <c r="P74" s="261"/>
      <c r="Q74" s="261"/>
      <c r="R74" s="261">
        <f>H74+3516+6792</f>
        <v>10308</v>
      </c>
      <c r="S74" s="261"/>
      <c r="T74" s="261"/>
      <c r="U74" s="261"/>
      <c r="V74" s="261"/>
    </row>
    <row r="75" spans="1:22" s="143" customFormat="1" ht="18" customHeight="1">
      <c r="A75" s="278"/>
      <c r="B75" s="278"/>
      <c r="C75" s="1502" t="s">
        <v>220</v>
      </c>
      <c r="D75" s="970"/>
      <c r="E75" s="970"/>
      <c r="F75" s="970"/>
      <c r="G75" s="970"/>
      <c r="H75" s="970"/>
      <c r="I75" s="970"/>
      <c r="J75" s="970"/>
      <c r="K75" s="970"/>
      <c r="L75" s="970"/>
      <c r="M75" s="970">
        <v>11558</v>
      </c>
      <c r="N75" s="970">
        <f t="shared" si="12"/>
        <v>11558</v>
      </c>
      <c r="O75" s="970">
        <f t="shared" si="11"/>
        <v>11558</v>
      </c>
      <c r="P75" s="970"/>
      <c r="Q75" s="970"/>
      <c r="R75" s="970">
        <f>H75+3516+6792</f>
        <v>10308</v>
      </c>
      <c r="S75" s="970"/>
      <c r="T75" s="970"/>
      <c r="U75" s="970"/>
      <c r="V75" s="970"/>
    </row>
    <row r="76" spans="1:22" s="143" customFormat="1" ht="22.5" customHeight="1" thickBot="1">
      <c r="A76" s="278"/>
      <c r="B76" s="278"/>
      <c r="C76" s="289" t="s">
        <v>193</v>
      </c>
      <c r="D76" s="260">
        <v>111901292</v>
      </c>
      <c r="E76" s="260">
        <v>111656292</v>
      </c>
      <c r="F76" s="260">
        <v>14500218</v>
      </c>
      <c r="G76" s="260">
        <v>887829</v>
      </c>
      <c r="H76" s="260">
        <v>3712100</v>
      </c>
      <c r="I76" s="260">
        <v>460000</v>
      </c>
      <c r="J76" s="260"/>
      <c r="K76" s="260"/>
      <c r="L76" s="260">
        <v>245000</v>
      </c>
      <c r="M76" s="260">
        <f>M78+M82</f>
        <v>1215171</v>
      </c>
      <c r="N76" s="260">
        <f t="shared" si="12"/>
        <v>113116463</v>
      </c>
      <c r="O76" s="260">
        <f>E76+M76-100000</f>
        <v>112771463</v>
      </c>
      <c r="P76" s="260">
        <f>F76+848000</f>
        <v>15348218</v>
      </c>
      <c r="Q76" s="260">
        <f>G76</f>
        <v>887829</v>
      </c>
      <c r="R76" s="260">
        <f>H76</f>
        <v>3712100</v>
      </c>
      <c r="S76" s="260">
        <f>I76</f>
        <v>460000</v>
      </c>
      <c r="T76" s="260"/>
      <c r="U76" s="260"/>
      <c r="V76" s="260">
        <f>L76+100000</f>
        <v>345000</v>
      </c>
    </row>
    <row r="77" spans="1:22" s="143" customFormat="1" ht="18" customHeight="1" thickTop="1">
      <c r="A77" s="278"/>
      <c r="B77" s="278"/>
      <c r="C77" s="731" t="s">
        <v>182</v>
      </c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</row>
    <row r="78" spans="1:22" s="143" customFormat="1" ht="22.5" customHeight="1" thickBot="1">
      <c r="A78" s="278"/>
      <c r="B78" s="278"/>
      <c r="C78" s="288" t="s">
        <v>614</v>
      </c>
      <c r="D78" s="259">
        <v>87743885</v>
      </c>
      <c r="E78" s="259">
        <v>87743885</v>
      </c>
      <c r="F78" s="259">
        <v>2647319</v>
      </c>
      <c r="G78" s="259">
        <v>481394</v>
      </c>
      <c r="H78" s="259">
        <v>1223000</v>
      </c>
      <c r="I78" s="259"/>
      <c r="J78" s="259"/>
      <c r="K78" s="259"/>
      <c r="L78" s="259"/>
      <c r="M78" s="259">
        <f>M79</f>
        <v>23600</v>
      </c>
      <c r="N78" s="259">
        <f aca="true" t="shared" si="13" ref="N78:N92">D78+M78</f>
        <v>87767485</v>
      </c>
      <c r="O78" s="259">
        <f>E78+M78</f>
        <v>87767485</v>
      </c>
      <c r="P78" s="259">
        <f aca="true" t="shared" si="14" ref="P78:R79">F78</f>
        <v>2647319</v>
      </c>
      <c r="Q78" s="259">
        <f t="shared" si="14"/>
        <v>481394</v>
      </c>
      <c r="R78" s="259">
        <f t="shared" si="14"/>
        <v>1223000</v>
      </c>
      <c r="S78" s="259"/>
      <c r="T78" s="259"/>
      <c r="U78" s="259"/>
      <c r="V78" s="259"/>
    </row>
    <row r="79" spans="1:22" s="143" customFormat="1" ht="19.5" customHeight="1" thickBot="1" thickTop="1">
      <c r="A79" s="29">
        <v>852</v>
      </c>
      <c r="B79" s="29"/>
      <c r="C79" s="28" t="s">
        <v>324</v>
      </c>
      <c r="D79" s="30">
        <v>86034552</v>
      </c>
      <c r="E79" s="30">
        <v>86034552</v>
      </c>
      <c r="F79" s="30">
        <v>1317653</v>
      </c>
      <c r="G79" s="30">
        <v>263923</v>
      </c>
      <c r="H79" s="30">
        <v>1189000</v>
      </c>
      <c r="I79" s="30"/>
      <c r="J79" s="30"/>
      <c r="K79" s="30"/>
      <c r="L79" s="30"/>
      <c r="M79" s="30">
        <f>M80</f>
        <v>23600</v>
      </c>
      <c r="N79" s="30">
        <f t="shared" si="13"/>
        <v>86058152</v>
      </c>
      <c r="O79" s="946">
        <f>E79+M79</f>
        <v>86058152</v>
      </c>
      <c r="P79" s="946">
        <f t="shared" si="14"/>
        <v>1317653</v>
      </c>
      <c r="Q79" s="946">
        <f t="shared" si="14"/>
        <v>263923</v>
      </c>
      <c r="R79" s="946">
        <f t="shared" si="14"/>
        <v>1189000</v>
      </c>
      <c r="S79" s="946"/>
      <c r="T79" s="30"/>
      <c r="U79" s="30"/>
      <c r="V79" s="30"/>
    </row>
    <row r="80" spans="1:22" s="143" customFormat="1" ht="19.5" customHeight="1">
      <c r="A80" s="278"/>
      <c r="B80" s="637">
        <v>85278</v>
      </c>
      <c r="C80" s="1301" t="s">
        <v>157</v>
      </c>
      <c r="D80" s="947">
        <v>37552</v>
      </c>
      <c r="E80" s="947">
        <v>37552</v>
      </c>
      <c r="F80" s="947"/>
      <c r="G80" s="947"/>
      <c r="H80" s="947"/>
      <c r="I80" s="947"/>
      <c r="J80" s="947"/>
      <c r="K80" s="947"/>
      <c r="L80" s="947"/>
      <c r="M80" s="947">
        <f>M81</f>
        <v>23600</v>
      </c>
      <c r="N80" s="947">
        <f t="shared" si="13"/>
        <v>61152</v>
      </c>
      <c r="O80" s="947">
        <f>E80+M80</f>
        <v>61152</v>
      </c>
      <c r="P80" s="947"/>
      <c r="Q80" s="947"/>
      <c r="R80" s="947"/>
      <c r="S80" s="947"/>
      <c r="T80" s="947"/>
      <c r="U80" s="947"/>
      <c r="V80" s="947"/>
    </row>
    <row r="81" spans="1:22" s="143" customFormat="1" ht="25.5">
      <c r="A81" s="278"/>
      <c r="B81" s="278"/>
      <c r="C81" s="731" t="s">
        <v>544</v>
      </c>
      <c r="D81" s="525">
        <v>37552</v>
      </c>
      <c r="E81" s="525">
        <v>37552</v>
      </c>
      <c r="F81" s="525"/>
      <c r="G81" s="525"/>
      <c r="H81" s="525"/>
      <c r="I81" s="525"/>
      <c r="J81" s="525"/>
      <c r="K81" s="525"/>
      <c r="L81" s="525"/>
      <c r="M81" s="525">
        <v>23600</v>
      </c>
      <c r="N81" s="525">
        <f t="shared" si="13"/>
        <v>61152</v>
      </c>
      <c r="O81" s="525">
        <f>E81+M81</f>
        <v>61152</v>
      </c>
      <c r="P81" s="525"/>
      <c r="Q81" s="525"/>
      <c r="R81" s="525"/>
      <c r="S81" s="525"/>
      <c r="T81" s="525"/>
      <c r="U81" s="525"/>
      <c r="V81" s="525"/>
    </row>
    <row r="82" spans="1:22" s="143" customFormat="1" ht="26.25" thickBot="1">
      <c r="A82" s="278"/>
      <c r="B82" s="278"/>
      <c r="C82" s="289" t="s">
        <v>308</v>
      </c>
      <c r="D82" s="260">
        <v>24157407</v>
      </c>
      <c r="E82" s="260">
        <v>23912407</v>
      </c>
      <c r="F82" s="260">
        <v>11852899</v>
      </c>
      <c r="G82" s="260">
        <v>406435</v>
      </c>
      <c r="H82" s="260">
        <v>2489100</v>
      </c>
      <c r="I82" s="260">
        <v>460000</v>
      </c>
      <c r="J82" s="260"/>
      <c r="K82" s="260"/>
      <c r="L82" s="260">
        <v>245000</v>
      </c>
      <c r="M82" s="260">
        <f>M90+M86+M83</f>
        <v>1191571</v>
      </c>
      <c r="N82" s="260">
        <f t="shared" si="13"/>
        <v>25348978</v>
      </c>
      <c r="O82" s="260">
        <f>E82+M82-100000</f>
        <v>25003978</v>
      </c>
      <c r="P82" s="260">
        <f>F82+848000</f>
        <v>12700899</v>
      </c>
      <c r="Q82" s="260">
        <f>G82</f>
        <v>406435</v>
      </c>
      <c r="R82" s="260">
        <f>H82</f>
        <v>2489100</v>
      </c>
      <c r="S82" s="260">
        <f>I82</f>
        <v>460000</v>
      </c>
      <c r="T82" s="260"/>
      <c r="U82" s="260"/>
      <c r="V82" s="260">
        <f>L82+100000</f>
        <v>345000</v>
      </c>
    </row>
    <row r="83" spans="1:22" s="143" customFormat="1" ht="19.5" customHeight="1" thickBot="1" thickTop="1">
      <c r="A83" s="29">
        <v>700</v>
      </c>
      <c r="B83" s="29"/>
      <c r="C83" s="28" t="s">
        <v>621</v>
      </c>
      <c r="D83" s="30">
        <v>827500</v>
      </c>
      <c r="E83" s="30">
        <v>827500</v>
      </c>
      <c r="F83" s="30"/>
      <c r="G83" s="30"/>
      <c r="H83" s="30"/>
      <c r="I83" s="30">
        <v>300000</v>
      </c>
      <c r="J83" s="30"/>
      <c r="K83" s="30"/>
      <c r="L83" s="30"/>
      <c r="M83" s="30">
        <f>M84</f>
        <v>173650</v>
      </c>
      <c r="N83" s="30">
        <f t="shared" si="13"/>
        <v>1001150</v>
      </c>
      <c r="O83" s="946">
        <f>E83+M83</f>
        <v>1001150</v>
      </c>
      <c r="P83" s="946"/>
      <c r="Q83" s="946"/>
      <c r="R83" s="946"/>
      <c r="S83" s="946">
        <f>I83</f>
        <v>300000</v>
      </c>
      <c r="T83" s="30"/>
      <c r="U83" s="30"/>
      <c r="V83" s="30"/>
    </row>
    <row r="84" spans="1:22" s="143" customFormat="1" ht="19.5" customHeight="1">
      <c r="A84" s="278"/>
      <c r="B84" s="637">
        <v>70005</v>
      </c>
      <c r="C84" s="1304" t="s">
        <v>622</v>
      </c>
      <c r="D84" s="947">
        <v>827500</v>
      </c>
      <c r="E84" s="947">
        <v>827500</v>
      </c>
      <c r="F84" s="947"/>
      <c r="G84" s="947"/>
      <c r="H84" s="947"/>
      <c r="I84" s="947">
        <v>300000</v>
      </c>
      <c r="J84" s="947"/>
      <c r="K84" s="947"/>
      <c r="L84" s="947"/>
      <c r="M84" s="947">
        <f>M85</f>
        <v>173650</v>
      </c>
      <c r="N84" s="947">
        <f t="shared" si="13"/>
        <v>1001150</v>
      </c>
      <c r="O84" s="947">
        <f>E84+M84</f>
        <v>1001150</v>
      </c>
      <c r="P84" s="947"/>
      <c r="Q84" s="947"/>
      <c r="R84" s="947"/>
      <c r="S84" s="947">
        <f>I84</f>
        <v>300000</v>
      </c>
      <c r="T84" s="947"/>
      <c r="U84" s="947"/>
      <c r="V84" s="947"/>
    </row>
    <row r="85" spans="1:22" s="143" customFormat="1" ht="18" customHeight="1">
      <c r="A85" s="1427"/>
      <c r="B85" s="1494"/>
      <c r="C85" s="1495" t="s">
        <v>369</v>
      </c>
      <c r="D85" s="1430">
        <v>827500</v>
      </c>
      <c r="E85" s="1430">
        <v>827500</v>
      </c>
      <c r="F85" s="1430"/>
      <c r="G85" s="1430"/>
      <c r="H85" s="1430"/>
      <c r="I85" s="1430">
        <v>300000</v>
      </c>
      <c r="J85" s="1430"/>
      <c r="K85" s="1430"/>
      <c r="L85" s="1430"/>
      <c r="M85" s="1430">
        <v>173650</v>
      </c>
      <c r="N85" s="1430">
        <f t="shared" si="13"/>
        <v>1001150</v>
      </c>
      <c r="O85" s="1430">
        <f>E85+M85</f>
        <v>1001150</v>
      </c>
      <c r="P85" s="1430"/>
      <c r="Q85" s="1430"/>
      <c r="R85" s="1430"/>
      <c r="S85" s="1430">
        <f>I85</f>
        <v>300000</v>
      </c>
      <c r="T85" s="1430"/>
      <c r="U85" s="1430"/>
      <c r="V85" s="1430"/>
    </row>
    <row r="86" spans="1:22" s="143" customFormat="1" ht="26.25" thickBot="1">
      <c r="A86" s="1433">
        <v>754</v>
      </c>
      <c r="B86" s="1433"/>
      <c r="C86" s="757" t="s">
        <v>309</v>
      </c>
      <c r="D86" s="1434">
        <v>13091000</v>
      </c>
      <c r="E86" s="1434">
        <v>12941000</v>
      </c>
      <c r="F86" s="1434">
        <v>9875300</v>
      </c>
      <c r="G86" s="1434">
        <v>38200</v>
      </c>
      <c r="H86" s="1434"/>
      <c r="I86" s="1434">
        <v>160000</v>
      </c>
      <c r="J86" s="1434"/>
      <c r="K86" s="1434"/>
      <c r="L86" s="1434">
        <v>150000</v>
      </c>
      <c r="M86" s="1434">
        <f>M87</f>
        <v>1010100</v>
      </c>
      <c r="N86" s="1434">
        <f t="shared" si="13"/>
        <v>14101100</v>
      </c>
      <c r="O86" s="1434">
        <f>E86+M86-100000</f>
        <v>13851100</v>
      </c>
      <c r="P86" s="1434">
        <f>F86+848000</f>
        <v>10723300</v>
      </c>
      <c r="Q86" s="1434">
        <f aca="true" t="shared" si="15" ref="Q86:S87">G86</f>
        <v>38200</v>
      </c>
      <c r="R86" s="1434"/>
      <c r="S86" s="1434">
        <f t="shared" si="15"/>
        <v>160000</v>
      </c>
      <c r="T86" s="1434"/>
      <c r="U86" s="1434"/>
      <c r="V86" s="1434">
        <f>L86+100000</f>
        <v>250000</v>
      </c>
    </row>
    <row r="87" spans="1:22" s="143" customFormat="1" ht="18.75" customHeight="1">
      <c r="A87" s="278"/>
      <c r="B87" s="291">
        <v>75411</v>
      </c>
      <c r="C87" s="545" t="s">
        <v>360</v>
      </c>
      <c r="D87" s="257">
        <v>13091000</v>
      </c>
      <c r="E87" s="257">
        <v>12941000</v>
      </c>
      <c r="F87" s="257">
        <v>9875300</v>
      </c>
      <c r="G87" s="257">
        <v>38200</v>
      </c>
      <c r="H87" s="257"/>
      <c r="I87" s="257">
        <v>160000</v>
      </c>
      <c r="J87" s="257"/>
      <c r="K87" s="257"/>
      <c r="L87" s="257">
        <v>150000</v>
      </c>
      <c r="M87" s="257">
        <f>M88</f>
        <v>1010100</v>
      </c>
      <c r="N87" s="257">
        <f t="shared" si="13"/>
        <v>14101100</v>
      </c>
      <c r="O87" s="257">
        <f>E87+M87-100000</f>
        <v>13851100</v>
      </c>
      <c r="P87" s="257">
        <f>F87+848000</f>
        <v>10723300</v>
      </c>
      <c r="Q87" s="257">
        <f t="shared" si="15"/>
        <v>38200</v>
      </c>
      <c r="R87" s="257"/>
      <c r="S87" s="257">
        <f t="shared" si="15"/>
        <v>160000</v>
      </c>
      <c r="T87" s="257"/>
      <c r="U87" s="257"/>
      <c r="V87" s="257">
        <f>L87+100000</f>
        <v>250000</v>
      </c>
    </row>
    <row r="88" spans="1:22" s="143" customFormat="1" ht="25.5">
      <c r="A88" s="1427"/>
      <c r="B88" s="1427"/>
      <c r="C88" s="1495" t="s">
        <v>713</v>
      </c>
      <c r="D88" s="1430">
        <v>13091000</v>
      </c>
      <c r="E88" s="1430">
        <v>12941000</v>
      </c>
      <c r="F88" s="1430">
        <v>9875300</v>
      </c>
      <c r="G88" s="1430">
        <v>38200</v>
      </c>
      <c r="H88" s="1430"/>
      <c r="I88" s="1430">
        <v>160000</v>
      </c>
      <c r="J88" s="1430"/>
      <c r="K88" s="1430"/>
      <c r="L88" s="1430">
        <v>150000</v>
      </c>
      <c r="M88" s="1430">
        <v>1010100</v>
      </c>
      <c r="N88" s="1430">
        <f t="shared" si="13"/>
        <v>14101100</v>
      </c>
      <c r="O88" s="1430">
        <f>E88+M88-100000</f>
        <v>13851100</v>
      </c>
      <c r="P88" s="1430">
        <f>F88+848000</f>
        <v>10723300</v>
      </c>
      <c r="Q88" s="1430"/>
      <c r="R88" s="1430"/>
      <c r="S88" s="1430"/>
      <c r="T88" s="1430"/>
      <c r="U88" s="1430"/>
      <c r="V88" s="1430">
        <f>L88+100000</f>
        <v>250000</v>
      </c>
    </row>
    <row r="89" spans="3:22" s="466" customFormat="1" ht="12.75">
      <c r="C89" s="1511"/>
      <c r="D89" s="1429"/>
      <c r="E89" s="1429"/>
      <c r="F89" s="1429"/>
      <c r="G89" s="1429"/>
      <c r="H89" s="1429"/>
      <c r="I89" s="1429"/>
      <c r="J89" s="1429"/>
      <c r="K89" s="1429"/>
      <c r="L89" s="1429"/>
      <c r="M89" s="1429"/>
      <c r="N89" s="1429"/>
      <c r="O89" s="1429"/>
      <c r="P89" s="1429"/>
      <c r="Q89" s="1429"/>
      <c r="R89" s="1429"/>
      <c r="S89" s="1429"/>
      <c r="T89" s="1429"/>
      <c r="U89" s="1429"/>
      <c r="V89" s="1429"/>
    </row>
    <row r="90" spans="1:22" s="143" customFormat="1" ht="19.5" customHeight="1" thickBot="1">
      <c r="A90" s="29">
        <v>853</v>
      </c>
      <c r="B90" s="29"/>
      <c r="C90" s="28" t="s">
        <v>389</v>
      </c>
      <c r="D90" s="30">
        <v>552850</v>
      </c>
      <c r="E90" s="30">
        <v>552850</v>
      </c>
      <c r="F90" s="30">
        <v>374759</v>
      </c>
      <c r="G90" s="30">
        <v>64300</v>
      </c>
      <c r="H90" s="30"/>
      <c r="I90" s="30"/>
      <c r="J90" s="30"/>
      <c r="K90" s="30"/>
      <c r="L90" s="30"/>
      <c r="M90" s="30">
        <f>M91</f>
        <v>7821</v>
      </c>
      <c r="N90" s="30">
        <f t="shared" si="13"/>
        <v>560671</v>
      </c>
      <c r="O90" s="30">
        <f>E90+M90</f>
        <v>560671</v>
      </c>
      <c r="P90" s="30">
        <f>F90</f>
        <v>374759</v>
      </c>
      <c r="Q90" s="30">
        <f>G90</f>
        <v>64300</v>
      </c>
      <c r="R90" s="30"/>
      <c r="S90" s="30"/>
      <c r="T90" s="30"/>
      <c r="U90" s="30"/>
      <c r="V90" s="30"/>
    </row>
    <row r="91" spans="1:22" s="143" customFormat="1" ht="19.5" customHeight="1">
      <c r="A91" s="278"/>
      <c r="B91" s="637">
        <v>85334</v>
      </c>
      <c r="C91" s="1301" t="s">
        <v>623</v>
      </c>
      <c r="D91" s="947">
        <v>24850</v>
      </c>
      <c r="E91" s="947">
        <v>24850</v>
      </c>
      <c r="F91" s="947"/>
      <c r="G91" s="947"/>
      <c r="H91" s="947"/>
      <c r="I91" s="947"/>
      <c r="J91" s="947"/>
      <c r="K91" s="947"/>
      <c r="L91" s="947"/>
      <c r="M91" s="947">
        <f>M92</f>
        <v>7821</v>
      </c>
      <c r="N91" s="947">
        <f t="shared" si="13"/>
        <v>32671</v>
      </c>
      <c r="O91" s="947">
        <f>E91+M91</f>
        <v>32671</v>
      </c>
      <c r="P91" s="947"/>
      <c r="Q91" s="947"/>
      <c r="R91" s="947"/>
      <c r="S91" s="947"/>
      <c r="T91" s="947"/>
      <c r="U91" s="947"/>
      <c r="V91" s="947"/>
    </row>
    <row r="92" spans="1:22" s="143" customFormat="1" ht="18" customHeight="1">
      <c r="A92" s="1427"/>
      <c r="B92" s="1427"/>
      <c r="C92" s="1146" t="s">
        <v>160</v>
      </c>
      <c r="D92" s="1430">
        <v>24850</v>
      </c>
      <c r="E92" s="1430">
        <v>24850</v>
      </c>
      <c r="F92" s="1430"/>
      <c r="G92" s="1430"/>
      <c r="H92" s="1430"/>
      <c r="I92" s="1430"/>
      <c r="J92" s="1430"/>
      <c r="K92" s="1430"/>
      <c r="L92" s="1430"/>
      <c r="M92" s="1430">
        <v>7821</v>
      </c>
      <c r="N92" s="1430">
        <f t="shared" si="13"/>
        <v>32671</v>
      </c>
      <c r="O92" s="1430">
        <f>E92+M92</f>
        <v>32671</v>
      </c>
      <c r="P92" s="1430"/>
      <c r="Q92" s="1430"/>
      <c r="R92" s="1430"/>
      <c r="S92" s="1430"/>
      <c r="T92" s="1430"/>
      <c r="U92" s="1430"/>
      <c r="V92" s="1430"/>
    </row>
    <row r="93" spans="1:12" s="143" customFormat="1" ht="33.75" customHeight="1">
      <c r="A93" s="1335"/>
      <c r="B93" s="1335"/>
      <c r="C93" s="1503"/>
      <c r="D93" s="1335"/>
      <c r="E93" s="1335"/>
      <c r="F93" s="1335"/>
      <c r="G93" s="1335"/>
      <c r="H93" s="1335"/>
      <c r="I93" s="1335"/>
      <c r="J93" s="1335"/>
      <c r="K93" s="1335"/>
      <c r="L93" s="1335"/>
    </row>
    <row r="94" spans="1:19" s="143" customFormat="1" ht="19.5" customHeight="1">
      <c r="A94" s="1335"/>
      <c r="C94" s="1588" t="s">
        <v>17</v>
      </c>
      <c r="D94" s="1335"/>
      <c r="E94" s="1335"/>
      <c r="F94" s="1335"/>
      <c r="G94" s="1335"/>
      <c r="H94" s="1335"/>
      <c r="I94" s="1335"/>
      <c r="J94" s="1335"/>
      <c r="K94" s="1335"/>
      <c r="L94" s="1335"/>
      <c r="S94" s="1586" t="s">
        <v>20</v>
      </c>
    </row>
    <row r="95" spans="1:19" s="143" customFormat="1" ht="19.5" customHeight="1">
      <c r="A95" s="1335"/>
      <c r="C95" s="1589" t="s">
        <v>19</v>
      </c>
      <c r="D95" s="1335"/>
      <c r="E95" s="1335"/>
      <c r="F95" s="1335"/>
      <c r="G95" s="1335"/>
      <c r="H95" s="1335"/>
      <c r="I95" s="1335"/>
      <c r="J95" s="1335"/>
      <c r="K95" s="1335"/>
      <c r="L95" s="1335"/>
      <c r="S95" s="1587" t="s">
        <v>18</v>
      </c>
    </row>
    <row r="96" spans="1:12" s="143" customFormat="1" ht="19.5" customHeight="1">
      <c r="A96" s="1335"/>
      <c r="B96" s="1335"/>
      <c r="C96" s="1503"/>
      <c r="D96" s="1335"/>
      <c r="E96" s="1335"/>
      <c r="F96" s="1335"/>
      <c r="G96" s="1335"/>
      <c r="H96" s="1335"/>
      <c r="I96" s="1335"/>
      <c r="J96" s="1335"/>
      <c r="K96" s="1335"/>
      <c r="L96" s="1335"/>
    </row>
    <row r="97" spans="1:12" s="143" customFormat="1" ht="19.5" customHeight="1">
      <c r="A97" s="1335"/>
      <c r="B97" s="1335"/>
      <c r="C97" s="1503"/>
      <c r="D97" s="1335"/>
      <c r="E97" s="1335"/>
      <c r="F97" s="1335"/>
      <c r="G97" s="1335"/>
      <c r="H97" s="1335"/>
      <c r="I97" s="1335"/>
      <c r="J97" s="1335"/>
      <c r="K97" s="1335"/>
      <c r="L97" s="1335"/>
    </row>
    <row r="98" spans="1:12" s="143" customFormat="1" ht="19.5" customHeight="1">
      <c r="A98" s="1335"/>
      <c r="B98" s="1335"/>
      <c r="C98" s="1503"/>
      <c r="D98" s="1335"/>
      <c r="E98" s="1335"/>
      <c r="F98" s="1335"/>
      <c r="G98" s="1335"/>
      <c r="H98" s="1335"/>
      <c r="I98" s="1335"/>
      <c r="J98" s="1335"/>
      <c r="K98" s="1335"/>
      <c r="L98" s="1335"/>
    </row>
    <row r="99" spans="1:12" s="143" customFormat="1" ht="19.5" customHeight="1">
      <c r="A99" s="1335"/>
      <c r="B99" s="1335"/>
      <c r="C99" s="1503"/>
      <c r="D99" s="1335"/>
      <c r="E99" s="1335"/>
      <c r="F99" s="1335"/>
      <c r="G99" s="1335"/>
      <c r="H99" s="1335"/>
      <c r="I99" s="1335"/>
      <c r="J99" s="1335"/>
      <c r="K99" s="1335"/>
      <c r="L99" s="1335"/>
    </row>
    <row r="100" spans="1:12" s="143" customFormat="1" ht="19.5" customHeight="1">
      <c r="A100" s="1335"/>
      <c r="B100" s="1335"/>
      <c r="C100" s="1503"/>
      <c r="D100" s="1335"/>
      <c r="E100" s="1335"/>
      <c r="F100" s="1335"/>
      <c r="G100" s="1335"/>
      <c r="H100" s="1335"/>
      <c r="I100" s="1335"/>
      <c r="J100" s="1335"/>
      <c r="K100" s="1335"/>
      <c r="L100" s="1335"/>
    </row>
    <row r="101" spans="1:12" s="143" customFormat="1" ht="19.5" customHeight="1">
      <c r="A101" s="1335"/>
      <c r="B101" s="1335"/>
      <c r="C101" s="1503"/>
      <c r="D101" s="1335"/>
      <c r="E101" s="1335"/>
      <c r="F101" s="1335"/>
      <c r="G101" s="1335"/>
      <c r="H101" s="1335"/>
      <c r="I101" s="1335"/>
      <c r="J101" s="1335"/>
      <c r="K101" s="1335"/>
      <c r="L101" s="1335"/>
    </row>
    <row r="102" spans="1:12" s="143" customFormat="1" ht="19.5" customHeight="1">
      <c r="A102" s="1335"/>
      <c r="B102" s="1335"/>
      <c r="C102" s="1503"/>
      <c r="D102" s="1335"/>
      <c r="E102" s="1335"/>
      <c r="F102" s="1335"/>
      <c r="G102" s="1335"/>
      <c r="H102" s="1335"/>
      <c r="I102" s="1335"/>
      <c r="J102" s="1335"/>
      <c r="K102" s="1335"/>
      <c r="L102" s="1335"/>
    </row>
    <row r="103" spans="1:12" s="143" customFormat="1" ht="19.5" customHeight="1">
      <c r="A103" s="1335"/>
      <c r="B103" s="1335"/>
      <c r="C103" s="1503"/>
      <c r="D103" s="1335"/>
      <c r="E103" s="1335"/>
      <c r="F103" s="1335"/>
      <c r="G103" s="1335"/>
      <c r="H103" s="1335"/>
      <c r="I103" s="1335"/>
      <c r="J103" s="1335"/>
      <c r="K103" s="1335"/>
      <c r="L103" s="1335"/>
    </row>
    <row r="104" spans="1:12" s="143" customFormat="1" ht="19.5" customHeight="1">
      <c r="A104" s="1335"/>
      <c r="B104" s="1335"/>
      <c r="C104" s="1503"/>
      <c r="D104" s="1335"/>
      <c r="E104" s="1335"/>
      <c r="F104" s="1335"/>
      <c r="G104" s="1335"/>
      <c r="H104" s="1335"/>
      <c r="I104" s="1335"/>
      <c r="J104" s="1335"/>
      <c r="K104" s="1335"/>
      <c r="L104" s="1335"/>
    </row>
    <row r="105" spans="1:12" s="143" customFormat="1" ht="19.5" customHeight="1">
      <c r="A105" s="1335"/>
      <c r="B105" s="1335"/>
      <c r="C105" s="1503"/>
      <c r="D105" s="1335"/>
      <c r="E105" s="1335"/>
      <c r="F105" s="1335"/>
      <c r="G105" s="1335"/>
      <c r="H105" s="1335"/>
      <c r="I105" s="1335"/>
      <c r="J105" s="1335"/>
      <c r="K105" s="1335"/>
      <c r="L105" s="1335"/>
    </row>
    <row r="106" spans="1:12" s="143" customFormat="1" ht="19.5" customHeight="1">
      <c r="A106" s="1335"/>
      <c r="B106" s="1335"/>
      <c r="C106" s="1503"/>
      <c r="D106" s="1335"/>
      <c r="E106" s="1335"/>
      <c r="F106" s="1335"/>
      <c r="G106" s="1335"/>
      <c r="H106" s="1335"/>
      <c r="I106" s="1335"/>
      <c r="J106" s="1335"/>
      <c r="K106" s="1335"/>
      <c r="L106" s="1335"/>
    </row>
    <row r="107" spans="1:12" s="143" customFormat="1" ht="19.5" customHeight="1">
      <c r="A107" s="1335"/>
      <c r="B107" s="1335"/>
      <c r="C107" s="1503"/>
      <c r="D107" s="1335"/>
      <c r="E107" s="1335"/>
      <c r="F107" s="1335"/>
      <c r="G107" s="1335"/>
      <c r="H107" s="1335"/>
      <c r="I107" s="1335"/>
      <c r="J107" s="1335"/>
      <c r="K107" s="1335"/>
      <c r="L107" s="1335"/>
    </row>
    <row r="108" spans="1:12" s="143" customFormat="1" ht="19.5" customHeight="1">
      <c r="A108" s="1335"/>
      <c r="B108" s="1335"/>
      <c r="C108" s="1503"/>
      <c r="D108" s="1335"/>
      <c r="E108" s="1335"/>
      <c r="F108" s="1335"/>
      <c r="G108" s="1335"/>
      <c r="H108" s="1335"/>
      <c r="I108" s="1335"/>
      <c r="J108" s="1335"/>
      <c r="K108" s="1335"/>
      <c r="L108" s="1335"/>
    </row>
    <row r="109" spans="1:12" s="143" customFormat="1" ht="19.5" customHeight="1">
      <c r="A109" s="1335"/>
      <c r="B109" s="1335"/>
      <c r="C109" s="1503"/>
      <c r="D109" s="1335"/>
      <c r="E109" s="1335"/>
      <c r="F109" s="1335"/>
      <c r="G109" s="1335"/>
      <c r="H109" s="1335"/>
      <c r="I109" s="1335"/>
      <c r="J109" s="1335"/>
      <c r="K109" s="1335"/>
      <c r="L109" s="1335"/>
    </row>
    <row r="110" spans="1:12" s="143" customFormat="1" ht="19.5" customHeight="1">
      <c r="A110" s="1335"/>
      <c r="B110" s="1335"/>
      <c r="C110" s="1503"/>
      <c r="D110" s="1335"/>
      <c r="E110" s="1335"/>
      <c r="F110" s="1335"/>
      <c r="G110" s="1335"/>
      <c r="H110" s="1335"/>
      <c r="I110" s="1335"/>
      <c r="J110" s="1335"/>
      <c r="K110" s="1335"/>
      <c r="L110" s="1335"/>
    </row>
    <row r="111" spans="1:12" s="143" customFormat="1" ht="19.5" customHeight="1">
      <c r="A111" s="1335"/>
      <c r="B111" s="1335"/>
      <c r="C111" s="1503"/>
      <c r="D111" s="1335"/>
      <c r="E111" s="1335"/>
      <c r="F111" s="1335"/>
      <c r="G111" s="1335"/>
      <c r="H111" s="1335"/>
      <c r="I111" s="1335"/>
      <c r="J111" s="1335"/>
      <c r="K111" s="1335"/>
      <c r="L111" s="1335"/>
    </row>
    <row r="112" spans="1:12" s="143" customFormat="1" ht="19.5" customHeight="1">
      <c r="A112" s="1335"/>
      <c r="B112" s="1335"/>
      <c r="C112" s="1503"/>
      <c r="D112" s="1335"/>
      <c r="E112" s="1335"/>
      <c r="F112" s="1335"/>
      <c r="G112" s="1335"/>
      <c r="H112" s="1335"/>
      <c r="I112" s="1335"/>
      <c r="J112" s="1335"/>
      <c r="K112" s="1335"/>
      <c r="L112" s="1335"/>
    </row>
    <row r="113" spans="1:12" s="143" customFormat="1" ht="19.5" customHeight="1">
      <c r="A113" s="1335"/>
      <c r="B113" s="1335"/>
      <c r="C113" s="1503"/>
      <c r="D113" s="1335"/>
      <c r="E113" s="1335"/>
      <c r="F113" s="1335"/>
      <c r="G113" s="1335"/>
      <c r="H113" s="1335"/>
      <c r="I113" s="1335"/>
      <c r="J113" s="1335"/>
      <c r="K113" s="1335"/>
      <c r="L113" s="1335"/>
    </row>
    <row r="114" spans="1:12" s="143" customFormat="1" ht="19.5" customHeight="1">
      <c r="A114" s="1335"/>
      <c r="B114" s="1335"/>
      <c r="C114" s="1503"/>
      <c r="D114" s="1335"/>
      <c r="E114" s="1335"/>
      <c r="F114" s="1335"/>
      <c r="G114" s="1335"/>
      <c r="H114" s="1335"/>
      <c r="I114" s="1335"/>
      <c r="J114" s="1335"/>
      <c r="K114" s="1335"/>
      <c r="L114" s="1335"/>
    </row>
    <row r="115" spans="1:12" s="143" customFormat="1" ht="19.5" customHeight="1">
      <c r="A115" s="1335"/>
      <c r="B115" s="1335"/>
      <c r="C115" s="1503"/>
      <c r="D115" s="1335"/>
      <c r="E115" s="1335"/>
      <c r="F115" s="1335"/>
      <c r="G115" s="1335"/>
      <c r="H115" s="1335"/>
      <c r="I115" s="1335"/>
      <c r="J115" s="1335"/>
      <c r="K115" s="1335"/>
      <c r="L115" s="1335"/>
    </row>
    <row r="116" spans="1:12" s="143" customFormat="1" ht="19.5" customHeight="1">
      <c r="A116" s="1335"/>
      <c r="B116" s="1335"/>
      <c r="C116" s="1503"/>
      <c r="D116" s="1335"/>
      <c r="E116" s="1335"/>
      <c r="F116" s="1335"/>
      <c r="G116" s="1335"/>
      <c r="H116" s="1335"/>
      <c r="I116" s="1335"/>
      <c r="J116" s="1335"/>
      <c r="K116" s="1335"/>
      <c r="L116" s="1335"/>
    </row>
    <row r="117" spans="1:12" s="143" customFormat="1" ht="19.5" customHeight="1">
      <c r="A117" s="1335"/>
      <c r="B117" s="1335"/>
      <c r="C117" s="1503"/>
      <c r="D117" s="1335"/>
      <c r="E117" s="1335"/>
      <c r="F117" s="1335"/>
      <c r="G117" s="1335"/>
      <c r="H117" s="1335"/>
      <c r="I117" s="1335"/>
      <c r="J117" s="1335"/>
      <c r="K117" s="1335"/>
      <c r="L117" s="1335"/>
    </row>
    <row r="118" spans="1:12" s="143" customFormat="1" ht="19.5" customHeight="1">
      <c r="A118" s="1335"/>
      <c r="B118" s="1335"/>
      <c r="C118" s="1503"/>
      <c r="D118" s="1335"/>
      <c r="E118" s="1335"/>
      <c r="F118" s="1335"/>
      <c r="G118" s="1335"/>
      <c r="H118" s="1335"/>
      <c r="I118" s="1335"/>
      <c r="J118" s="1335"/>
      <c r="K118" s="1335"/>
      <c r="L118" s="1335"/>
    </row>
    <row r="119" spans="1:12" s="143" customFormat="1" ht="19.5" customHeight="1">
      <c r="A119" s="1335"/>
      <c r="B119" s="1335"/>
      <c r="C119" s="1503"/>
      <c r="D119" s="1335"/>
      <c r="E119" s="1335"/>
      <c r="F119" s="1335"/>
      <c r="G119" s="1335"/>
      <c r="H119" s="1335"/>
      <c r="I119" s="1335"/>
      <c r="J119" s="1335"/>
      <c r="K119" s="1335"/>
      <c r="L119" s="1335"/>
    </row>
    <row r="120" spans="1:12" s="143" customFormat="1" ht="19.5" customHeight="1">
      <c r="A120" s="1335"/>
      <c r="B120" s="1335"/>
      <c r="C120" s="1503"/>
      <c r="D120" s="1335"/>
      <c r="E120" s="1335"/>
      <c r="F120" s="1335"/>
      <c r="G120" s="1335"/>
      <c r="H120" s="1335"/>
      <c r="I120" s="1335"/>
      <c r="J120" s="1335"/>
      <c r="K120" s="1335"/>
      <c r="L120" s="1335"/>
    </row>
    <row r="121" spans="1:12" s="143" customFormat="1" ht="19.5" customHeight="1">
      <c r="A121" s="1335"/>
      <c r="B121" s="1335"/>
      <c r="C121" s="1503"/>
      <c r="D121" s="1335"/>
      <c r="E121" s="1335"/>
      <c r="F121" s="1335"/>
      <c r="G121" s="1335"/>
      <c r="H121" s="1335"/>
      <c r="I121" s="1335"/>
      <c r="J121" s="1335"/>
      <c r="K121" s="1335"/>
      <c r="L121" s="1335"/>
    </row>
    <row r="122" spans="1:12" s="143" customFormat="1" ht="19.5" customHeight="1">
      <c r="A122" s="1335"/>
      <c r="B122" s="1335"/>
      <c r="C122" s="1503"/>
      <c r="D122" s="1335"/>
      <c r="E122" s="1335"/>
      <c r="F122" s="1335"/>
      <c r="G122" s="1335"/>
      <c r="H122" s="1335"/>
      <c r="I122" s="1335"/>
      <c r="J122" s="1335"/>
      <c r="K122" s="1335"/>
      <c r="L122" s="1335"/>
    </row>
    <row r="123" spans="1:12" s="143" customFormat="1" ht="19.5" customHeight="1">
      <c r="A123" s="1335"/>
      <c r="B123" s="1335"/>
      <c r="C123" s="1503"/>
      <c r="D123" s="1335"/>
      <c r="E123" s="1335"/>
      <c r="F123" s="1335"/>
      <c r="G123" s="1335"/>
      <c r="H123" s="1335"/>
      <c r="I123" s="1335"/>
      <c r="J123" s="1335"/>
      <c r="K123" s="1335"/>
      <c r="L123" s="1335"/>
    </row>
    <row r="124" spans="1:12" s="143" customFormat="1" ht="19.5" customHeight="1">
      <c r="A124" s="1335"/>
      <c r="B124" s="1335"/>
      <c r="C124" s="1503"/>
      <c r="D124" s="1335"/>
      <c r="E124" s="1335"/>
      <c r="F124" s="1335"/>
      <c r="G124" s="1335"/>
      <c r="H124" s="1335"/>
      <c r="I124" s="1335"/>
      <c r="J124" s="1335"/>
      <c r="K124" s="1335"/>
      <c r="L124" s="1335"/>
    </row>
    <row r="125" spans="1:12" s="143" customFormat="1" ht="19.5" customHeight="1">
      <c r="A125" s="1335"/>
      <c r="B125" s="1335"/>
      <c r="C125" s="1503"/>
      <c r="D125" s="1335"/>
      <c r="E125" s="1335"/>
      <c r="F125" s="1335"/>
      <c r="G125" s="1335"/>
      <c r="H125" s="1335"/>
      <c r="I125" s="1335"/>
      <c r="J125" s="1335"/>
      <c r="K125" s="1335"/>
      <c r="L125" s="1335"/>
    </row>
    <row r="126" spans="1:12" s="143" customFormat="1" ht="19.5" customHeight="1">
      <c r="A126" s="1335"/>
      <c r="B126" s="1335"/>
      <c r="C126" s="1503"/>
      <c r="D126" s="1335"/>
      <c r="E126" s="1335"/>
      <c r="F126" s="1335"/>
      <c r="G126" s="1335"/>
      <c r="H126" s="1335"/>
      <c r="I126" s="1335"/>
      <c r="J126" s="1335"/>
      <c r="K126" s="1335"/>
      <c r="L126" s="1335"/>
    </row>
    <row r="127" spans="1:12" s="143" customFormat="1" ht="19.5" customHeight="1">
      <c r="A127" s="1335"/>
      <c r="B127" s="1335"/>
      <c r="C127" s="1503"/>
      <c r="D127" s="1335"/>
      <c r="E127" s="1335"/>
      <c r="F127" s="1335"/>
      <c r="G127" s="1335"/>
      <c r="H127" s="1335"/>
      <c r="I127" s="1335"/>
      <c r="J127" s="1335"/>
      <c r="K127" s="1335"/>
      <c r="L127" s="1335"/>
    </row>
    <row r="128" spans="1:12" s="143" customFormat="1" ht="30" customHeight="1">
      <c r="A128" s="1335"/>
      <c r="B128" s="1335"/>
      <c r="C128" s="1503"/>
      <c r="D128" s="1335"/>
      <c r="E128" s="1335"/>
      <c r="F128" s="1335"/>
      <c r="G128" s="1335"/>
      <c r="H128" s="1335"/>
      <c r="I128" s="1335"/>
      <c r="J128" s="1335"/>
      <c r="K128" s="1335"/>
      <c r="L128" s="1335"/>
    </row>
    <row r="129" spans="1:12" s="143" customFormat="1" ht="30" customHeight="1">
      <c r="A129" s="1335"/>
      <c r="B129" s="1335"/>
      <c r="C129" s="1503"/>
      <c r="D129" s="1335"/>
      <c r="E129" s="1335"/>
      <c r="F129" s="1335"/>
      <c r="G129" s="1335"/>
      <c r="H129" s="1335"/>
      <c r="I129" s="1335"/>
      <c r="J129" s="1335"/>
      <c r="K129" s="1335"/>
      <c r="L129" s="1335"/>
    </row>
    <row r="130" spans="1:12" s="143" customFormat="1" ht="30" customHeight="1">
      <c r="A130" s="1335"/>
      <c r="B130" s="1335"/>
      <c r="C130" s="1503"/>
      <c r="D130" s="1335"/>
      <c r="E130" s="1335"/>
      <c r="F130" s="1335"/>
      <c r="G130" s="1335"/>
      <c r="H130" s="1335"/>
      <c r="I130" s="1335"/>
      <c r="J130" s="1335"/>
      <c r="K130" s="1335"/>
      <c r="L130" s="1335"/>
    </row>
    <row r="131" spans="1:12" s="143" customFormat="1" ht="30" customHeight="1">
      <c r="A131" s="1335"/>
      <c r="B131" s="1335"/>
      <c r="C131" s="1503"/>
      <c r="D131" s="1335"/>
      <c r="E131" s="1335"/>
      <c r="F131" s="1335"/>
      <c r="G131" s="1335"/>
      <c r="H131" s="1335"/>
      <c r="I131" s="1335"/>
      <c r="J131" s="1335"/>
      <c r="K131" s="1335"/>
      <c r="L131" s="1335"/>
    </row>
    <row r="132" spans="1:12" s="143" customFormat="1" ht="30" customHeight="1">
      <c r="A132" s="1335"/>
      <c r="B132" s="1335"/>
      <c r="C132" s="1503"/>
      <c r="D132" s="1335"/>
      <c r="E132" s="1335"/>
      <c r="F132" s="1335"/>
      <c r="G132" s="1335"/>
      <c r="H132" s="1335"/>
      <c r="I132" s="1335"/>
      <c r="J132" s="1335"/>
      <c r="K132" s="1335"/>
      <c r="L132" s="1335"/>
    </row>
    <row r="133" spans="1:12" s="143" customFormat="1" ht="30" customHeight="1">
      <c r="A133" s="1335"/>
      <c r="B133" s="1335"/>
      <c r="C133" s="1503"/>
      <c r="D133" s="1335"/>
      <c r="E133" s="1335"/>
      <c r="F133" s="1335"/>
      <c r="G133" s="1335"/>
      <c r="H133" s="1335"/>
      <c r="I133" s="1335"/>
      <c r="J133" s="1335"/>
      <c r="K133" s="1335"/>
      <c r="L133" s="1335"/>
    </row>
    <row r="134" spans="1:12" s="143" customFormat="1" ht="30" customHeight="1">
      <c r="A134" s="1335"/>
      <c r="B134" s="1335"/>
      <c r="C134" s="1503"/>
      <c r="D134" s="1335"/>
      <c r="E134" s="1335"/>
      <c r="F134" s="1335"/>
      <c r="G134" s="1335"/>
      <c r="H134" s="1335"/>
      <c r="I134" s="1335"/>
      <c r="J134" s="1335"/>
      <c r="K134" s="1335"/>
      <c r="L134" s="1335"/>
    </row>
    <row r="135" spans="1:12" s="143" customFormat="1" ht="30" customHeight="1">
      <c r="A135" s="1335"/>
      <c r="B135" s="1335"/>
      <c r="C135" s="1503"/>
      <c r="D135" s="1335"/>
      <c r="E135" s="1335"/>
      <c r="F135" s="1335"/>
      <c r="G135" s="1335"/>
      <c r="H135" s="1335"/>
      <c r="I135" s="1335"/>
      <c r="J135" s="1335"/>
      <c r="K135" s="1335"/>
      <c r="L135" s="1335"/>
    </row>
    <row r="136" spans="1:12" s="143" customFormat="1" ht="30" customHeight="1">
      <c r="A136" s="1335"/>
      <c r="B136" s="1335"/>
      <c r="C136" s="1503"/>
      <c r="D136" s="1335"/>
      <c r="E136" s="1335"/>
      <c r="F136" s="1335"/>
      <c r="G136" s="1335"/>
      <c r="H136" s="1335"/>
      <c r="I136" s="1335"/>
      <c r="J136" s="1335"/>
      <c r="K136" s="1335"/>
      <c r="L136" s="1335"/>
    </row>
    <row r="137" spans="1:12" s="143" customFormat="1" ht="30" customHeight="1">
      <c r="A137" s="1335"/>
      <c r="B137" s="1335"/>
      <c r="C137" s="1503"/>
      <c r="D137" s="1335"/>
      <c r="E137" s="1335"/>
      <c r="F137" s="1335"/>
      <c r="G137" s="1335"/>
      <c r="H137" s="1335"/>
      <c r="I137" s="1335"/>
      <c r="J137" s="1335"/>
      <c r="K137" s="1335"/>
      <c r="L137" s="1335"/>
    </row>
    <row r="138" spans="1:12" s="143" customFormat="1" ht="30" customHeight="1">
      <c r="A138" s="1335"/>
      <c r="B138" s="1335"/>
      <c r="C138" s="1503"/>
      <c r="D138" s="1335"/>
      <c r="E138" s="1335"/>
      <c r="F138" s="1335"/>
      <c r="G138" s="1335"/>
      <c r="H138" s="1335"/>
      <c r="I138" s="1335"/>
      <c r="J138" s="1335"/>
      <c r="K138" s="1335"/>
      <c r="L138" s="1335"/>
    </row>
    <row r="139" spans="1:12" s="143" customFormat="1" ht="30" customHeight="1">
      <c r="A139" s="1335"/>
      <c r="B139" s="1335"/>
      <c r="C139" s="1503"/>
      <c r="D139" s="1335"/>
      <c r="E139" s="1335"/>
      <c r="F139" s="1335"/>
      <c r="G139" s="1335"/>
      <c r="H139" s="1335"/>
      <c r="I139" s="1335"/>
      <c r="J139" s="1335"/>
      <c r="K139" s="1335"/>
      <c r="L139" s="1335"/>
    </row>
    <row r="140" spans="1:12" s="143" customFormat="1" ht="33" customHeight="1">
      <c r="A140" s="1335"/>
      <c r="B140" s="1335"/>
      <c r="C140" s="1503"/>
      <c r="D140" s="1335"/>
      <c r="E140" s="1335"/>
      <c r="F140" s="1335"/>
      <c r="G140" s="1335"/>
      <c r="H140" s="1335"/>
      <c r="I140" s="1335"/>
      <c r="J140" s="1335"/>
      <c r="K140" s="1335"/>
      <c r="L140" s="1335"/>
    </row>
    <row r="141" spans="1:12" s="143" customFormat="1" ht="29.25" customHeight="1">
      <c r="A141" s="1335"/>
      <c r="B141" s="1335"/>
      <c r="C141" s="1503"/>
      <c r="D141" s="1335"/>
      <c r="E141" s="1335"/>
      <c r="F141" s="1335"/>
      <c r="G141" s="1335"/>
      <c r="H141" s="1335"/>
      <c r="I141" s="1335"/>
      <c r="J141" s="1335"/>
      <c r="K141" s="1335"/>
      <c r="L141" s="1335"/>
    </row>
    <row r="142" spans="1:12" s="143" customFormat="1" ht="23.25" customHeight="1">
      <c r="A142" s="1335"/>
      <c r="B142" s="1335"/>
      <c r="C142" s="1503"/>
      <c r="D142" s="1335"/>
      <c r="E142" s="1335"/>
      <c r="F142" s="1335"/>
      <c r="G142" s="1335"/>
      <c r="H142" s="1335"/>
      <c r="I142" s="1335"/>
      <c r="J142" s="1335"/>
      <c r="K142" s="1335"/>
      <c r="L142" s="1335"/>
    </row>
    <row r="143" spans="1:12" s="143" customFormat="1" ht="33.75" customHeight="1">
      <c r="A143" s="1335"/>
      <c r="B143" s="1335"/>
      <c r="C143" s="1503"/>
      <c r="D143" s="1335"/>
      <c r="E143" s="1335"/>
      <c r="F143" s="1335"/>
      <c r="G143" s="1335"/>
      <c r="H143" s="1335"/>
      <c r="I143" s="1335"/>
      <c r="J143" s="1335"/>
      <c r="K143" s="1335"/>
      <c r="L143" s="1335"/>
    </row>
    <row r="144" spans="1:12" s="143" customFormat="1" ht="33" customHeight="1">
      <c r="A144" s="1335"/>
      <c r="B144" s="1335"/>
      <c r="C144" s="1503"/>
      <c r="D144" s="1335"/>
      <c r="E144" s="1335"/>
      <c r="F144" s="1335"/>
      <c r="G144" s="1335"/>
      <c r="H144" s="1335"/>
      <c r="I144" s="1335"/>
      <c r="J144" s="1335"/>
      <c r="K144" s="1335"/>
      <c r="L144" s="1335"/>
    </row>
    <row r="145" spans="1:12" s="143" customFormat="1" ht="30" customHeight="1">
      <c r="A145" s="1335"/>
      <c r="B145" s="1335"/>
      <c r="C145" s="1503"/>
      <c r="D145" s="1335"/>
      <c r="E145" s="1335"/>
      <c r="F145" s="1335"/>
      <c r="G145" s="1335"/>
      <c r="H145" s="1335"/>
      <c r="I145" s="1335"/>
      <c r="J145" s="1335"/>
      <c r="K145" s="1335"/>
      <c r="L145" s="1335"/>
    </row>
    <row r="146" spans="1:12" s="143" customFormat="1" ht="30" customHeight="1">
      <c r="A146" s="1335"/>
      <c r="B146" s="1335"/>
      <c r="C146" s="1503"/>
      <c r="D146" s="1335"/>
      <c r="E146" s="1335"/>
      <c r="F146" s="1335"/>
      <c r="G146" s="1335"/>
      <c r="H146" s="1335"/>
      <c r="I146" s="1335"/>
      <c r="J146" s="1335"/>
      <c r="K146" s="1335"/>
      <c r="L146" s="1335"/>
    </row>
    <row r="147" spans="1:12" s="143" customFormat="1" ht="31.5" customHeight="1">
      <c r="A147" s="1335"/>
      <c r="B147" s="1335"/>
      <c r="C147" s="1503"/>
      <c r="D147" s="1335"/>
      <c r="E147" s="1335"/>
      <c r="F147" s="1335"/>
      <c r="G147" s="1335"/>
      <c r="H147" s="1335"/>
      <c r="I147" s="1335"/>
      <c r="J147" s="1335"/>
      <c r="K147" s="1335"/>
      <c r="L147" s="1335"/>
    </row>
    <row r="148" spans="1:12" s="143" customFormat="1" ht="33.75" customHeight="1">
      <c r="A148" s="1335"/>
      <c r="B148" s="1335"/>
      <c r="C148" s="1503"/>
      <c r="D148" s="1335"/>
      <c r="E148" s="1335"/>
      <c r="F148" s="1335"/>
      <c r="G148" s="1335"/>
      <c r="H148" s="1335"/>
      <c r="I148" s="1335"/>
      <c r="J148" s="1335"/>
      <c r="K148" s="1335"/>
      <c r="L148" s="1335"/>
    </row>
    <row r="149" spans="1:12" s="143" customFormat="1" ht="30" customHeight="1">
      <c r="A149" s="1335"/>
      <c r="B149" s="1335"/>
      <c r="C149" s="1503"/>
      <c r="D149" s="1335"/>
      <c r="E149" s="1335"/>
      <c r="F149" s="1335"/>
      <c r="G149" s="1335"/>
      <c r="H149" s="1335"/>
      <c r="I149" s="1335"/>
      <c r="J149" s="1335"/>
      <c r="K149" s="1335"/>
      <c r="L149" s="1335"/>
    </row>
    <row r="150" spans="1:12" s="143" customFormat="1" ht="30" customHeight="1">
      <c r="A150" s="1335"/>
      <c r="B150" s="1335"/>
      <c r="C150" s="1503"/>
      <c r="D150" s="1335"/>
      <c r="E150" s="1335"/>
      <c r="F150" s="1335"/>
      <c r="G150" s="1335"/>
      <c r="H150" s="1335"/>
      <c r="I150" s="1335"/>
      <c r="J150" s="1335"/>
      <c r="K150" s="1335"/>
      <c r="L150" s="1335"/>
    </row>
    <row r="151" spans="1:12" ht="33.75" customHeight="1">
      <c r="A151" s="1335"/>
      <c r="B151" s="1335"/>
      <c r="C151" s="1503"/>
      <c r="D151" s="1504"/>
      <c r="E151" s="1504"/>
      <c r="F151" s="1504"/>
      <c r="G151" s="1504"/>
      <c r="H151" s="1504"/>
      <c r="I151" s="1504"/>
      <c r="J151" s="1504"/>
      <c r="K151" s="1504"/>
      <c r="L151" s="1504"/>
    </row>
    <row r="152" spans="1:12" ht="30" customHeight="1">
      <c r="A152" s="1335"/>
      <c r="B152" s="1335"/>
      <c r="C152" s="1503"/>
      <c r="D152" s="1504"/>
      <c r="E152" s="1504"/>
      <c r="F152" s="1504"/>
      <c r="G152" s="1504"/>
      <c r="H152" s="1504"/>
      <c r="I152" s="1504"/>
      <c r="J152" s="1504"/>
      <c r="K152" s="1504"/>
      <c r="L152" s="1504"/>
    </row>
    <row r="153" ht="39.75" customHeight="1"/>
    <row r="154" ht="47.25" customHeight="1"/>
    <row r="155" ht="35.25" customHeight="1"/>
    <row r="156" ht="35.25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48.75" customHeight="1"/>
    <row r="174" ht="48.75" customHeight="1"/>
    <row r="175" ht="48.75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106.5" customHeight="1"/>
    <row r="193" ht="77.25" customHeight="1"/>
    <row r="194" ht="30" customHeight="1"/>
    <row r="195" ht="28.5" customHeight="1"/>
    <row r="196" ht="30" customHeight="1"/>
    <row r="197" ht="21.75" customHeight="1"/>
    <row r="198" ht="30" customHeight="1"/>
    <row r="199" ht="30" customHeight="1"/>
    <row r="200" ht="27.75" customHeight="1"/>
    <row r="201" ht="33" customHeight="1"/>
    <row r="202" ht="32.25" customHeight="1"/>
    <row r="203" ht="21" customHeight="1"/>
    <row r="204" ht="30" customHeight="1"/>
    <row r="205" ht="24" customHeight="1"/>
    <row r="206" ht="24.75" customHeight="1"/>
    <row r="207" ht="24.75" customHeight="1"/>
    <row r="208" ht="26.25" customHeight="1"/>
    <row r="209" ht="24" customHeight="1"/>
    <row r="210" ht="24" customHeight="1"/>
    <row r="211" ht="24.75" customHeight="1"/>
    <row r="212" ht="33.75" customHeight="1"/>
    <row r="213" ht="33.75" customHeight="1"/>
    <row r="214" ht="39.75" customHeight="1"/>
    <row r="215" spans="1:12" s="1505" customFormat="1" ht="21.75" customHeight="1">
      <c r="A215" s="251"/>
      <c r="B215" s="251"/>
      <c r="C215" s="1496"/>
      <c r="D215" s="264"/>
      <c r="E215" s="264"/>
      <c r="F215" s="264"/>
      <c r="G215" s="264"/>
      <c r="H215" s="264"/>
      <c r="I215" s="264"/>
      <c r="J215" s="264"/>
      <c r="K215" s="264"/>
      <c r="L215" s="264"/>
    </row>
    <row r="216" ht="24.75" customHeight="1"/>
    <row r="217" ht="49.5" customHeight="1"/>
    <row r="218" ht="30.75" customHeight="1"/>
    <row r="219" ht="27.75" customHeight="1"/>
  </sheetData>
  <mergeCells count="10">
    <mergeCell ref="O8:O9"/>
    <mergeCell ref="V8:V9"/>
    <mergeCell ref="D7:D9"/>
    <mergeCell ref="M7:M9"/>
    <mergeCell ref="N7:N9"/>
    <mergeCell ref="E8:E9"/>
    <mergeCell ref="A7:A9"/>
    <mergeCell ref="B7:B9"/>
    <mergeCell ref="C7:C9"/>
    <mergeCell ref="L8:L9"/>
  </mergeCells>
  <printOptions horizontalCentered="1"/>
  <pageMargins left="0.2755905511811024" right="0.1968503937007874" top="0.5905511811023623" bottom="0.5905511811023623" header="0.5118110236220472" footer="0.5118110236220472"/>
  <pageSetup firstPageNumber="6" useFirstPageNumber="1" horizontalDpi="300" verticalDpi="300" orientation="landscape" paperSize="9" scale="49" r:id="rId2"/>
  <headerFooter alignWithMargins="0">
    <oddHeader>&amp;L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7">
      <pane ySplit="6" topLeftCell="BM31" activePane="bottomLeft" state="frozen"/>
      <selection pane="topLeft" activeCell="D58" sqref="D58"/>
      <selection pane="bottomLeft" activeCell="K51" sqref="K51:K52"/>
    </sheetView>
  </sheetViews>
  <sheetFormatPr defaultColWidth="9.00390625" defaultRowHeight="12.75"/>
  <cols>
    <col min="1" max="1" width="6.75390625" style="668" customWidth="1"/>
    <col min="2" max="2" width="7.875" style="668" customWidth="1"/>
    <col min="3" max="3" width="45.625" style="591" customWidth="1"/>
    <col min="4" max="4" width="23.00390625" style="591" customWidth="1"/>
    <col min="5" max="5" width="16.625" style="591" customWidth="1"/>
    <col min="6" max="6" width="14.75390625" style="591" customWidth="1"/>
    <col min="7" max="7" width="18.00390625" style="591" customWidth="1"/>
    <col min="8" max="8" width="12.25390625" style="591" customWidth="1"/>
    <col min="9" max="9" width="15.75390625" style="591" customWidth="1"/>
    <col min="10" max="10" width="19.00390625" style="591" customWidth="1"/>
    <col min="11" max="11" width="13.75390625" style="591" customWidth="1"/>
    <col min="12" max="12" width="19.125" style="591" customWidth="1"/>
    <col min="13" max="13" width="12.00390625" style="591" bestFit="1" customWidth="1"/>
    <col min="14" max="14" width="11.625" style="591" bestFit="1" customWidth="1"/>
    <col min="15" max="16384" width="9.125" style="591" customWidth="1"/>
  </cols>
  <sheetData>
    <row r="1" spans="1:10" s="671" customFormat="1" ht="17.25" customHeight="1">
      <c r="A1" s="670"/>
      <c r="B1" s="670"/>
      <c r="C1" s="328"/>
      <c r="D1" s="328"/>
      <c r="E1" s="328"/>
      <c r="F1" s="328"/>
      <c r="G1" s="328"/>
      <c r="H1" s="328"/>
      <c r="I1" s="328"/>
      <c r="J1" s="447" t="s">
        <v>562</v>
      </c>
    </row>
    <row r="2" spans="1:11" s="675" customFormat="1" ht="18" customHeight="1">
      <c r="A2" s="672"/>
      <c r="B2" s="673" t="s">
        <v>326</v>
      </c>
      <c r="C2" s="674"/>
      <c r="H2" s="594"/>
      <c r="I2" s="594"/>
      <c r="J2" s="447" t="s">
        <v>163</v>
      </c>
      <c r="K2" s="671"/>
    </row>
    <row r="3" spans="1:11" s="594" customFormat="1" ht="17.25" customHeight="1">
      <c r="A3" s="676"/>
      <c r="B3" s="676"/>
      <c r="D3" s="677"/>
      <c r="J3" s="447" t="s">
        <v>272</v>
      </c>
      <c r="K3" s="675"/>
    </row>
    <row r="4" spans="1:10" s="671" customFormat="1" ht="17.25" customHeight="1">
      <c r="A4" s="676"/>
      <c r="B4" s="676"/>
      <c r="C4" s="594"/>
      <c r="D4" s="594"/>
      <c r="E4" s="594"/>
      <c r="F4" s="594"/>
      <c r="G4" s="594"/>
      <c r="H4" s="594"/>
      <c r="I4" s="594"/>
      <c r="J4" s="447" t="s">
        <v>355</v>
      </c>
    </row>
    <row r="5" spans="1:5" s="671" customFormat="1" ht="13.5" customHeight="1">
      <c r="A5" s="678"/>
      <c r="B5" s="678"/>
      <c r="D5" s="447"/>
      <c r="E5" s="447"/>
    </row>
    <row r="6" spans="1:12" s="594" customFormat="1" ht="13.5" thickBot="1">
      <c r="A6" s="678"/>
      <c r="B6" s="678"/>
      <c r="C6" s="671"/>
      <c r="D6" s="671"/>
      <c r="E6" s="671"/>
      <c r="F6" s="671"/>
      <c r="G6" s="671"/>
      <c r="H6" s="671"/>
      <c r="I6" s="671"/>
      <c r="J6" s="671"/>
      <c r="K6" s="671"/>
      <c r="L6" s="440" t="s">
        <v>184</v>
      </c>
    </row>
    <row r="7" spans="1:12" s="683" customFormat="1" ht="19.5" customHeight="1" thickTop="1">
      <c r="A7" s="679"/>
      <c r="B7" s="679"/>
      <c r="C7" s="680"/>
      <c r="D7" s="162" t="s">
        <v>343</v>
      </c>
      <c r="E7" s="461" t="s">
        <v>344</v>
      </c>
      <c r="F7" s="681"/>
      <c r="G7" s="682"/>
      <c r="H7" s="167"/>
      <c r="I7" s="162" t="s">
        <v>345</v>
      </c>
      <c r="J7" s="461" t="s">
        <v>344</v>
      </c>
      <c r="K7" s="681"/>
      <c r="L7" s="682"/>
    </row>
    <row r="8" spans="1:12" s="454" customFormat="1" ht="19.5" customHeight="1">
      <c r="A8" s="684" t="s">
        <v>179</v>
      </c>
      <c r="B8" s="684" t="s">
        <v>186</v>
      </c>
      <c r="C8" s="685" t="s">
        <v>346</v>
      </c>
      <c r="D8" s="163" t="s">
        <v>347</v>
      </c>
      <c r="E8" s="686" t="s">
        <v>348</v>
      </c>
      <c r="F8" s="1542" t="s">
        <v>349</v>
      </c>
      <c r="G8" s="687" t="s">
        <v>350</v>
      </c>
      <c r="H8" s="168" t="s">
        <v>187</v>
      </c>
      <c r="I8" s="164" t="s">
        <v>303</v>
      </c>
      <c r="J8" s="686" t="s">
        <v>348</v>
      </c>
      <c r="K8" s="1542" t="s">
        <v>349</v>
      </c>
      <c r="L8" s="687" t="s">
        <v>350</v>
      </c>
    </row>
    <row r="9" spans="1:12" s="454" customFormat="1" ht="23.25" customHeight="1">
      <c r="A9" s="688"/>
      <c r="B9" s="688"/>
      <c r="C9" s="689" t="s">
        <v>351</v>
      </c>
      <c r="D9" s="165" t="s">
        <v>342</v>
      </c>
      <c r="E9" s="690" t="s">
        <v>352</v>
      </c>
      <c r="F9" s="1543"/>
      <c r="G9" s="691" t="s">
        <v>353</v>
      </c>
      <c r="H9" s="692"/>
      <c r="I9" s="165" t="s">
        <v>288</v>
      </c>
      <c r="J9" s="690" t="s">
        <v>352</v>
      </c>
      <c r="K9" s="1543"/>
      <c r="L9" s="691" t="s">
        <v>353</v>
      </c>
    </row>
    <row r="10" spans="1:12" s="454" customFormat="1" ht="32.25" customHeight="1" thickBot="1">
      <c r="A10" s="693"/>
      <c r="B10" s="693"/>
      <c r="C10" s="694"/>
      <c r="D10" s="166" t="s">
        <v>377</v>
      </c>
      <c r="E10" s="695" t="s">
        <v>354</v>
      </c>
      <c r="F10" s="1544"/>
      <c r="G10" s="696" t="s">
        <v>375</v>
      </c>
      <c r="H10" s="697"/>
      <c r="I10" s="166" t="s">
        <v>376</v>
      </c>
      <c r="J10" s="695" t="s">
        <v>354</v>
      </c>
      <c r="K10" s="1543"/>
      <c r="L10" s="696" t="s">
        <v>375</v>
      </c>
    </row>
    <row r="11" spans="1:12" s="700" customFormat="1" ht="15" customHeight="1" thickBot="1" thickTop="1">
      <c r="A11" s="698">
        <v>1</v>
      </c>
      <c r="B11" s="698">
        <v>2</v>
      </c>
      <c r="C11" s="698">
        <v>3</v>
      </c>
      <c r="D11" s="698">
        <v>4</v>
      </c>
      <c r="E11" s="698">
        <v>5</v>
      </c>
      <c r="F11" s="698">
        <v>6</v>
      </c>
      <c r="G11" s="699">
        <v>7</v>
      </c>
      <c r="H11" s="698">
        <v>8</v>
      </c>
      <c r="I11" s="698">
        <v>9</v>
      </c>
      <c r="J11" s="698">
        <v>10</v>
      </c>
      <c r="K11" s="698">
        <v>11</v>
      </c>
      <c r="L11" s="699">
        <v>12</v>
      </c>
    </row>
    <row r="12" spans="1:14" s="707" customFormat="1" ht="21.75" customHeight="1" thickBot="1" thickTop="1">
      <c r="A12" s="701"/>
      <c r="B12" s="701"/>
      <c r="C12" s="702" t="s">
        <v>340</v>
      </c>
      <c r="D12" s="703">
        <v>285758662</v>
      </c>
      <c r="E12" s="703">
        <v>258943107</v>
      </c>
      <c r="F12" s="704">
        <v>16145152</v>
      </c>
      <c r="G12" s="705">
        <v>10670403</v>
      </c>
      <c r="H12" s="703">
        <f>H14+H41</f>
        <v>454100</v>
      </c>
      <c r="I12" s="703">
        <f>D12+H12</f>
        <v>286212762</v>
      </c>
      <c r="J12" s="703">
        <f>E12+H12-100000</f>
        <v>259297207</v>
      </c>
      <c r="K12" s="706">
        <f>F12</f>
        <v>16145152</v>
      </c>
      <c r="L12" s="703">
        <f>G12+H44</f>
        <v>10770403</v>
      </c>
      <c r="M12" s="450"/>
      <c r="N12" s="451"/>
    </row>
    <row r="13" spans="1:14" s="452" customFormat="1" ht="21.75" customHeight="1">
      <c r="A13" s="666"/>
      <c r="B13" s="666"/>
      <c r="C13" s="708" t="s">
        <v>210</v>
      </c>
      <c r="D13" s="462"/>
      <c r="E13" s="462"/>
      <c r="F13" s="708"/>
      <c r="G13" s="462"/>
      <c r="H13" s="462"/>
      <c r="I13" s="709"/>
      <c r="J13" s="710"/>
      <c r="K13" s="711"/>
      <c r="L13" s="712"/>
      <c r="N13" s="451"/>
    </row>
    <row r="14" spans="1:14" s="716" customFormat="1" ht="21" customHeight="1" thickBot="1">
      <c r="A14" s="713"/>
      <c r="B14" s="713"/>
      <c r="C14" s="714" t="s">
        <v>192</v>
      </c>
      <c r="D14" s="715">
        <v>285195662</v>
      </c>
      <c r="E14" s="715">
        <v>258943107</v>
      </c>
      <c r="F14" s="715">
        <v>16145152</v>
      </c>
      <c r="G14" s="715">
        <v>10107403</v>
      </c>
      <c r="H14" s="715">
        <f>H19+H15+H24+H27+H31</f>
        <v>354100</v>
      </c>
      <c r="I14" s="714">
        <f>SUM(J14:L14)</f>
        <v>285549762</v>
      </c>
      <c r="J14" s="709">
        <f>E14+H14</f>
        <v>259297207</v>
      </c>
      <c r="K14" s="714">
        <f aca="true" t="shared" si="0" ref="K14:L16">F14</f>
        <v>16145152</v>
      </c>
      <c r="L14" s="709">
        <f t="shared" si="0"/>
        <v>10107403</v>
      </c>
      <c r="M14" s="450"/>
      <c r="N14" s="451"/>
    </row>
    <row r="15" spans="1:13" s="453" customFormat="1" ht="21" customHeight="1" thickBot="1" thickTop="1">
      <c r="A15" s="717">
        <v>600</v>
      </c>
      <c r="B15" s="718"/>
      <c r="C15" s="915" t="s">
        <v>162</v>
      </c>
      <c r="D15" s="916">
        <v>152229079</v>
      </c>
      <c r="E15" s="916">
        <v>130753473</v>
      </c>
      <c r="F15" s="916">
        <v>15088870</v>
      </c>
      <c r="G15" s="916">
        <v>6386736</v>
      </c>
      <c r="H15" s="916">
        <f>H16</f>
        <v>0</v>
      </c>
      <c r="I15" s="917">
        <f>SUM(J15:L15)</f>
        <v>152229079</v>
      </c>
      <c r="J15" s="918">
        <f aca="true" t="shared" si="1" ref="J15:J21">E15+H15</f>
        <v>130753473</v>
      </c>
      <c r="K15" s="919">
        <f t="shared" si="0"/>
        <v>15088870</v>
      </c>
      <c r="L15" s="918">
        <f t="shared" si="0"/>
        <v>6386736</v>
      </c>
      <c r="M15" s="450"/>
    </row>
    <row r="16" spans="1:14" s="716" customFormat="1" ht="30">
      <c r="A16" s="720"/>
      <c r="B16" s="721">
        <v>60015</v>
      </c>
      <c r="C16" s="920" t="s">
        <v>169</v>
      </c>
      <c r="D16" s="921">
        <v>98413711</v>
      </c>
      <c r="E16" s="921">
        <v>81627503</v>
      </c>
      <c r="F16" s="921">
        <v>11541708</v>
      </c>
      <c r="G16" s="921">
        <v>5244500</v>
      </c>
      <c r="H16" s="921">
        <f>H17+H18</f>
        <v>0</v>
      </c>
      <c r="I16" s="921">
        <f aca="true" t="shared" si="2" ref="I16:I44">SUM(J16:L16)</f>
        <v>98413711</v>
      </c>
      <c r="J16" s="922">
        <f t="shared" si="1"/>
        <v>81627503</v>
      </c>
      <c r="K16" s="922">
        <f t="shared" si="0"/>
        <v>11541708</v>
      </c>
      <c r="L16" s="922">
        <f t="shared" si="0"/>
        <v>5244500</v>
      </c>
      <c r="M16" s="450"/>
      <c r="N16" s="453"/>
    </row>
    <row r="17" spans="1:14" s="716" customFormat="1" ht="21" customHeight="1">
      <c r="A17" s="720"/>
      <c r="B17" s="923"/>
      <c r="C17" s="924" t="s">
        <v>746</v>
      </c>
      <c r="D17" s="925">
        <v>1389000</v>
      </c>
      <c r="E17" s="925">
        <v>1389000</v>
      </c>
      <c r="F17" s="926"/>
      <c r="G17" s="925"/>
      <c r="H17" s="925">
        <v>-34000</v>
      </c>
      <c r="I17" s="925">
        <f t="shared" si="2"/>
        <v>1355000</v>
      </c>
      <c r="J17" s="925">
        <f t="shared" si="1"/>
        <v>1355000</v>
      </c>
      <c r="K17" s="926"/>
      <c r="L17" s="925"/>
      <c r="M17" s="450"/>
      <c r="N17" s="453"/>
    </row>
    <row r="18" spans="1:14" s="716" customFormat="1" ht="21" customHeight="1" thickBot="1">
      <c r="A18" s="720"/>
      <c r="B18" s="927"/>
      <c r="C18" s="928" t="s">
        <v>747</v>
      </c>
      <c r="D18" s="771">
        <v>4155500</v>
      </c>
      <c r="E18" s="771">
        <v>2611000</v>
      </c>
      <c r="F18" s="512"/>
      <c r="G18" s="771">
        <v>1544500</v>
      </c>
      <c r="H18" s="771">
        <v>34000</v>
      </c>
      <c r="I18" s="771">
        <f t="shared" si="2"/>
        <v>4189500</v>
      </c>
      <c r="J18" s="462">
        <f t="shared" si="1"/>
        <v>2645000</v>
      </c>
      <c r="K18" s="708"/>
      <c r="L18" s="462">
        <f>G18</f>
        <v>1544500</v>
      </c>
      <c r="M18" s="450"/>
      <c r="N18" s="453"/>
    </row>
    <row r="19" spans="1:13" s="453" customFormat="1" ht="21" customHeight="1" thickBot="1">
      <c r="A19" s="717">
        <v>801</v>
      </c>
      <c r="B19" s="718"/>
      <c r="C19" s="719" t="s">
        <v>395</v>
      </c>
      <c r="D19" s="719">
        <v>41610309</v>
      </c>
      <c r="E19" s="719">
        <v>38196429</v>
      </c>
      <c r="F19" s="719"/>
      <c r="G19" s="719">
        <v>3413880</v>
      </c>
      <c r="H19" s="719">
        <f>H22+H20</f>
        <v>207100</v>
      </c>
      <c r="I19" s="719">
        <f t="shared" si="2"/>
        <v>41817409</v>
      </c>
      <c r="J19" s="719">
        <f t="shared" si="1"/>
        <v>38403529</v>
      </c>
      <c r="K19" s="719"/>
      <c r="L19" s="719">
        <f>G19</f>
        <v>3413880</v>
      </c>
      <c r="M19" s="450"/>
    </row>
    <row r="20" spans="1:14" s="716" customFormat="1" ht="21" customHeight="1">
      <c r="A20" s="720"/>
      <c r="B20" s="721">
        <v>80110</v>
      </c>
      <c r="C20" s="374" t="s">
        <v>596</v>
      </c>
      <c r="D20" s="374">
        <v>3916000</v>
      </c>
      <c r="E20" s="374">
        <v>3616000</v>
      </c>
      <c r="F20" s="374"/>
      <c r="G20" s="374">
        <v>300000</v>
      </c>
      <c r="H20" s="374">
        <f>H21</f>
        <v>4100</v>
      </c>
      <c r="I20" s="374">
        <f t="shared" si="2"/>
        <v>3920100</v>
      </c>
      <c r="J20" s="374">
        <f t="shared" si="1"/>
        <v>3620100</v>
      </c>
      <c r="K20" s="374"/>
      <c r="L20" s="374">
        <f>G20</f>
        <v>300000</v>
      </c>
      <c r="M20" s="450"/>
      <c r="N20" s="453"/>
    </row>
    <row r="21" spans="1:14" s="716" customFormat="1" ht="30">
      <c r="A21" s="666"/>
      <c r="B21" s="1077"/>
      <c r="C21" s="1486" t="s">
        <v>468</v>
      </c>
      <c r="D21" s="667"/>
      <c r="E21" s="667"/>
      <c r="F21" s="667"/>
      <c r="G21" s="667"/>
      <c r="H21" s="667">
        <v>4100</v>
      </c>
      <c r="I21" s="667">
        <f t="shared" si="2"/>
        <v>4100</v>
      </c>
      <c r="J21" s="667">
        <f t="shared" si="1"/>
        <v>4100</v>
      </c>
      <c r="K21" s="667"/>
      <c r="L21" s="667"/>
      <c r="M21" s="450"/>
      <c r="N21" s="453"/>
    </row>
    <row r="22" spans="1:14" s="716" customFormat="1" ht="21" customHeight="1">
      <c r="A22" s="720"/>
      <c r="B22" s="721">
        <v>80130</v>
      </c>
      <c r="C22" s="374" t="s">
        <v>399</v>
      </c>
      <c r="D22" s="374">
        <v>8496194</v>
      </c>
      <c r="E22" s="374">
        <v>6796194</v>
      </c>
      <c r="F22" s="374"/>
      <c r="G22" s="374">
        <v>1700000</v>
      </c>
      <c r="H22" s="374">
        <f>H23</f>
        <v>203000</v>
      </c>
      <c r="I22" s="374">
        <f t="shared" si="2"/>
        <v>8699194</v>
      </c>
      <c r="J22" s="374">
        <f>E22+H22</f>
        <v>6999194</v>
      </c>
      <c r="K22" s="374"/>
      <c r="L22" s="374">
        <f>G22</f>
        <v>1700000</v>
      </c>
      <c r="M22" s="450"/>
      <c r="N22" s="453"/>
    </row>
    <row r="23" spans="1:14" s="716" customFormat="1" ht="21" customHeight="1" thickBot="1">
      <c r="A23" s="666"/>
      <c r="B23" s="666"/>
      <c r="C23" s="667" t="s">
        <v>510</v>
      </c>
      <c r="D23" s="667"/>
      <c r="E23" s="667"/>
      <c r="F23" s="667"/>
      <c r="G23" s="667"/>
      <c r="H23" s="667">
        <v>203000</v>
      </c>
      <c r="I23" s="667">
        <f t="shared" si="2"/>
        <v>203000</v>
      </c>
      <c r="J23" s="667">
        <f>E23+H23</f>
        <v>203000</v>
      </c>
      <c r="K23" s="667"/>
      <c r="L23" s="667"/>
      <c r="M23" s="450"/>
      <c r="N23" s="453"/>
    </row>
    <row r="24" spans="1:13" s="453" customFormat="1" ht="21" customHeight="1" thickBot="1">
      <c r="A24" s="717">
        <v>854</v>
      </c>
      <c r="B24" s="718"/>
      <c r="C24" s="719" t="s">
        <v>403</v>
      </c>
      <c r="D24" s="719">
        <v>2020000</v>
      </c>
      <c r="E24" s="719">
        <v>2020000</v>
      </c>
      <c r="F24" s="719"/>
      <c r="G24" s="719"/>
      <c r="H24" s="719">
        <f>H25</f>
        <v>147000</v>
      </c>
      <c r="I24" s="719">
        <f t="shared" si="2"/>
        <v>2167000</v>
      </c>
      <c r="J24" s="719">
        <f>E24+H24</f>
        <v>2167000</v>
      </c>
      <c r="K24" s="719"/>
      <c r="L24" s="719"/>
      <c r="M24" s="450"/>
    </row>
    <row r="25" spans="1:14" s="716" customFormat="1" ht="21" customHeight="1">
      <c r="A25" s="720"/>
      <c r="B25" s="722">
        <v>85403</v>
      </c>
      <c r="C25" s="723" t="s">
        <v>599</v>
      </c>
      <c r="D25" s="723">
        <v>1875000</v>
      </c>
      <c r="E25" s="723">
        <v>1875000</v>
      </c>
      <c r="F25" s="723"/>
      <c r="G25" s="723"/>
      <c r="H25" s="723">
        <f>H26</f>
        <v>147000</v>
      </c>
      <c r="I25" s="723">
        <f t="shared" si="2"/>
        <v>2022000</v>
      </c>
      <c r="J25" s="723">
        <f>E25+H25</f>
        <v>2022000</v>
      </c>
      <c r="K25" s="723"/>
      <c r="L25" s="723"/>
      <c r="M25" s="450"/>
      <c r="N25" s="453"/>
    </row>
    <row r="26" spans="1:14" s="716" customFormat="1" ht="21" customHeight="1" thickBot="1">
      <c r="A26" s="724"/>
      <c r="B26" s="724"/>
      <c r="C26" s="725" t="s">
        <v>41</v>
      </c>
      <c r="D26" s="725">
        <v>100000</v>
      </c>
      <c r="E26" s="725">
        <v>100000</v>
      </c>
      <c r="F26" s="725"/>
      <c r="G26" s="725"/>
      <c r="H26" s="725">
        <v>147000</v>
      </c>
      <c r="I26" s="725">
        <f t="shared" si="2"/>
        <v>247000</v>
      </c>
      <c r="J26" s="725">
        <f>E26+H26</f>
        <v>247000</v>
      </c>
      <c r="K26" s="725"/>
      <c r="L26" s="725"/>
      <c r="M26" s="450"/>
      <c r="N26" s="453"/>
    </row>
    <row r="27" spans="1:13" s="453" customFormat="1" ht="21" customHeight="1" thickBot="1">
      <c r="A27" s="717">
        <v>900</v>
      </c>
      <c r="B27" s="718"/>
      <c r="C27" s="803" t="s">
        <v>633</v>
      </c>
      <c r="D27" s="719">
        <v>44885659</v>
      </c>
      <c r="E27" s="719">
        <v>44785659</v>
      </c>
      <c r="F27" s="719"/>
      <c r="G27" s="719">
        <v>100000</v>
      </c>
      <c r="H27" s="719">
        <f>H28</f>
        <v>0</v>
      </c>
      <c r="I27" s="719">
        <f t="shared" si="2"/>
        <v>44885659</v>
      </c>
      <c r="J27" s="719">
        <f aca="true" t="shared" si="3" ref="J27:J37">E27+H27</f>
        <v>44785659</v>
      </c>
      <c r="K27" s="719"/>
      <c r="L27" s="719">
        <f>G27</f>
        <v>100000</v>
      </c>
      <c r="M27" s="450"/>
    </row>
    <row r="28" spans="1:14" s="716" customFormat="1" ht="21" customHeight="1">
      <c r="A28" s="720"/>
      <c r="B28" s="722">
        <v>90001</v>
      </c>
      <c r="C28" s="769" t="s">
        <v>341</v>
      </c>
      <c r="D28" s="723">
        <v>15045000</v>
      </c>
      <c r="E28" s="723">
        <v>15045000</v>
      </c>
      <c r="F28" s="723"/>
      <c r="G28" s="723"/>
      <c r="H28" s="723">
        <f>SUM(H29:H30)</f>
        <v>0</v>
      </c>
      <c r="I28" s="723">
        <f t="shared" si="2"/>
        <v>15045000</v>
      </c>
      <c r="J28" s="723">
        <f t="shared" si="3"/>
        <v>15045000</v>
      </c>
      <c r="K28" s="723"/>
      <c r="L28" s="723"/>
      <c r="M28" s="450"/>
      <c r="N28" s="453"/>
    </row>
    <row r="29" spans="1:14" s="716" customFormat="1" ht="43.5">
      <c r="A29" s="666"/>
      <c r="B29" s="666"/>
      <c r="C29" s="804" t="s">
        <v>1</v>
      </c>
      <c r="D29" s="802">
        <v>500000</v>
      </c>
      <c r="E29" s="802">
        <v>500000</v>
      </c>
      <c r="F29" s="802"/>
      <c r="G29" s="802"/>
      <c r="H29" s="667">
        <v>-100000</v>
      </c>
      <c r="I29" s="667">
        <f t="shared" si="2"/>
        <v>400000</v>
      </c>
      <c r="J29" s="667">
        <f t="shared" si="3"/>
        <v>400000</v>
      </c>
      <c r="K29" s="667"/>
      <c r="L29" s="667"/>
      <c r="M29" s="450"/>
      <c r="N29" s="453"/>
    </row>
    <row r="30" spans="1:14" s="716" customFormat="1" ht="30" thickBot="1">
      <c r="A30" s="666"/>
      <c r="B30" s="666"/>
      <c r="C30" s="807" t="s">
        <v>0</v>
      </c>
      <c r="D30" s="805">
        <v>755000</v>
      </c>
      <c r="E30" s="806">
        <v>755000</v>
      </c>
      <c r="F30" s="806"/>
      <c r="G30" s="806"/>
      <c r="H30" s="805">
        <v>100000</v>
      </c>
      <c r="I30" s="805">
        <f t="shared" si="2"/>
        <v>855000</v>
      </c>
      <c r="J30" s="805">
        <f t="shared" si="3"/>
        <v>855000</v>
      </c>
      <c r="K30" s="805"/>
      <c r="L30" s="805"/>
      <c r="M30" s="450"/>
      <c r="N30" s="453"/>
    </row>
    <row r="31" spans="1:13" s="453" customFormat="1" ht="21" customHeight="1" thickBot="1">
      <c r="A31" s="717">
        <v>926</v>
      </c>
      <c r="B31" s="718"/>
      <c r="C31" s="808" t="s">
        <v>601</v>
      </c>
      <c r="D31" s="719">
        <v>10350000</v>
      </c>
      <c r="E31" s="719">
        <v>10350000</v>
      </c>
      <c r="F31" s="719"/>
      <c r="G31" s="719"/>
      <c r="H31" s="719">
        <f>H32</f>
        <v>0</v>
      </c>
      <c r="I31" s="719">
        <f t="shared" si="2"/>
        <v>10350000</v>
      </c>
      <c r="J31" s="719">
        <f t="shared" si="3"/>
        <v>10350000</v>
      </c>
      <c r="K31" s="719"/>
      <c r="L31" s="719"/>
      <c r="M31" s="450"/>
    </row>
    <row r="32" spans="1:14" s="716" customFormat="1" ht="21" customHeight="1">
      <c r="A32" s="720"/>
      <c r="B32" s="722">
        <v>92604</v>
      </c>
      <c r="C32" s="809" t="s">
        <v>754</v>
      </c>
      <c r="D32" s="723">
        <v>9250000</v>
      </c>
      <c r="E32" s="723">
        <v>9250000</v>
      </c>
      <c r="F32" s="723"/>
      <c r="G32" s="723"/>
      <c r="H32" s="723">
        <f>SUM(H33:H37)</f>
        <v>0</v>
      </c>
      <c r="I32" s="723">
        <f t="shared" si="2"/>
        <v>9250000</v>
      </c>
      <c r="J32" s="723">
        <f t="shared" si="3"/>
        <v>9250000</v>
      </c>
      <c r="K32" s="723"/>
      <c r="L32" s="723"/>
      <c r="M32" s="450"/>
      <c r="N32" s="453"/>
    </row>
    <row r="33" spans="1:14" s="716" customFormat="1" ht="29.25">
      <c r="A33" s="666"/>
      <c r="B33" s="666"/>
      <c r="C33" s="795" t="s">
        <v>759</v>
      </c>
      <c r="D33" s="802">
        <v>1670000</v>
      </c>
      <c r="E33" s="802">
        <v>1670000</v>
      </c>
      <c r="F33" s="802"/>
      <c r="G33" s="802"/>
      <c r="H33" s="667">
        <v>-1380000</v>
      </c>
      <c r="I33" s="667">
        <f t="shared" si="2"/>
        <v>290000</v>
      </c>
      <c r="J33" s="667">
        <f t="shared" si="3"/>
        <v>290000</v>
      </c>
      <c r="K33" s="667"/>
      <c r="L33" s="667"/>
      <c r="M33" s="450"/>
      <c r="N33" s="453"/>
    </row>
    <row r="34" spans="1:14" s="1423" customFormat="1" ht="29.25">
      <c r="A34" s="724"/>
      <c r="B34" s="724"/>
      <c r="C34" s="1324" t="s">
        <v>760</v>
      </c>
      <c r="D34" s="805">
        <v>500000</v>
      </c>
      <c r="E34" s="806">
        <v>500000</v>
      </c>
      <c r="F34" s="806"/>
      <c r="G34" s="806"/>
      <c r="H34" s="805">
        <f>1000000-550000</f>
        <v>450000</v>
      </c>
      <c r="I34" s="805">
        <f t="shared" si="2"/>
        <v>950000</v>
      </c>
      <c r="J34" s="805">
        <f>E34+H34</f>
        <v>950000</v>
      </c>
      <c r="K34" s="805"/>
      <c r="L34" s="805"/>
      <c r="M34" s="450"/>
      <c r="N34" s="452"/>
    </row>
    <row r="35" spans="1:14" s="1423" customFormat="1" ht="24" customHeight="1">
      <c r="A35" s="1420"/>
      <c r="B35" s="1420"/>
      <c r="C35" s="1421"/>
      <c r="D35" s="1422"/>
      <c r="E35" s="1422"/>
      <c r="F35" s="1422"/>
      <c r="G35" s="1422"/>
      <c r="H35" s="1422"/>
      <c r="I35" s="1422"/>
      <c r="J35" s="1422"/>
      <c r="K35" s="1422"/>
      <c r="L35" s="1422"/>
      <c r="M35" s="451"/>
      <c r="N35" s="452"/>
    </row>
    <row r="36" spans="1:14" s="1423" customFormat="1" ht="29.25">
      <c r="A36" s="666"/>
      <c r="B36" s="666"/>
      <c r="C36" s="1424" t="s">
        <v>761</v>
      </c>
      <c r="D36" s="928">
        <v>2000000</v>
      </c>
      <c r="E36" s="802">
        <v>2000000</v>
      </c>
      <c r="F36" s="802"/>
      <c r="G36" s="802"/>
      <c r="H36" s="928">
        <v>380000</v>
      </c>
      <c r="I36" s="928">
        <f t="shared" si="2"/>
        <v>2380000</v>
      </c>
      <c r="J36" s="928">
        <f t="shared" si="3"/>
        <v>2380000</v>
      </c>
      <c r="K36" s="928"/>
      <c r="L36" s="928"/>
      <c r="M36" s="450"/>
      <c r="N36" s="452"/>
    </row>
    <row r="37" spans="1:14" s="716" customFormat="1" ht="21" customHeight="1">
      <c r="A37" s="666"/>
      <c r="B37" s="666"/>
      <c r="C37" s="1324" t="s">
        <v>23</v>
      </c>
      <c r="D37" s="806">
        <v>1300000</v>
      </c>
      <c r="E37" s="806">
        <v>1300000</v>
      </c>
      <c r="F37" s="806"/>
      <c r="G37" s="806"/>
      <c r="H37" s="805">
        <v>550000</v>
      </c>
      <c r="I37" s="805">
        <f t="shared" si="2"/>
        <v>1850000</v>
      </c>
      <c r="J37" s="805">
        <f t="shared" si="3"/>
        <v>1850000</v>
      </c>
      <c r="K37" s="805"/>
      <c r="L37" s="805"/>
      <c r="M37" s="450"/>
      <c r="N37" s="453"/>
    </row>
    <row r="38" spans="1:14" s="716" customFormat="1" ht="31.5" customHeight="1" thickBot="1">
      <c r="A38" s="720"/>
      <c r="B38" s="720"/>
      <c r="C38" s="1325" t="s">
        <v>195</v>
      </c>
      <c r="D38" s="715">
        <v>318000</v>
      </c>
      <c r="E38" s="715"/>
      <c r="F38" s="715"/>
      <c r="G38" s="715">
        <v>318000</v>
      </c>
      <c r="H38" s="714"/>
      <c r="I38" s="714">
        <f t="shared" si="2"/>
        <v>318000</v>
      </c>
      <c r="J38" s="714"/>
      <c r="K38" s="714"/>
      <c r="L38" s="714">
        <f>G38+H38</f>
        <v>318000</v>
      </c>
      <c r="M38" s="450"/>
      <c r="N38" s="453"/>
    </row>
    <row r="39" spans="1:14" s="716" customFormat="1" ht="31.5" customHeight="1" thickBot="1" thickTop="1">
      <c r="A39" s="720"/>
      <c r="B39" s="720"/>
      <c r="C39" s="1477" t="s">
        <v>193</v>
      </c>
      <c r="D39" s="715">
        <v>245000</v>
      </c>
      <c r="E39" s="715"/>
      <c r="F39" s="715"/>
      <c r="G39" s="715">
        <v>245000</v>
      </c>
      <c r="H39" s="715">
        <f>H41</f>
        <v>100000</v>
      </c>
      <c r="I39" s="714">
        <f t="shared" si="2"/>
        <v>345000</v>
      </c>
      <c r="J39" s="1474"/>
      <c r="K39" s="1474"/>
      <c r="L39" s="714">
        <f>G39+H39</f>
        <v>345000</v>
      </c>
      <c r="M39" s="450"/>
      <c r="N39" s="453"/>
    </row>
    <row r="40" spans="1:13" s="453" customFormat="1" ht="20.25" customHeight="1" thickTop="1">
      <c r="A40" s="666"/>
      <c r="B40" s="666"/>
      <c r="C40" s="1478" t="s">
        <v>182</v>
      </c>
      <c r="D40" s="1479"/>
      <c r="E40" s="1479"/>
      <c r="F40" s="1479"/>
      <c r="G40" s="1479"/>
      <c r="H40" s="1479"/>
      <c r="I40" s="1479"/>
      <c r="J40" s="1479"/>
      <c r="K40" s="1480"/>
      <c r="L40" s="1479"/>
      <c r="M40" s="450"/>
    </row>
    <row r="41" spans="1:14" s="1476" customFormat="1" ht="31.5" customHeight="1" thickBot="1">
      <c r="A41" s="1481"/>
      <c r="B41" s="1481"/>
      <c r="C41" s="1482" t="s">
        <v>308</v>
      </c>
      <c r="D41" s="1483">
        <v>245000</v>
      </c>
      <c r="E41" s="1483"/>
      <c r="F41" s="1483"/>
      <c r="G41" s="1483">
        <v>245000</v>
      </c>
      <c r="H41" s="1483">
        <f>H42</f>
        <v>100000</v>
      </c>
      <c r="I41" s="1483">
        <f t="shared" si="2"/>
        <v>345000</v>
      </c>
      <c r="J41" s="1483"/>
      <c r="K41" s="1484"/>
      <c r="L41" s="1483">
        <f>G41+H41</f>
        <v>345000</v>
      </c>
      <c r="M41" s="450"/>
      <c r="N41" s="1475"/>
    </row>
    <row r="42" spans="1:13" s="774" customFormat="1" ht="30.75" thickBot="1">
      <c r="A42" s="765">
        <v>754</v>
      </c>
      <c r="B42" s="766"/>
      <c r="C42" s="803" t="s">
        <v>309</v>
      </c>
      <c r="D42" s="773">
        <v>150000</v>
      </c>
      <c r="E42" s="773"/>
      <c r="F42" s="773"/>
      <c r="G42" s="773">
        <v>150000</v>
      </c>
      <c r="H42" s="773">
        <f>H43</f>
        <v>100000</v>
      </c>
      <c r="I42" s="773">
        <f t="shared" si="2"/>
        <v>250000</v>
      </c>
      <c r="J42" s="1485"/>
      <c r="K42" s="773"/>
      <c r="L42" s="1485">
        <f>G42+H42</f>
        <v>250000</v>
      </c>
      <c r="M42" s="450"/>
    </row>
    <row r="43" spans="1:14" s="777" customFormat="1" ht="30">
      <c r="A43" s="767"/>
      <c r="B43" s="768">
        <v>75411</v>
      </c>
      <c r="C43" s="769" t="s">
        <v>360</v>
      </c>
      <c r="D43" s="775">
        <v>150000</v>
      </c>
      <c r="E43" s="775"/>
      <c r="F43" s="775"/>
      <c r="G43" s="775">
        <v>150000</v>
      </c>
      <c r="H43" s="775">
        <f>H44</f>
        <v>100000</v>
      </c>
      <c r="I43" s="775">
        <f t="shared" si="2"/>
        <v>250000</v>
      </c>
      <c r="J43" s="776"/>
      <c r="K43" s="776"/>
      <c r="L43" s="776">
        <f>G43+H43</f>
        <v>250000</v>
      </c>
      <c r="M43" s="450"/>
      <c r="N43" s="774"/>
    </row>
    <row r="44" spans="1:14" s="716" customFormat="1" ht="21" customHeight="1">
      <c r="A44" s="713"/>
      <c r="B44" s="722"/>
      <c r="C44" s="770" t="s">
        <v>339</v>
      </c>
      <c r="D44" s="771">
        <v>150000</v>
      </c>
      <c r="E44" s="771"/>
      <c r="F44" s="512"/>
      <c r="G44" s="771">
        <v>150000</v>
      </c>
      <c r="H44" s="771">
        <v>100000</v>
      </c>
      <c r="I44" s="771">
        <f t="shared" si="2"/>
        <v>250000</v>
      </c>
      <c r="J44" s="772"/>
      <c r="K44" s="512"/>
      <c r="L44" s="771">
        <f>G44+H44</f>
        <v>250000</v>
      </c>
      <c r="M44" s="450"/>
      <c r="N44" s="453"/>
    </row>
    <row r="45" ht="19.5" customHeight="1"/>
    <row r="46" ht="20.25" customHeight="1">
      <c r="A46" s="1487" t="s">
        <v>338</v>
      </c>
    </row>
    <row r="47" spans="1:2" ht="19.5" customHeight="1">
      <c r="A47" s="1487" t="s">
        <v>337</v>
      </c>
      <c r="B47" s="669"/>
    </row>
    <row r="48" spans="1:2" ht="19.5" customHeight="1">
      <c r="A48" s="1487" t="s">
        <v>336</v>
      </c>
      <c r="B48" s="669"/>
    </row>
    <row r="51" spans="3:11" ht="18">
      <c r="C51" s="447" t="s">
        <v>17</v>
      </c>
      <c r="K51" s="1586" t="s">
        <v>20</v>
      </c>
    </row>
    <row r="52" spans="3:11" ht="18.75">
      <c r="C52" s="1590" t="s">
        <v>19</v>
      </c>
      <c r="K52" s="1587" t="s">
        <v>18</v>
      </c>
    </row>
  </sheetData>
  <mergeCells count="2">
    <mergeCell ref="F8:F10"/>
    <mergeCell ref="K8:K10"/>
  </mergeCells>
  <printOptions/>
  <pageMargins left="0.3937007874015748" right="0.3937007874015748" top="0.5905511811023623" bottom="0.5905511811023623" header="0.5118110236220472" footer="0.5118110236220472"/>
  <pageSetup firstPageNumber="9" useFirstPageNumber="1" horizontalDpi="600" verticalDpi="600" orientation="landscape" paperSize="9" scale="6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4">
      <selection activeCell="F28" sqref="F28:F29"/>
    </sheetView>
  </sheetViews>
  <sheetFormatPr defaultColWidth="9.00390625" defaultRowHeight="12.75"/>
  <cols>
    <col min="1" max="1" width="8.625" style="728" customWidth="1"/>
    <col min="2" max="2" width="9.625" style="728" customWidth="1"/>
    <col min="3" max="3" width="70.00390625" style="728" customWidth="1"/>
    <col min="4" max="4" width="21.25390625" style="728" bestFit="1" customWidth="1"/>
    <col min="5" max="5" width="15.75390625" style="728" hidden="1" customWidth="1"/>
    <col min="6" max="7" width="18.75390625" style="728" customWidth="1"/>
    <col min="8" max="8" width="11.375" style="728" customWidth="1"/>
    <col min="9" max="9" width="9.125" style="728" customWidth="1"/>
    <col min="10" max="16384" width="7.875" style="728" customWidth="1"/>
  </cols>
  <sheetData>
    <row r="1" spans="1:7" s="11" customFormat="1" ht="12.75" customHeight="1">
      <c r="A1" s="186"/>
      <c r="B1" s="186"/>
      <c r="C1" s="186"/>
      <c r="D1" s="186"/>
      <c r="E1" s="187"/>
      <c r="F1" s="188" t="s">
        <v>563</v>
      </c>
      <c r="G1" s="187"/>
    </row>
    <row r="2" spans="1:7" s="11" customFormat="1" ht="12.75" customHeight="1">
      <c r="A2" s="186"/>
      <c r="B2" s="186"/>
      <c r="C2" s="186"/>
      <c r="D2" s="186"/>
      <c r="E2" s="186"/>
      <c r="F2" s="11" t="s">
        <v>164</v>
      </c>
      <c r="G2" s="186"/>
    </row>
    <row r="3" spans="1:7" s="11" customFormat="1" ht="15" customHeight="1">
      <c r="A3" s="186"/>
      <c r="B3" s="186"/>
      <c r="C3" s="189" t="s">
        <v>327</v>
      </c>
      <c r="D3" s="186"/>
      <c r="E3" s="187"/>
      <c r="F3" s="11" t="s">
        <v>272</v>
      </c>
      <c r="G3" s="186"/>
    </row>
    <row r="4" spans="1:7" s="11" customFormat="1" ht="12.75" customHeight="1">
      <c r="A4" s="186"/>
      <c r="B4" s="186"/>
      <c r="C4" s="186"/>
      <c r="D4" s="186"/>
      <c r="E4" s="187"/>
      <c r="F4" s="11" t="s">
        <v>355</v>
      </c>
      <c r="G4" s="186"/>
    </row>
    <row r="5" spans="1:7" s="11" customFormat="1" ht="12.75" customHeight="1">
      <c r="A5" s="186"/>
      <c r="B5" s="186"/>
      <c r="C5" s="186"/>
      <c r="D5" s="186"/>
      <c r="E5" s="186"/>
      <c r="F5" s="186"/>
      <c r="G5" s="186"/>
    </row>
    <row r="6" spans="1:7" s="11" customFormat="1" ht="12.75" customHeight="1" thickBot="1">
      <c r="A6" s="186"/>
      <c r="B6" s="186"/>
      <c r="C6" s="186"/>
      <c r="D6" s="190"/>
      <c r="E6" s="190"/>
      <c r="F6" s="190"/>
      <c r="G6" s="191" t="s">
        <v>184</v>
      </c>
    </row>
    <row r="7" spans="1:7" s="11" customFormat="1" ht="10.5" customHeight="1" thickTop="1">
      <c r="A7" s="192"/>
      <c r="B7" s="192"/>
      <c r="C7" s="192"/>
      <c r="D7" s="1545" t="s">
        <v>310</v>
      </c>
      <c r="E7" s="193"/>
      <c r="F7" s="193"/>
      <c r="G7" s="193"/>
    </row>
    <row r="8" spans="1:7" s="11" customFormat="1" ht="57.75" customHeight="1" thickBot="1">
      <c r="A8" s="194" t="s">
        <v>179</v>
      </c>
      <c r="B8" s="194" t="s">
        <v>186</v>
      </c>
      <c r="C8" s="195" t="s">
        <v>610</v>
      </c>
      <c r="D8" s="1546"/>
      <c r="E8" s="196" t="s">
        <v>611</v>
      </c>
      <c r="F8" s="196" t="s">
        <v>187</v>
      </c>
      <c r="G8" s="196" t="s">
        <v>188</v>
      </c>
    </row>
    <row r="9" spans="1:7" s="11" customFormat="1" ht="11.25" customHeight="1" thickBot="1" thickTop="1">
      <c r="A9" s="197">
        <v>1</v>
      </c>
      <c r="B9" s="197">
        <v>2</v>
      </c>
      <c r="C9" s="197">
        <v>3</v>
      </c>
      <c r="D9" s="197">
        <v>4</v>
      </c>
      <c r="E9" s="197">
        <v>5</v>
      </c>
      <c r="F9" s="197">
        <v>5</v>
      </c>
      <c r="G9" s="197">
        <v>6</v>
      </c>
    </row>
    <row r="10" spans="1:9" s="11" customFormat="1" ht="18" customHeight="1" thickBot="1" thickTop="1">
      <c r="A10" s="198"/>
      <c r="B10" s="198"/>
      <c r="C10" s="199" t="s">
        <v>612</v>
      </c>
      <c r="D10" s="200">
        <v>27176284</v>
      </c>
      <c r="E10" s="200"/>
      <c r="F10" s="200">
        <f>F12</f>
        <v>-161406</v>
      </c>
      <c r="G10" s="200">
        <f>D10+F10</f>
        <v>27014878</v>
      </c>
      <c r="H10" s="31"/>
      <c r="I10" s="31"/>
    </row>
    <row r="11" spans="1:7" s="11" customFormat="1" ht="14.25" customHeight="1" thickTop="1">
      <c r="A11" s="201"/>
      <c r="B11" s="201"/>
      <c r="C11" s="202" t="s">
        <v>210</v>
      </c>
      <c r="D11" s="203"/>
      <c r="E11" s="203"/>
      <c r="F11" s="203"/>
      <c r="G11" s="203"/>
    </row>
    <row r="12" spans="1:8" s="128" customFormat="1" ht="18" customHeight="1" thickBot="1">
      <c r="A12" s="204"/>
      <c r="B12" s="204"/>
      <c r="C12" s="205" t="s">
        <v>613</v>
      </c>
      <c r="D12" s="206">
        <v>26716284</v>
      </c>
      <c r="E12" s="206"/>
      <c r="F12" s="206">
        <f>F13+F24</f>
        <v>-161406</v>
      </c>
      <c r="G12" s="206">
        <f aca="true" t="shared" si="0" ref="G12:G27">D12+F12</f>
        <v>26554878</v>
      </c>
      <c r="H12" s="31"/>
    </row>
    <row r="13" spans="1:24" s="457" customFormat="1" ht="18" customHeight="1" thickBot="1" thickTop="1">
      <c r="A13" s="455">
        <v>801</v>
      </c>
      <c r="B13" s="455"/>
      <c r="C13" s="455" t="s">
        <v>395</v>
      </c>
      <c r="D13" s="456">
        <v>7244562</v>
      </c>
      <c r="E13" s="456"/>
      <c r="F13" s="456">
        <f>F18+F22+F20+F14+F16</f>
        <v>-165406</v>
      </c>
      <c r="G13" s="456">
        <f t="shared" si="0"/>
        <v>7079156</v>
      </c>
      <c r="H13" s="31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</row>
    <row r="14" spans="1:24" s="459" customFormat="1" ht="18" customHeight="1">
      <c r="A14" s="207"/>
      <c r="B14" s="144">
        <v>80101</v>
      </c>
      <c r="C14" s="280" t="s">
        <v>396</v>
      </c>
      <c r="D14" s="883">
        <v>2223600</v>
      </c>
      <c r="E14" s="884"/>
      <c r="F14" s="884">
        <f>F15</f>
        <v>6701</v>
      </c>
      <c r="G14" s="884">
        <f t="shared" si="0"/>
        <v>2230301</v>
      </c>
      <c r="H14" s="31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</row>
    <row r="15" spans="1:24" s="459" customFormat="1" ht="18" customHeight="1">
      <c r="A15" s="207"/>
      <c r="B15" s="27"/>
      <c r="C15" s="731" t="s">
        <v>717</v>
      </c>
      <c r="D15" s="885">
        <v>2223600</v>
      </c>
      <c r="E15" s="734"/>
      <c r="F15" s="734">
        <v>6701</v>
      </c>
      <c r="G15" s="734">
        <f t="shared" si="0"/>
        <v>2230301</v>
      </c>
      <c r="H15" s="31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</row>
    <row r="16" spans="1:24" s="459" customFormat="1" ht="18" customHeight="1">
      <c r="A16" s="207"/>
      <c r="B16" s="144">
        <v>80104</v>
      </c>
      <c r="C16" s="629" t="s">
        <v>595</v>
      </c>
      <c r="D16" s="726">
        <v>650000</v>
      </c>
      <c r="E16" s="727"/>
      <c r="F16" s="727">
        <f>F17</f>
        <v>40000</v>
      </c>
      <c r="G16" s="727">
        <f t="shared" si="0"/>
        <v>690000</v>
      </c>
      <c r="H16" s="31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</row>
    <row r="17" spans="1:24" s="459" customFormat="1" ht="18" customHeight="1">
      <c r="A17" s="207"/>
      <c r="B17" s="27"/>
      <c r="C17" s="1146" t="s">
        <v>719</v>
      </c>
      <c r="D17" s="732">
        <v>650000</v>
      </c>
      <c r="E17" s="733"/>
      <c r="F17" s="733">
        <v>40000</v>
      </c>
      <c r="G17" s="733">
        <f t="shared" si="0"/>
        <v>690000</v>
      </c>
      <c r="H17" s="31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</row>
    <row r="18" spans="1:24" s="459" customFormat="1" ht="18" customHeight="1">
      <c r="A18" s="207"/>
      <c r="B18" s="144">
        <v>80110</v>
      </c>
      <c r="C18" s="280" t="s">
        <v>596</v>
      </c>
      <c r="D18" s="883">
        <v>1560000</v>
      </c>
      <c r="E18" s="884"/>
      <c r="F18" s="884">
        <f>F19</f>
        <v>52620</v>
      </c>
      <c r="G18" s="884">
        <f t="shared" si="0"/>
        <v>1612620</v>
      </c>
      <c r="H18" s="31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</row>
    <row r="19" spans="1:24" s="459" customFormat="1" ht="18" customHeight="1">
      <c r="A19" s="207"/>
      <c r="B19" s="27"/>
      <c r="C19" s="731" t="s">
        <v>717</v>
      </c>
      <c r="D19" s="885">
        <v>1560000</v>
      </c>
      <c r="E19" s="734"/>
      <c r="F19" s="734">
        <f>56720-4100</f>
        <v>52620</v>
      </c>
      <c r="G19" s="734">
        <f t="shared" si="0"/>
        <v>1612620</v>
      </c>
      <c r="H19" s="31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</row>
    <row r="20" spans="1:24" s="459" customFormat="1" ht="18" customHeight="1">
      <c r="A20" s="207"/>
      <c r="B20" s="144">
        <v>80120</v>
      </c>
      <c r="C20" s="629" t="s">
        <v>597</v>
      </c>
      <c r="D20" s="726">
        <v>1273970</v>
      </c>
      <c r="E20" s="727"/>
      <c r="F20" s="727">
        <f>F21</f>
        <v>-83735</v>
      </c>
      <c r="G20" s="727">
        <f t="shared" si="0"/>
        <v>1190235</v>
      </c>
      <c r="H20" s="31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</row>
    <row r="21" spans="1:24" s="459" customFormat="1" ht="18" customHeight="1">
      <c r="A21" s="207"/>
      <c r="B21" s="27"/>
      <c r="C21" s="731" t="s">
        <v>717</v>
      </c>
      <c r="D21" s="732">
        <v>1273970</v>
      </c>
      <c r="E21" s="733"/>
      <c r="F21" s="733">
        <f>-78728-5007</f>
        <v>-83735</v>
      </c>
      <c r="G21" s="733">
        <f t="shared" si="0"/>
        <v>1190235</v>
      </c>
      <c r="H21" s="31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</row>
    <row r="22" spans="1:24" s="459" customFormat="1" ht="18" customHeight="1">
      <c r="A22" s="207"/>
      <c r="B22" s="144">
        <v>80130</v>
      </c>
      <c r="C22" s="629" t="s">
        <v>399</v>
      </c>
      <c r="D22" s="726">
        <v>1036992</v>
      </c>
      <c r="E22" s="727"/>
      <c r="F22" s="727">
        <f>F23</f>
        <v>-180992</v>
      </c>
      <c r="G22" s="734">
        <f t="shared" si="0"/>
        <v>856000</v>
      </c>
      <c r="H22" s="31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</row>
    <row r="23" spans="1:24" s="459" customFormat="1" ht="18" customHeight="1">
      <c r="A23" s="207"/>
      <c r="B23" s="27"/>
      <c r="C23" s="731" t="s">
        <v>717</v>
      </c>
      <c r="D23" s="732">
        <v>1036992</v>
      </c>
      <c r="E23" s="733"/>
      <c r="F23" s="733">
        <f>-203000+22008</f>
        <v>-180992</v>
      </c>
      <c r="G23" s="734">
        <f t="shared" si="0"/>
        <v>856000</v>
      </c>
      <c r="H23" s="31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</row>
    <row r="24" spans="1:24" s="457" customFormat="1" ht="18" customHeight="1" thickBot="1">
      <c r="A24" s="455">
        <v>854</v>
      </c>
      <c r="B24" s="455"/>
      <c r="C24" s="455" t="s">
        <v>403</v>
      </c>
      <c r="D24" s="456">
        <v>547300</v>
      </c>
      <c r="E24" s="456"/>
      <c r="F24" s="456">
        <f>F25</f>
        <v>4000</v>
      </c>
      <c r="G24" s="456">
        <f t="shared" si="0"/>
        <v>551300</v>
      </c>
      <c r="H24" s="31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</row>
    <row r="25" spans="1:24" s="459" customFormat="1" ht="18" customHeight="1">
      <c r="A25" s="207"/>
      <c r="B25" s="144">
        <v>85406</v>
      </c>
      <c r="C25" s="1011" t="s">
        <v>555</v>
      </c>
      <c r="D25" s="883"/>
      <c r="E25" s="884"/>
      <c r="F25" s="884">
        <f>F26</f>
        <v>4000</v>
      </c>
      <c r="G25" s="884">
        <f t="shared" si="0"/>
        <v>4000</v>
      </c>
      <c r="H25" s="31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</row>
    <row r="26" spans="1:24" s="459" customFormat="1" ht="18" customHeight="1">
      <c r="A26" s="207"/>
      <c r="B26" s="27"/>
      <c r="C26" s="1012" t="s">
        <v>168</v>
      </c>
      <c r="D26" s="732"/>
      <c r="E26" s="733"/>
      <c r="F26" s="733">
        <v>4000</v>
      </c>
      <c r="G26" s="733">
        <f t="shared" si="0"/>
        <v>4000</v>
      </c>
      <c r="H26" s="31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</row>
    <row r="27" spans="1:9" s="782" customFormat="1" ht="18" customHeight="1">
      <c r="A27" s="783"/>
      <c r="B27" s="783"/>
      <c r="C27" s="1488" t="s">
        <v>575</v>
      </c>
      <c r="D27" s="1489">
        <v>460000</v>
      </c>
      <c r="E27" s="1490"/>
      <c r="F27" s="1490"/>
      <c r="G27" s="1490">
        <f t="shared" si="0"/>
        <v>460000</v>
      </c>
      <c r="H27" s="784"/>
      <c r="I27" s="785"/>
    </row>
    <row r="28" spans="1:8" s="729" customFormat="1" ht="34.5" customHeight="1">
      <c r="A28" s="778"/>
      <c r="B28" s="328" t="s">
        <v>17</v>
      </c>
      <c r="C28" s="779"/>
      <c r="D28" s="780"/>
      <c r="E28" s="781"/>
      <c r="F28" s="453" t="s">
        <v>20</v>
      </c>
      <c r="G28" s="781"/>
      <c r="H28" s="31"/>
    </row>
    <row r="29" spans="2:6" ht="14.25">
      <c r="B29" s="36" t="s">
        <v>19</v>
      </c>
      <c r="F29" s="1475" t="s">
        <v>18</v>
      </c>
    </row>
  </sheetData>
  <mergeCells count="1">
    <mergeCell ref="D7:D8"/>
  </mergeCells>
  <printOptions/>
  <pageMargins left="0.3937007874015748" right="0.3937007874015748" top="0.5905511811023623" bottom="0.5905511811023623" header="0.5118110236220472" footer="0.5118110236220472"/>
  <pageSetup firstPageNumber="11" useFirstPageNumber="1" horizontalDpi="600" verticalDpi="600" orientation="landscape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59"/>
  <sheetViews>
    <sheetView workbookViewId="0" topLeftCell="E7">
      <selection activeCell="T24" sqref="T24:T25"/>
    </sheetView>
  </sheetViews>
  <sheetFormatPr defaultColWidth="9.00390625" defaultRowHeight="12.75"/>
  <cols>
    <col min="1" max="1" width="9.125" style="10" customWidth="1"/>
    <col min="2" max="2" width="12.00390625" style="10" customWidth="1"/>
    <col min="3" max="3" width="46.25390625" style="22" hidden="1" customWidth="1"/>
    <col min="4" max="5" width="15.375" style="23" customWidth="1"/>
    <col min="6" max="6" width="13.75390625" style="23" customWidth="1"/>
    <col min="7" max="7" width="14.125" style="23" customWidth="1"/>
    <col min="8" max="8" width="14.75390625" style="23" customWidth="1"/>
    <col min="9" max="9" width="13.25390625" style="23" hidden="1" customWidth="1"/>
    <col min="10" max="10" width="12.125" style="23" customWidth="1"/>
    <col min="11" max="12" width="12.25390625" style="23" hidden="1" customWidth="1"/>
    <col min="13" max="13" width="14.625" style="23" customWidth="1"/>
    <col min="14" max="14" width="10.25390625" style="293" hidden="1" customWidth="1"/>
    <col min="15" max="15" width="15.00390625" style="23" customWidth="1"/>
    <col min="16" max="17" width="15.375" style="23" customWidth="1"/>
    <col min="18" max="18" width="13.75390625" style="23" customWidth="1"/>
    <col min="19" max="19" width="14.125" style="23" customWidth="1"/>
    <col min="20" max="20" width="14.75390625" style="23" customWidth="1"/>
    <col min="21" max="21" width="13.25390625" style="23" hidden="1" customWidth="1"/>
    <col min="22" max="22" width="12.125" style="23" customWidth="1"/>
    <col min="23" max="24" width="12.25390625" style="23" hidden="1" customWidth="1"/>
    <col min="25" max="25" width="14.625" style="23" customWidth="1"/>
    <col min="26" max="26" width="10.875" style="10" customWidth="1"/>
    <col min="27" max="16384" width="7.875" style="10" customWidth="1"/>
  </cols>
  <sheetData>
    <row r="1" spans="10:24" ht="19.5" customHeight="1">
      <c r="J1" s="188"/>
      <c r="L1" s="23" t="s">
        <v>379</v>
      </c>
      <c r="V1" s="1214" t="s">
        <v>564</v>
      </c>
      <c r="X1" s="23" t="s">
        <v>379</v>
      </c>
    </row>
    <row r="2" spans="2:24" ht="19.5" customHeight="1">
      <c r="B2" s="294"/>
      <c r="C2" s="294"/>
      <c r="D2" s="295"/>
      <c r="E2" s="295"/>
      <c r="J2" s="11"/>
      <c r="L2" s="23" t="s">
        <v>380</v>
      </c>
      <c r="P2" s="295"/>
      <c r="Q2" s="295"/>
      <c r="V2" s="25" t="s">
        <v>164</v>
      </c>
      <c r="X2" s="23" t="s">
        <v>380</v>
      </c>
    </row>
    <row r="3" spans="1:24" ht="19.5" customHeight="1">
      <c r="A3" s="296" t="s">
        <v>381</v>
      </c>
      <c r="B3" s="297"/>
      <c r="C3" s="297"/>
      <c r="D3" s="298"/>
      <c r="E3" s="298"/>
      <c r="J3" s="11"/>
      <c r="L3" s="23" t="s">
        <v>342</v>
      </c>
      <c r="P3" s="298"/>
      <c r="Q3" s="298"/>
      <c r="V3" s="25" t="s">
        <v>272</v>
      </c>
      <c r="X3" s="23" t="s">
        <v>342</v>
      </c>
    </row>
    <row r="4" spans="1:24" ht="19.5" customHeight="1">
      <c r="A4" s="296" t="s">
        <v>130</v>
      </c>
      <c r="B4" s="299"/>
      <c r="C4" s="297"/>
      <c r="D4" s="297"/>
      <c r="E4" s="297"/>
      <c r="F4" s="297"/>
      <c r="G4" s="297"/>
      <c r="J4" s="11"/>
      <c r="L4" s="23" t="s">
        <v>382</v>
      </c>
      <c r="O4" s="297"/>
      <c r="P4" s="297"/>
      <c r="Q4" s="297"/>
      <c r="R4" s="297"/>
      <c r="S4" s="297"/>
      <c r="V4" s="25" t="s">
        <v>355</v>
      </c>
      <c r="X4" s="23" t="s">
        <v>382</v>
      </c>
    </row>
    <row r="5" ht="15.75">
      <c r="C5" s="300"/>
    </row>
    <row r="6" spans="13:25" ht="15.75" thickBot="1">
      <c r="M6" s="438"/>
      <c r="N6" s="301"/>
      <c r="Y6" s="438" t="s">
        <v>184</v>
      </c>
    </row>
    <row r="7" spans="1:25" ht="17.25" customHeight="1" thickBot="1" thickTop="1">
      <c r="A7" s="1553" t="s">
        <v>179</v>
      </c>
      <c r="B7" s="1553" t="s">
        <v>186</v>
      </c>
      <c r="C7" s="1553" t="s">
        <v>208</v>
      </c>
      <c r="D7" s="1547" t="s">
        <v>383</v>
      </c>
      <c r="E7" s="1547" t="s">
        <v>384</v>
      </c>
      <c r="F7" s="302" t="s">
        <v>182</v>
      </c>
      <c r="G7" s="303"/>
      <c r="H7" s="303"/>
      <c r="I7" s="303"/>
      <c r="J7" s="303"/>
      <c r="K7" s="303"/>
      <c r="L7" s="303"/>
      <c r="M7" s="304"/>
      <c r="N7" s="305"/>
      <c r="O7" s="1547" t="s">
        <v>187</v>
      </c>
      <c r="P7" s="1547" t="s">
        <v>511</v>
      </c>
      <c r="Q7" s="1547" t="s">
        <v>757</v>
      </c>
      <c r="R7" s="302" t="s">
        <v>182</v>
      </c>
      <c r="S7" s="303"/>
      <c r="T7" s="303"/>
      <c r="U7" s="303"/>
      <c r="V7" s="303"/>
      <c r="W7" s="303"/>
      <c r="X7" s="303"/>
      <c r="Y7" s="304"/>
    </row>
    <row r="8" spans="1:25" ht="22.5" customHeight="1" thickBot="1" thickTop="1">
      <c r="A8" s="1554"/>
      <c r="B8" s="1554"/>
      <c r="C8" s="1556"/>
      <c r="D8" s="1551"/>
      <c r="E8" s="1551"/>
      <c r="F8" s="1547" t="s">
        <v>209</v>
      </c>
      <c r="G8" s="306" t="s">
        <v>210</v>
      </c>
      <c r="H8" s="306"/>
      <c r="I8" s="306"/>
      <c r="J8" s="306"/>
      <c r="K8" s="306"/>
      <c r="L8" s="306"/>
      <c r="M8" s="1547" t="s">
        <v>211</v>
      </c>
      <c r="N8" s="307" t="s">
        <v>385</v>
      </c>
      <c r="O8" s="1524"/>
      <c r="P8" s="1551"/>
      <c r="Q8" s="1551"/>
      <c r="R8" s="1547" t="s">
        <v>209</v>
      </c>
      <c r="S8" s="306" t="s">
        <v>210</v>
      </c>
      <c r="T8" s="306"/>
      <c r="U8" s="306"/>
      <c r="V8" s="306"/>
      <c r="W8" s="306"/>
      <c r="X8" s="306"/>
      <c r="Y8" s="1547" t="s">
        <v>211</v>
      </c>
    </row>
    <row r="9" spans="1:25" ht="42.75" customHeight="1" thickBot="1" thickTop="1">
      <c r="A9" s="1555"/>
      <c r="B9" s="1555"/>
      <c r="C9" s="1557"/>
      <c r="D9" s="1552"/>
      <c r="E9" s="1552"/>
      <c r="F9" s="1548"/>
      <c r="G9" s="308" t="s">
        <v>203</v>
      </c>
      <c r="H9" s="308" t="s">
        <v>212</v>
      </c>
      <c r="I9" s="308" t="s">
        <v>213</v>
      </c>
      <c r="J9" s="308" t="s">
        <v>204</v>
      </c>
      <c r="K9" s="308" t="s">
        <v>214</v>
      </c>
      <c r="L9" s="308" t="s">
        <v>270</v>
      </c>
      <c r="M9" s="1549"/>
      <c r="N9" s="309" t="s">
        <v>386</v>
      </c>
      <c r="O9" s="1550"/>
      <c r="P9" s="1552"/>
      <c r="Q9" s="1552"/>
      <c r="R9" s="1548"/>
      <c r="S9" s="308" t="s">
        <v>203</v>
      </c>
      <c r="T9" s="308" t="s">
        <v>212</v>
      </c>
      <c r="U9" s="308" t="s">
        <v>213</v>
      </c>
      <c r="V9" s="308" t="s">
        <v>204</v>
      </c>
      <c r="W9" s="308" t="s">
        <v>214</v>
      </c>
      <c r="X9" s="308" t="s">
        <v>270</v>
      </c>
      <c r="Y9" s="1549"/>
    </row>
    <row r="10" spans="1:25" s="16" customFormat="1" ht="14.25" customHeight="1" thickBot="1" thickTop="1">
      <c r="A10" s="12">
        <v>1</v>
      </c>
      <c r="B10" s="12">
        <v>2</v>
      </c>
      <c r="C10" s="310">
        <v>3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9</v>
      </c>
      <c r="J10" s="24">
        <v>8</v>
      </c>
      <c r="K10" s="24">
        <v>11</v>
      </c>
      <c r="L10" s="24">
        <v>12</v>
      </c>
      <c r="M10" s="24">
        <v>9</v>
      </c>
      <c r="N10" s="311">
        <v>12</v>
      </c>
      <c r="O10" s="24">
        <v>10</v>
      </c>
      <c r="P10" s="24">
        <v>11</v>
      </c>
      <c r="Q10" s="24">
        <v>12</v>
      </c>
      <c r="R10" s="24">
        <v>13</v>
      </c>
      <c r="S10" s="24">
        <v>14</v>
      </c>
      <c r="T10" s="24">
        <v>15</v>
      </c>
      <c r="U10" s="24">
        <v>9</v>
      </c>
      <c r="V10" s="24">
        <v>16</v>
      </c>
      <c r="W10" s="24">
        <v>11</v>
      </c>
      <c r="X10" s="24">
        <v>12</v>
      </c>
      <c r="Y10" s="24">
        <v>17</v>
      </c>
    </row>
    <row r="11" spans="1:25" ht="22.5" customHeight="1" thickBot="1" thickTop="1">
      <c r="A11" s="312"/>
      <c r="B11" s="313" t="s">
        <v>154</v>
      </c>
      <c r="C11" s="314"/>
      <c r="D11" s="315">
        <v>111901292</v>
      </c>
      <c r="E11" s="1319">
        <v>111901292</v>
      </c>
      <c r="F11" s="1319">
        <v>111656292</v>
      </c>
      <c r="G11" s="1319">
        <v>14500218</v>
      </c>
      <c r="H11" s="1319">
        <v>887829</v>
      </c>
      <c r="I11" s="315"/>
      <c r="J11" s="1319">
        <v>460000</v>
      </c>
      <c r="K11" s="315"/>
      <c r="L11" s="315"/>
      <c r="M11" s="317">
        <v>245000</v>
      </c>
      <c r="N11" s="318"/>
      <c r="O11" s="316">
        <f>O12+O15</f>
        <v>1215171</v>
      </c>
      <c r="P11" s="315">
        <f aca="true" t="shared" si="0" ref="P11:P21">D11+O11</f>
        <v>113116463</v>
      </c>
      <c r="Q11" s="315">
        <f aca="true" t="shared" si="1" ref="Q11:Q21">E11+O11</f>
        <v>113116463</v>
      </c>
      <c r="R11" s="315">
        <f>F11+O11-100000</f>
        <v>112771463</v>
      </c>
      <c r="S11" s="315">
        <f>G11+848000</f>
        <v>15348218</v>
      </c>
      <c r="T11" s="315">
        <f aca="true" t="shared" si="2" ref="S11:T13">H11</f>
        <v>887829</v>
      </c>
      <c r="U11" s="315"/>
      <c r="V11" s="315">
        <f>J11</f>
        <v>460000</v>
      </c>
      <c r="W11" s="315"/>
      <c r="X11" s="315"/>
      <c r="Y11" s="315">
        <f>M11+100000</f>
        <v>345000</v>
      </c>
    </row>
    <row r="12" spans="1:25" s="447" customFormat="1" ht="19.5" customHeight="1" thickBot="1">
      <c r="A12" s="1208" t="s">
        <v>387</v>
      </c>
      <c r="B12" s="1209"/>
      <c r="C12" s="1210"/>
      <c r="D12" s="1211">
        <v>87743885</v>
      </c>
      <c r="E12" s="259">
        <v>87743885</v>
      </c>
      <c r="F12" s="259">
        <v>87743885</v>
      </c>
      <c r="G12" s="259">
        <v>2647319</v>
      </c>
      <c r="H12" s="259">
        <v>481394</v>
      </c>
      <c r="I12" s="1211"/>
      <c r="J12" s="333"/>
      <c r="K12" s="1211"/>
      <c r="L12" s="1211"/>
      <c r="M12" s="1211"/>
      <c r="N12" s="1212"/>
      <c r="O12" s="1211">
        <f>O13</f>
        <v>23600</v>
      </c>
      <c r="P12" s="1211">
        <f t="shared" si="0"/>
        <v>87767485</v>
      </c>
      <c r="Q12" s="1211">
        <f t="shared" si="1"/>
        <v>87767485</v>
      </c>
      <c r="R12" s="1211">
        <f aca="true" t="shared" si="3" ref="R12:R21">F12+O12</f>
        <v>87767485</v>
      </c>
      <c r="S12" s="1211">
        <f t="shared" si="2"/>
        <v>2647319</v>
      </c>
      <c r="T12" s="1211">
        <f t="shared" si="2"/>
        <v>481394</v>
      </c>
      <c r="U12" s="1211"/>
      <c r="V12" s="1211"/>
      <c r="W12" s="1211"/>
      <c r="X12" s="1211"/>
      <c r="Y12" s="1211"/>
    </row>
    <row r="13" spans="1:25" s="594" customFormat="1" ht="19.5" customHeight="1" thickBot="1" thickTop="1">
      <c r="A13" s="325">
        <v>852</v>
      </c>
      <c r="B13" s="325"/>
      <c r="C13" s="326"/>
      <c r="D13" s="1311">
        <v>86034552</v>
      </c>
      <c r="E13" s="1311">
        <v>86034552</v>
      </c>
      <c r="F13" s="1311">
        <v>86034552</v>
      </c>
      <c r="G13" s="30">
        <v>1317653</v>
      </c>
      <c r="H13" s="30">
        <v>263923</v>
      </c>
      <c r="I13" s="30">
        <v>1189000</v>
      </c>
      <c r="J13" s="1311"/>
      <c r="K13" s="1311"/>
      <c r="L13" s="1311"/>
      <c r="M13" s="1311"/>
      <c r="N13" s="1312"/>
      <c r="O13" s="1311">
        <f>O14</f>
        <v>23600</v>
      </c>
      <c r="P13" s="1311">
        <f t="shared" si="0"/>
        <v>86058152</v>
      </c>
      <c r="Q13" s="1311">
        <f t="shared" si="1"/>
        <v>86058152</v>
      </c>
      <c r="R13" s="1311">
        <f t="shared" si="3"/>
        <v>86058152</v>
      </c>
      <c r="S13" s="1311">
        <f t="shared" si="2"/>
        <v>1317653</v>
      </c>
      <c r="T13" s="1311">
        <f t="shared" si="2"/>
        <v>263923</v>
      </c>
      <c r="U13" s="1311"/>
      <c r="V13" s="1311"/>
      <c r="W13" s="1311"/>
      <c r="X13" s="1311"/>
      <c r="Y13" s="1311"/>
    </row>
    <row r="14" spans="1:25" s="454" customFormat="1" ht="19.5" customHeight="1">
      <c r="A14" s="40"/>
      <c r="B14" s="1313">
        <v>85278</v>
      </c>
      <c r="C14" s="1314"/>
      <c r="D14" s="1315">
        <v>37552</v>
      </c>
      <c r="E14" s="1315">
        <v>37552</v>
      </c>
      <c r="F14" s="1315">
        <v>37552</v>
      </c>
      <c r="G14" s="1125"/>
      <c r="H14" s="1125"/>
      <c r="I14" s="1316"/>
      <c r="J14" s="1316"/>
      <c r="K14" s="1316"/>
      <c r="L14" s="1316"/>
      <c r="M14" s="1316"/>
      <c r="N14" s="327"/>
      <c r="O14" s="1317">
        <v>23600</v>
      </c>
      <c r="P14" s="1318">
        <f t="shared" si="0"/>
        <v>61152</v>
      </c>
      <c r="Q14" s="1318">
        <f t="shared" si="1"/>
        <v>61152</v>
      </c>
      <c r="R14" s="1318">
        <f t="shared" si="3"/>
        <v>61152</v>
      </c>
      <c r="S14" s="1318"/>
      <c r="T14" s="1318"/>
      <c r="U14" s="1318"/>
      <c r="V14" s="1318"/>
      <c r="W14" s="1318"/>
      <c r="X14" s="1318"/>
      <c r="Y14" s="1318"/>
    </row>
    <row r="15" spans="1:25" ht="19.5" customHeight="1" thickBot="1">
      <c r="A15" s="431" t="s">
        <v>388</v>
      </c>
      <c r="B15" s="432"/>
      <c r="C15" s="332"/>
      <c r="D15" s="416">
        <v>24157407</v>
      </c>
      <c r="E15" s="259">
        <v>24157407</v>
      </c>
      <c r="F15" s="259">
        <v>23912407</v>
      </c>
      <c r="G15" s="259">
        <v>11852899</v>
      </c>
      <c r="H15" s="259">
        <v>406435</v>
      </c>
      <c r="I15" s="333"/>
      <c r="J15" s="259">
        <v>460000</v>
      </c>
      <c r="K15" s="333"/>
      <c r="L15" s="333"/>
      <c r="M15" s="259">
        <v>245000</v>
      </c>
      <c r="N15" s="319"/>
      <c r="O15" s="333">
        <f>O20+O18+O16</f>
        <v>1191571</v>
      </c>
      <c r="P15" s="333">
        <f t="shared" si="0"/>
        <v>25348978</v>
      </c>
      <c r="Q15" s="333">
        <f t="shared" si="1"/>
        <v>25348978</v>
      </c>
      <c r="R15" s="333">
        <f>F15+O15-100000</f>
        <v>25003978</v>
      </c>
      <c r="S15" s="333">
        <f>G15+848000</f>
        <v>12700899</v>
      </c>
      <c r="T15" s="333">
        <f>H15</f>
        <v>406435</v>
      </c>
      <c r="U15" s="333"/>
      <c r="V15" s="333">
        <f>J15</f>
        <v>460000</v>
      </c>
      <c r="W15" s="333"/>
      <c r="X15" s="333"/>
      <c r="Y15" s="333">
        <f>M15+100000</f>
        <v>345000</v>
      </c>
    </row>
    <row r="16" spans="1:25" s="11" customFormat="1" ht="19.5" customHeight="1" thickBot="1" thickTop="1">
      <c r="A16" s="334">
        <v>700</v>
      </c>
      <c r="B16" s="249"/>
      <c r="C16" s="320"/>
      <c r="D16" s="321">
        <v>827500</v>
      </c>
      <c r="E16" s="30">
        <v>827500</v>
      </c>
      <c r="F16" s="30">
        <v>827500</v>
      </c>
      <c r="G16" s="321"/>
      <c r="H16" s="321"/>
      <c r="I16" s="321"/>
      <c r="J16" s="30">
        <v>300000</v>
      </c>
      <c r="K16" s="321"/>
      <c r="L16" s="321"/>
      <c r="M16" s="321"/>
      <c r="N16" s="322"/>
      <c r="O16" s="321">
        <f>O17</f>
        <v>173650</v>
      </c>
      <c r="P16" s="321">
        <f t="shared" si="0"/>
        <v>1001150</v>
      </c>
      <c r="Q16" s="321">
        <f t="shared" si="1"/>
        <v>1001150</v>
      </c>
      <c r="R16" s="321">
        <f t="shared" si="3"/>
        <v>1001150</v>
      </c>
      <c r="S16" s="321"/>
      <c r="T16" s="321"/>
      <c r="U16" s="321"/>
      <c r="V16" s="321">
        <f>J16</f>
        <v>300000</v>
      </c>
      <c r="W16" s="321"/>
      <c r="X16" s="321"/>
      <c r="Y16" s="321"/>
    </row>
    <row r="17" spans="1:25" s="454" customFormat="1" ht="19.5" customHeight="1">
      <c r="A17" s="335"/>
      <c r="B17" s="335">
        <v>70005</v>
      </c>
      <c r="C17" s="336"/>
      <c r="D17" s="337">
        <v>827500</v>
      </c>
      <c r="E17" s="1320">
        <v>827500</v>
      </c>
      <c r="F17" s="1320">
        <v>827500</v>
      </c>
      <c r="G17" s="337"/>
      <c r="H17" s="337"/>
      <c r="I17" s="337"/>
      <c r="J17" s="1320">
        <v>300000</v>
      </c>
      <c r="K17" s="337"/>
      <c r="L17" s="337"/>
      <c r="M17" s="337"/>
      <c r="N17" s="327"/>
      <c r="O17" s="1321">
        <v>173650</v>
      </c>
      <c r="P17" s="1321">
        <f t="shared" si="0"/>
        <v>1001150</v>
      </c>
      <c r="Q17" s="1321">
        <f t="shared" si="1"/>
        <v>1001150</v>
      </c>
      <c r="R17" s="1321">
        <f t="shared" si="3"/>
        <v>1001150</v>
      </c>
      <c r="S17" s="1321"/>
      <c r="T17" s="1321"/>
      <c r="U17" s="1321"/>
      <c r="V17" s="1321">
        <f>J17</f>
        <v>300000</v>
      </c>
      <c r="W17" s="1321"/>
      <c r="X17" s="1321"/>
      <c r="Y17" s="1321"/>
    </row>
    <row r="18" spans="1:25" s="11" customFormat="1" ht="19.5" customHeight="1" thickBot="1">
      <c r="A18" s="334">
        <v>754</v>
      </c>
      <c r="B18" s="249"/>
      <c r="C18" s="320"/>
      <c r="D18" s="321">
        <v>13091000</v>
      </c>
      <c r="E18" s="30">
        <v>13091000</v>
      </c>
      <c r="F18" s="30">
        <v>12941000</v>
      </c>
      <c r="G18" s="30">
        <v>9875300</v>
      </c>
      <c r="H18" s="30">
        <v>38200</v>
      </c>
      <c r="I18" s="321"/>
      <c r="J18" s="30">
        <v>160000</v>
      </c>
      <c r="K18" s="321"/>
      <c r="L18" s="321"/>
      <c r="M18" s="30">
        <v>150000</v>
      </c>
      <c r="N18" s="322"/>
      <c r="O18" s="321">
        <f>O19</f>
        <v>1010100</v>
      </c>
      <c r="P18" s="321">
        <f t="shared" si="0"/>
        <v>14101100</v>
      </c>
      <c r="Q18" s="321">
        <f t="shared" si="1"/>
        <v>14101100</v>
      </c>
      <c r="R18" s="321">
        <f>F18+848000+62100</f>
        <v>13851100</v>
      </c>
      <c r="S18" s="321">
        <f>G18+848000</f>
        <v>10723300</v>
      </c>
      <c r="T18" s="321">
        <f>H18</f>
        <v>38200</v>
      </c>
      <c r="U18" s="321"/>
      <c r="V18" s="321">
        <f>J18</f>
        <v>160000</v>
      </c>
      <c r="W18" s="321"/>
      <c r="X18" s="321"/>
      <c r="Y18" s="321">
        <f>M18+100000</f>
        <v>250000</v>
      </c>
    </row>
    <row r="19" spans="1:25" s="454" customFormat="1" ht="19.5" customHeight="1">
      <c r="A19" s="335"/>
      <c r="B19" s="335">
        <v>75411</v>
      </c>
      <c r="C19" s="336"/>
      <c r="D19" s="337">
        <v>13091000</v>
      </c>
      <c r="E19" s="1322">
        <v>13091000</v>
      </c>
      <c r="F19" s="1322">
        <v>12941000</v>
      </c>
      <c r="G19" s="1322">
        <v>9875300</v>
      </c>
      <c r="H19" s="1322">
        <v>38200</v>
      </c>
      <c r="I19" s="337"/>
      <c r="J19" s="1322">
        <v>160000</v>
      </c>
      <c r="K19" s="337"/>
      <c r="L19" s="337"/>
      <c r="M19" s="1322">
        <v>150000</v>
      </c>
      <c r="N19" s="327"/>
      <c r="O19" s="1321">
        <f>948000+62100</f>
        <v>1010100</v>
      </c>
      <c r="P19" s="1321">
        <f t="shared" si="0"/>
        <v>14101100</v>
      </c>
      <c r="Q19" s="1321">
        <f t="shared" si="1"/>
        <v>14101100</v>
      </c>
      <c r="R19" s="1321">
        <f>F19+848000+62100</f>
        <v>13851100</v>
      </c>
      <c r="S19" s="1321">
        <f>G19+848000</f>
        <v>10723300</v>
      </c>
      <c r="T19" s="1321">
        <f>H19</f>
        <v>38200</v>
      </c>
      <c r="U19" s="1321"/>
      <c r="V19" s="1321">
        <f>J19</f>
        <v>160000</v>
      </c>
      <c r="W19" s="1321"/>
      <c r="X19" s="1321"/>
      <c r="Y19" s="1321">
        <f>M19+100000</f>
        <v>250000</v>
      </c>
    </row>
    <row r="20" spans="1:25" s="11" customFormat="1" ht="19.5" customHeight="1" thickBot="1">
      <c r="A20" s="334">
        <v>853</v>
      </c>
      <c r="B20" s="249"/>
      <c r="C20" s="320"/>
      <c r="D20" s="321">
        <v>552850</v>
      </c>
      <c r="E20" s="30">
        <v>552850</v>
      </c>
      <c r="F20" s="30">
        <v>552850</v>
      </c>
      <c r="G20" s="30">
        <v>374759</v>
      </c>
      <c r="H20" s="30">
        <v>64300</v>
      </c>
      <c r="I20" s="321"/>
      <c r="J20" s="321"/>
      <c r="K20" s="321"/>
      <c r="L20" s="321"/>
      <c r="M20" s="321"/>
      <c r="N20" s="322"/>
      <c r="O20" s="321">
        <f>O21</f>
        <v>7821</v>
      </c>
      <c r="P20" s="321">
        <f t="shared" si="0"/>
        <v>560671</v>
      </c>
      <c r="Q20" s="321">
        <f t="shared" si="1"/>
        <v>560671</v>
      </c>
      <c r="R20" s="321">
        <f t="shared" si="3"/>
        <v>560671</v>
      </c>
      <c r="S20" s="321">
        <f>G20</f>
        <v>374759</v>
      </c>
      <c r="T20" s="321">
        <f>H20</f>
        <v>64300</v>
      </c>
      <c r="U20" s="321"/>
      <c r="V20" s="321"/>
      <c r="W20" s="321"/>
      <c r="X20" s="321"/>
      <c r="Y20" s="321"/>
    </row>
    <row r="21" spans="1:25" s="454" customFormat="1" ht="19.5" customHeight="1">
      <c r="A21" s="335"/>
      <c r="B21" s="335">
        <v>85334</v>
      </c>
      <c r="C21" s="336"/>
      <c r="D21" s="337">
        <v>24850</v>
      </c>
      <c r="E21" s="1322">
        <v>24850</v>
      </c>
      <c r="F21" s="1322">
        <v>24850</v>
      </c>
      <c r="G21" s="337"/>
      <c r="H21" s="337"/>
      <c r="I21" s="337"/>
      <c r="J21" s="337"/>
      <c r="K21" s="337"/>
      <c r="L21" s="337"/>
      <c r="M21" s="337"/>
      <c r="N21" s="327"/>
      <c r="O21" s="1321">
        <f>2321+5500</f>
        <v>7821</v>
      </c>
      <c r="P21" s="1321">
        <f t="shared" si="0"/>
        <v>32671</v>
      </c>
      <c r="Q21" s="1321">
        <f t="shared" si="1"/>
        <v>32671</v>
      </c>
      <c r="R21" s="1321">
        <f t="shared" si="3"/>
        <v>32671</v>
      </c>
      <c r="S21" s="1321"/>
      <c r="T21" s="1321"/>
      <c r="U21" s="1321"/>
      <c r="V21" s="1321"/>
      <c r="W21" s="1321"/>
      <c r="X21" s="1321"/>
      <c r="Y21" s="1321"/>
    </row>
    <row r="22" spans="1:25" s="11" customFormat="1" ht="19.5" customHeight="1" hidden="1">
      <c r="A22" s="212"/>
      <c r="B22" s="212"/>
      <c r="C22" s="323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9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</row>
    <row r="23" spans="1:25" ht="19.5" customHeight="1">
      <c r="A23" s="25"/>
      <c r="B23" s="25"/>
      <c r="C23" s="33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39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9.5" customHeight="1">
      <c r="A24" s="25"/>
      <c r="B24" s="683" t="s">
        <v>17</v>
      </c>
      <c r="C24" s="33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339"/>
      <c r="O24" s="25"/>
      <c r="P24" s="25"/>
      <c r="Q24" s="25"/>
      <c r="R24" s="25"/>
      <c r="S24" s="25"/>
      <c r="T24" s="1584" t="s">
        <v>20</v>
      </c>
      <c r="U24" s="25"/>
      <c r="V24" s="25"/>
      <c r="W24" s="25"/>
      <c r="X24" s="25"/>
      <c r="Y24" s="25"/>
    </row>
    <row r="25" spans="1:25" ht="17.25" customHeight="1">
      <c r="A25" s="25"/>
      <c r="B25" s="1583" t="s">
        <v>19</v>
      </c>
      <c r="C25" s="33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339"/>
      <c r="O25" s="25"/>
      <c r="P25" s="25"/>
      <c r="Q25" s="25"/>
      <c r="R25" s="25"/>
      <c r="S25" s="25"/>
      <c r="T25" s="1585" t="s">
        <v>18</v>
      </c>
      <c r="U25" s="25"/>
      <c r="V25" s="25"/>
      <c r="W25" s="25"/>
      <c r="X25" s="25"/>
      <c r="Y25" s="25"/>
    </row>
    <row r="26" spans="1:25" ht="19.5" customHeight="1">
      <c r="A26" s="25"/>
      <c r="B26" s="25"/>
      <c r="C26" s="33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39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9.5" customHeight="1">
      <c r="A27" s="25"/>
      <c r="B27" s="25"/>
      <c r="C27" s="33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39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9.5" customHeight="1">
      <c r="A28" s="25"/>
      <c r="B28" s="25"/>
      <c r="C28" s="33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39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9.5" customHeight="1">
      <c r="A29" s="25"/>
      <c r="B29" s="25"/>
      <c r="C29" s="33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39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9.5" customHeight="1">
      <c r="A30" s="25"/>
      <c r="B30" s="25"/>
      <c r="C30" s="338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39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9.5" customHeight="1">
      <c r="A31" s="25"/>
      <c r="B31" s="25"/>
      <c r="C31" s="338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39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9.5" customHeight="1">
      <c r="A32" s="25"/>
      <c r="B32" s="25"/>
      <c r="C32" s="33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39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9.5" customHeight="1">
      <c r="A33" s="25"/>
      <c r="B33" s="25"/>
      <c r="C33" s="33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39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9.5" customHeight="1">
      <c r="A34" s="25"/>
      <c r="B34" s="25"/>
      <c r="C34" s="338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39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9.5" customHeight="1">
      <c r="A35" s="25"/>
      <c r="B35" s="25"/>
      <c r="C35" s="33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39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9.5" customHeight="1">
      <c r="A36" s="25"/>
      <c r="B36" s="25"/>
      <c r="C36" s="33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39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9.5" customHeight="1">
      <c r="A37" s="25"/>
      <c r="B37" s="25"/>
      <c r="C37" s="33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339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9.5" customHeight="1">
      <c r="A38" s="25"/>
      <c r="B38" s="25"/>
      <c r="C38" s="33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39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9.5" customHeight="1">
      <c r="A39" s="25"/>
      <c r="B39" s="25"/>
      <c r="C39" s="33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39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9.5" customHeight="1">
      <c r="A40" s="25"/>
      <c r="B40" s="25"/>
      <c r="C40" s="33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339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9.5" customHeight="1">
      <c r="A41" s="25"/>
      <c r="B41" s="25"/>
      <c r="C41" s="33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339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9.5" customHeight="1">
      <c r="A42" s="25"/>
      <c r="B42" s="25"/>
      <c r="C42" s="33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39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9.5" customHeight="1">
      <c r="A43" s="25"/>
      <c r="B43" s="25"/>
      <c r="C43" s="33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339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9.5" customHeight="1">
      <c r="A44" s="25"/>
      <c r="B44" s="25"/>
      <c r="C44" s="33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39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9.5" customHeight="1">
      <c r="A45" s="25"/>
      <c r="B45" s="25"/>
      <c r="C45" s="33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339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9.5" customHeight="1">
      <c r="A46" s="25"/>
      <c r="B46" s="25"/>
      <c r="C46" s="33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39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9.5" customHeight="1">
      <c r="A47" s="25"/>
      <c r="B47" s="25"/>
      <c r="C47" s="33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339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9.5" customHeight="1">
      <c r="A48" s="25"/>
      <c r="B48" s="25"/>
      <c r="C48" s="33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339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9.5" customHeight="1">
      <c r="A49" s="25"/>
      <c r="B49" s="25"/>
      <c r="C49" s="33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39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9.5" customHeight="1">
      <c r="A50" s="25"/>
      <c r="B50" s="25"/>
      <c r="C50" s="33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339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9.5" customHeight="1">
      <c r="A51" s="25"/>
      <c r="B51" s="25"/>
      <c r="C51" s="33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339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9.5" customHeight="1">
      <c r="A52" s="25"/>
      <c r="B52" s="25"/>
      <c r="C52" s="33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39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9.5" customHeight="1">
      <c r="A53" s="25"/>
      <c r="B53" s="25"/>
      <c r="C53" s="33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39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9.5" customHeight="1">
      <c r="A54" s="25"/>
      <c r="B54" s="25"/>
      <c r="C54" s="33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39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9.5" customHeight="1">
      <c r="A55" s="25"/>
      <c r="B55" s="25"/>
      <c r="C55" s="33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39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9.5" customHeight="1">
      <c r="A56" s="25"/>
      <c r="B56" s="25"/>
      <c r="C56" s="33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39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9.5" customHeight="1">
      <c r="A57" s="25"/>
      <c r="B57" s="25"/>
      <c r="C57" s="33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339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9.5" customHeight="1">
      <c r="A58" s="25"/>
      <c r="B58" s="25"/>
      <c r="C58" s="33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339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9.5" customHeight="1">
      <c r="A59" s="25"/>
      <c r="B59" s="25"/>
      <c r="C59" s="33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339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9.5" customHeight="1">
      <c r="A60" s="25"/>
      <c r="B60" s="25"/>
      <c r="C60" s="338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339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9.5" customHeight="1">
      <c r="A61" s="25"/>
      <c r="B61" s="25"/>
      <c r="C61" s="33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339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9.5" customHeight="1">
      <c r="A62" s="25"/>
      <c r="B62" s="25"/>
      <c r="C62" s="338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339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9.5" customHeight="1">
      <c r="A63" s="25"/>
      <c r="B63" s="25"/>
      <c r="C63" s="33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339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9.5" customHeight="1">
      <c r="A64" s="25"/>
      <c r="B64" s="25"/>
      <c r="C64" s="33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339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9.5" customHeight="1">
      <c r="A65" s="25"/>
      <c r="B65" s="25"/>
      <c r="C65" s="33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339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9.5" customHeight="1">
      <c r="A66" s="25"/>
      <c r="B66" s="25"/>
      <c r="C66" s="33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339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9.5" customHeight="1">
      <c r="A67" s="25"/>
      <c r="B67" s="25"/>
      <c r="C67" s="33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339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9.5" customHeight="1">
      <c r="A68" s="25"/>
      <c r="B68" s="25"/>
      <c r="C68" s="33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339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9.5" customHeight="1">
      <c r="A69" s="25"/>
      <c r="B69" s="25"/>
      <c r="C69" s="33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339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9.5" customHeight="1">
      <c r="A70" s="25"/>
      <c r="B70" s="25"/>
      <c r="C70" s="33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339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9.5" customHeight="1">
      <c r="A71" s="25"/>
      <c r="B71" s="25"/>
      <c r="C71" s="33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339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30" customHeight="1">
      <c r="A72" s="25"/>
      <c r="B72" s="25"/>
      <c r="C72" s="33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339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30" customHeight="1">
      <c r="A73" s="25"/>
      <c r="B73" s="25"/>
      <c r="C73" s="33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339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30" customHeight="1">
      <c r="A74" s="25"/>
      <c r="B74" s="25"/>
      <c r="C74" s="33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339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30" customHeight="1">
      <c r="A75" s="25"/>
      <c r="B75" s="25"/>
      <c r="C75" s="338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339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30" customHeight="1">
      <c r="A76" s="25"/>
      <c r="B76" s="25"/>
      <c r="C76" s="33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339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30" customHeight="1">
      <c r="A77" s="25"/>
      <c r="B77" s="25"/>
      <c r="C77" s="338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339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30" customHeight="1">
      <c r="A78" s="25"/>
      <c r="B78" s="25"/>
      <c r="C78" s="33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339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30" customHeight="1">
      <c r="A79" s="25"/>
      <c r="B79" s="25"/>
      <c r="C79" s="338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339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30" customHeight="1">
      <c r="A80" s="25"/>
      <c r="B80" s="25"/>
      <c r="C80" s="33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339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30" customHeight="1">
      <c r="A81" s="25"/>
      <c r="B81" s="25"/>
      <c r="C81" s="338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339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30" customHeight="1">
      <c r="A82" s="25"/>
      <c r="B82" s="25"/>
      <c r="C82" s="33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339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30" customHeight="1">
      <c r="A83" s="25"/>
      <c r="B83" s="25"/>
      <c r="C83" s="338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339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33" customHeight="1">
      <c r="A84" s="25"/>
      <c r="B84" s="25"/>
      <c r="C84" s="33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339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29.25" customHeight="1">
      <c r="A85" s="25"/>
      <c r="B85" s="25"/>
      <c r="C85" s="338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339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23.25" customHeight="1">
      <c r="A86" s="25"/>
      <c r="B86" s="25"/>
      <c r="C86" s="338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339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33.75" customHeight="1">
      <c r="A87" s="25"/>
      <c r="B87" s="25"/>
      <c r="C87" s="338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339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33" customHeight="1">
      <c r="A88" s="25"/>
      <c r="B88" s="25"/>
      <c r="C88" s="338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339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30" customHeight="1">
      <c r="A89" s="25"/>
      <c r="B89" s="25"/>
      <c r="C89" s="338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339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30" customHeight="1">
      <c r="A90" s="25"/>
      <c r="B90" s="25"/>
      <c r="C90" s="33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339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31.5" customHeight="1">
      <c r="A91" s="25"/>
      <c r="B91" s="25"/>
      <c r="C91" s="338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339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33.75" customHeight="1">
      <c r="A92" s="25"/>
      <c r="B92" s="25"/>
      <c r="C92" s="33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339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30" customHeight="1">
      <c r="A93" s="25"/>
      <c r="B93" s="25"/>
      <c r="C93" s="33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339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30" customHeight="1">
      <c r="A94" s="25"/>
      <c r="B94" s="25"/>
      <c r="C94" s="338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39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33.75" customHeight="1">
      <c r="A95" s="25"/>
      <c r="B95" s="25"/>
      <c r="C95" s="338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39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</row>
    <row r="96" spans="1:25" ht="30" customHeight="1">
      <c r="A96" s="25"/>
      <c r="B96" s="25"/>
      <c r="C96" s="338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39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</row>
    <row r="97" ht="39.75" customHeight="1"/>
    <row r="98" ht="47.25" customHeight="1"/>
    <row r="99" ht="35.25" customHeight="1"/>
    <row r="100" ht="35.25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48.75" customHeight="1"/>
    <row r="118" ht="48.75" customHeight="1"/>
    <row r="119" ht="48.75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106.5" customHeight="1"/>
    <row r="137" ht="77.25" customHeight="1"/>
    <row r="138" ht="30" customHeight="1"/>
    <row r="139" ht="28.5" customHeight="1"/>
    <row r="140" ht="30" customHeight="1"/>
    <row r="141" ht="21.75" customHeight="1"/>
    <row r="142" ht="30" customHeight="1"/>
    <row r="143" ht="30" customHeight="1"/>
    <row r="144" ht="27.75" customHeight="1"/>
    <row r="145" ht="33" customHeight="1"/>
    <row r="146" ht="32.25" customHeight="1"/>
    <row r="147" ht="21" customHeight="1"/>
    <row r="148" ht="30" customHeight="1"/>
    <row r="149" ht="24" customHeight="1"/>
    <row r="150" ht="24.75" customHeight="1"/>
    <row r="151" ht="24.75" customHeight="1"/>
    <row r="152" ht="26.25" customHeight="1"/>
    <row r="153" ht="24" customHeight="1"/>
    <row r="154" ht="24" customHeight="1"/>
    <row r="155" ht="24.75" customHeight="1"/>
    <row r="156" ht="33.75" customHeight="1"/>
    <row r="157" ht="33.75" customHeight="1"/>
    <row r="158" ht="39.75" customHeight="1"/>
    <row r="159" spans="1:25" s="26" customFormat="1" ht="21.75" customHeight="1">
      <c r="A159" s="10"/>
      <c r="B159" s="10"/>
      <c r="C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9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ht="24.75" customHeight="1"/>
    <row r="161" ht="49.5" customHeight="1"/>
    <row r="162" ht="30.75" customHeight="1"/>
    <row r="163" ht="27.75" customHeight="1"/>
  </sheetData>
  <mergeCells count="12">
    <mergeCell ref="A7:A9"/>
    <mergeCell ref="B7:B9"/>
    <mergeCell ref="C7:C9"/>
    <mergeCell ref="D7:D9"/>
    <mergeCell ref="E7:E9"/>
    <mergeCell ref="F8:F9"/>
    <mergeCell ref="M8:M9"/>
    <mergeCell ref="Q7:Q9"/>
    <mergeCell ref="R8:R9"/>
    <mergeCell ref="Y8:Y9"/>
    <mergeCell ref="O7:O9"/>
    <mergeCell ref="P7:P9"/>
  </mergeCells>
  <printOptions horizontalCentered="1"/>
  <pageMargins left="0.3937007874015748" right="0.3937007874015748" top="0.5905511811023623" bottom="0.5905511811023623" header="0.5118110236220472" footer="0.5118110236220472"/>
  <pageSetup firstPageNumber="12" useFirstPageNumber="1" horizontalDpi="600" verticalDpi="600" orientation="landscape" paperSize="9" scale="60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B1">
      <selection activeCell="C17" sqref="C17:C18"/>
    </sheetView>
  </sheetViews>
  <sheetFormatPr defaultColWidth="9.00390625" defaultRowHeight="12.75"/>
  <cols>
    <col min="1" max="1" width="5.25390625" style="825" customWidth="1"/>
    <col min="2" max="2" width="7.125" style="825" customWidth="1"/>
    <col min="3" max="4" width="12.75390625" style="825" customWidth="1"/>
    <col min="5" max="5" width="11.25390625" style="825" customWidth="1"/>
    <col min="6" max="6" width="13.375" style="825" customWidth="1"/>
    <col min="7" max="7" width="14.75390625" style="825" customWidth="1"/>
    <col min="8" max="8" width="10.875" style="825" customWidth="1"/>
    <col min="9" max="9" width="11.25390625" style="825" customWidth="1"/>
    <col min="10" max="10" width="9.125" style="825" customWidth="1"/>
    <col min="11" max="12" width="13.75390625" style="825" customWidth="1"/>
    <col min="13" max="13" width="11.25390625" style="825" customWidth="1"/>
    <col min="14" max="14" width="14.00390625" style="825" customWidth="1"/>
    <col min="15" max="15" width="14.25390625" style="825" customWidth="1"/>
    <col min="16" max="16" width="10.625" style="825" customWidth="1"/>
    <col min="17" max="17" width="11.125" style="825" customWidth="1"/>
    <col min="18" max="16384" width="9.125" style="825" customWidth="1"/>
  </cols>
  <sheetData>
    <row r="1" ht="12.75">
      <c r="P1" s="826"/>
    </row>
    <row r="2" spans="15:16" ht="15">
      <c r="O2" s="447" t="s">
        <v>379</v>
      </c>
      <c r="P2" s="826"/>
    </row>
    <row r="3" spans="1:16" ht="15.75">
      <c r="A3" s="827" t="s">
        <v>225</v>
      </c>
      <c r="O3" s="10" t="s">
        <v>164</v>
      </c>
      <c r="P3" s="826"/>
    </row>
    <row r="4" spans="1:16" ht="15.75">
      <c r="A4" s="827" t="s">
        <v>226</v>
      </c>
      <c r="O4" s="10" t="s">
        <v>272</v>
      </c>
      <c r="P4" s="826"/>
    </row>
    <row r="5" spans="2:15" ht="15.75">
      <c r="B5" s="827"/>
      <c r="C5" s="827"/>
      <c r="D5" s="827"/>
      <c r="K5" s="827"/>
      <c r="L5" s="827"/>
      <c r="O5" s="10" t="s">
        <v>355</v>
      </c>
    </row>
    <row r="6" spans="2:12" ht="15.75">
      <c r="B6" s="827"/>
      <c r="C6" s="827"/>
      <c r="D6" s="827"/>
      <c r="K6" s="827"/>
      <c r="L6" s="827"/>
    </row>
    <row r="7" spans="1:12" ht="21" customHeight="1">
      <c r="A7" s="827"/>
      <c r="B7" s="827"/>
      <c r="C7" s="827"/>
      <c r="D7" s="827"/>
      <c r="K7" s="827"/>
      <c r="L7" s="827"/>
    </row>
    <row r="8" ht="12.75">
      <c r="Q8" s="828" t="s">
        <v>184</v>
      </c>
    </row>
    <row r="9" spans="1:17" s="830" customFormat="1" ht="12.75" customHeight="1">
      <c r="A9" s="1558" t="s">
        <v>179</v>
      </c>
      <c r="B9" s="1558" t="s">
        <v>186</v>
      </c>
      <c r="C9" s="1558" t="s">
        <v>227</v>
      </c>
      <c r="D9" s="1558" t="s">
        <v>228</v>
      </c>
      <c r="E9" s="1561" t="s">
        <v>182</v>
      </c>
      <c r="F9" s="1561"/>
      <c r="G9" s="1561"/>
      <c r="H9" s="1561"/>
      <c r="I9" s="1561"/>
      <c r="J9" s="1562" t="s">
        <v>187</v>
      </c>
      <c r="K9" s="1558" t="s">
        <v>229</v>
      </c>
      <c r="L9" s="1558" t="s">
        <v>230</v>
      </c>
      <c r="M9" s="1561" t="s">
        <v>182</v>
      </c>
      <c r="N9" s="1561"/>
      <c r="O9" s="1561"/>
      <c r="P9" s="1561"/>
      <c r="Q9" s="1561"/>
    </row>
    <row r="10" spans="1:17" s="830" customFormat="1" ht="12.75" customHeight="1">
      <c r="A10" s="1558"/>
      <c r="B10" s="1558"/>
      <c r="C10" s="1558"/>
      <c r="D10" s="1558"/>
      <c r="E10" s="1558" t="s">
        <v>231</v>
      </c>
      <c r="F10" s="1561" t="s">
        <v>210</v>
      </c>
      <c r="G10" s="1561"/>
      <c r="H10" s="1561"/>
      <c r="I10" s="1558" t="s">
        <v>232</v>
      </c>
      <c r="J10" s="1563"/>
      <c r="K10" s="1558"/>
      <c r="L10" s="1558"/>
      <c r="M10" s="1558" t="s">
        <v>231</v>
      </c>
      <c r="N10" s="1561" t="s">
        <v>210</v>
      </c>
      <c r="O10" s="1561"/>
      <c r="P10" s="1561"/>
      <c r="Q10" s="1558" t="s">
        <v>232</v>
      </c>
    </row>
    <row r="11" spans="1:17" s="830" customFormat="1" ht="52.5" customHeight="1">
      <c r="A11" s="1558"/>
      <c r="B11" s="1558"/>
      <c r="C11" s="1558"/>
      <c r="D11" s="1558"/>
      <c r="E11" s="1558"/>
      <c r="F11" s="829" t="s">
        <v>203</v>
      </c>
      <c r="G11" s="829" t="s">
        <v>233</v>
      </c>
      <c r="H11" s="829" t="s">
        <v>213</v>
      </c>
      <c r="I11" s="1558"/>
      <c r="J11" s="1564"/>
      <c r="K11" s="1558"/>
      <c r="L11" s="1558"/>
      <c r="M11" s="1558"/>
      <c r="N11" s="829" t="s">
        <v>203</v>
      </c>
      <c r="O11" s="829" t="s">
        <v>233</v>
      </c>
      <c r="P11" s="829" t="s">
        <v>213</v>
      </c>
      <c r="Q11" s="1558"/>
    </row>
    <row r="12" spans="1:17" s="832" customFormat="1" ht="11.25">
      <c r="A12" s="831">
        <v>1</v>
      </c>
      <c r="B12" s="831">
        <v>2</v>
      </c>
      <c r="C12" s="831">
        <v>3</v>
      </c>
      <c r="D12" s="831">
        <v>4</v>
      </c>
      <c r="E12" s="831">
        <v>5</v>
      </c>
      <c r="F12" s="831">
        <v>6</v>
      </c>
      <c r="G12" s="831">
        <v>7</v>
      </c>
      <c r="H12" s="831">
        <v>8</v>
      </c>
      <c r="I12" s="831">
        <v>9</v>
      </c>
      <c r="J12" s="831">
        <v>10</v>
      </c>
      <c r="K12" s="831">
        <v>11</v>
      </c>
      <c r="L12" s="831">
        <v>12</v>
      </c>
      <c r="M12" s="831">
        <v>13</v>
      </c>
      <c r="N12" s="831">
        <v>14</v>
      </c>
      <c r="O12" s="831">
        <v>15</v>
      </c>
      <c r="P12" s="831">
        <v>16</v>
      </c>
      <c r="Q12" s="831">
        <v>17</v>
      </c>
    </row>
    <row r="13" spans="1:17" s="1069" customFormat="1" ht="20.25" customHeight="1" thickBot="1">
      <c r="A13" s="1559" t="s">
        <v>154</v>
      </c>
      <c r="B13" s="1560"/>
      <c r="C13" s="1068">
        <v>5038131</v>
      </c>
      <c r="D13" s="1068">
        <v>5038131</v>
      </c>
      <c r="E13" s="1068">
        <v>4720131</v>
      </c>
      <c r="F13" s="1068">
        <v>1350507</v>
      </c>
      <c r="G13" s="1068">
        <v>226041</v>
      </c>
      <c r="H13" s="1068">
        <v>1387655</v>
      </c>
      <c r="I13" s="1068">
        <v>318000</v>
      </c>
      <c r="J13" s="1068">
        <f>J14</f>
        <v>11558</v>
      </c>
      <c r="K13" s="1068">
        <f>C13+J13</f>
        <v>5049689</v>
      </c>
      <c r="L13" s="1068">
        <f>D13+J13</f>
        <v>5049689</v>
      </c>
      <c r="M13" s="1068">
        <f>E13+J13</f>
        <v>4731689</v>
      </c>
      <c r="N13" s="1068">
        <f>F13</f>
        <v>1350507</v>
      </c>
      <c r="O13" s="1068">
        <f>G13</f>
        <v>226041</v>
      </c>
      <c r="P13" s="1068">
        <f>H13+10308</f>
        <v>1397963</v>
      </c>
      <c r="Q13" s="1068">
        <f>I13</f>
        <v>318000</v>
      </c>
    </row>
    <row r="14" spans="1:17" s="1073" customFormat="1" ht="21" customHeight="1">
      <c r="A14" s="1070">
        <v>853</v>
      </c>
      <c r="B14" s="1070">
        <v>85311</v>
      </c>
      <c r="C14" s="1071"/>
      <c r="D14" s="1071"/>
      <c r="E14" s="1071"/>
      <c r="F14" s="1071"/>
      <c r="G14" s="1071"/>
      <c r="H14" s="1071"/>
      <c r="I14" s="1071"/>
      <c r="J14" s="1072">
        <v>11558</v>
      </c>
      <c r="K14" s="1071">
        <f>C14+J14</f>
        <v>11558</v>
      </c>
      <c r="L14" s="1071">
        <f>D14+J14</f>
        <v>11558</v>
      </c>
      <c r="M14" s="1071">
        <f>E14+J14</f>
        <v>11558</v>
      </c>
      <c r="N14" s="1071"/>
      <c r="O14" s="1071"/>
      <c r="P14" s="1071">
        <f>H14+10308</f>
        <v>10308</v>
      </c>
      <c r="Q14" s="1071"/>
    </row>
    <row r="17" spans="3:15" ht="15">
      <c r="C17" s="683" t="s">
        <v>17</v>
      </c>
      <c r="O17" s="1584" t="s">
        <v>20</v>
      </c>
    </row>
    <row r="18" spans="3:15" ht="15">
      <c r="C18" s="1583" t="s">
        <v>19</v>
      </c>
      <c r="O18" s="1585" t="s">
        <v>18</v>
      </c>
    </row>
  </sheetData>
  <mergeCells count="16">
    <mergeCell ref="A13:B13"/>
    <mergeCell ref="M9:Q9"/>
    <mergeCell ref="E10:E11"/>
    <mergeCell ref="F10:H10"/>
    <mergeCell ref="I10:I11"/>
    <mergeCell ref="M10:M11"/>
    <mergeCell ref="N10:P10"/>
    <mergeCell ref="Q10:Q11"/>
    <mergeCell ref="E9:I9"/>
    <mergeCell ref="J9:J11"/>
    <mergeCell ref="K9:K11"/>
    <mergeCell ref="L9:L11"/>
    <mergeCell ref="A9:A11"/>
    <mergeCell ref="B9:B11"/>
    <mergeCell ref="C9:C11"/>
    <mergeCell ref="D9:D11"/>
  </mergeCells>
  <printOptions/>
  <pageMargins left="0.5905511811023623" right="0.3937007874015748" top="0.984251968503937" bottom="0.984251968503937" header="0.5118110236220472" footer="0.5118110236220472"/>
  <pageSetup firstPageNumber="13" useFirstPageNumber="1" horizontalDpi="600" verticalDpi="600" orientation="landscape" paperSize="9" scale="70" r:id="rId1"/>
  <headerFooter alignWithMargins="0">
    <oddFooter>&amp;C13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63"/>
  <sheetViews>
    <sheetView workbookViewId="0" topLeftCell="G1">
      <selection activeCell="L23" sqref="L23:L24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9.25390625" style="0" customWidth="1"/>
    <col min="4" max="4" width="13.25390625" style="0" customWidth="1"/>
    <col min="5" max="5" width="16.375" style="0" customWidth="1"/>
    <col min="6" max="6" width="13.125" style="0" customWidth="1"/>
    <col min="7" max="7" width="13.25390625" style="0" customWidth="1"/>
    <col min="8" max="8" width="16.375" style="0" customWidth="1"/>
    <col min="9" max="9" width="22.625" style="0" customWidth="1"/>
    <col min="10" max="10" width="13.75390625" style="0" customWidth="1"/>
    <col min="11" max="11" width="14.875" style="0" customWidth="1"/>
    <col min="12" max="13" width="13.25390625" style="0" customWidth="1"/>
    <col min="14" max="14" width="14.875" style="0" customWidth="1"/>
  </cols>
  <sheetData>
    <row r="1" spans="1:12" s="1340" customFormat="1" ht="13.5" customHeight="1">
      <c r="A1" s="1337"/>
      <c r="B1" s="1338"/>
      <c r="C1" s="1339"/>
      <c r="H1" s="1341"/>
      <c r="I1" s="1341"/>
      <c r="L1" s="188" t="s">
        <v>565</v>
      </c>
    </row>
    <row r="2" spans="1:12" s="1340" customFormat="1" ht="18">
      <c r="A2" s="1337"/>
      <c r="B2" s="1338"/>
      <c r="C2" s="1342" t="s">
        <v>24</v>
      </c>
      <c r="D2" s="1343"/>
      <c r="E2" s="1344"/>
      <c r="F2" s="1344"/>
      <c r="G2" s="1344"/>
      <c r="H2" s="1345"/>
      <c r="I2" s="1345"/>
      <c r="L2" s="11" t="s">
        <v>163</v>
      </c>
    </row>
    <row r="3" spans="1:12" s="1340" customFormat="1" ht="18">
      <c r="A3" s="1337"/>
      <c r="C3" s="1342" t="s">
        <v>711</v>
      </c>
      <c r="D3" s="1346"/>
      <c r="E3" s="1346"/>
      <c r="F3" s="1346"/>
      <c r="G3" s="1346"/>
      <c r="H3" s="1345"/>
      <c r="I3" s="1345"/>
      <c r="L3" s="11" t="s">
        <v>272</v>
      </c>
    </row>
    <row r="4" spans="1:12" s="1340" customFormat="1" ht="18" customHeight="1">
      <c r="A4" s="1337"/>
      <c r="B4" s="1338"/>
      <c r="C4" s="1339"/>
      <c r="D4" s="1343"/>
      <c r="E4" s="1344"/>
      <c r="F4" s="1344"/>
      <c r="G4" s="1344"/>
      <c r="H4" s="1345"/>
      <c r="I4" s="1345"/>
      <c r="L4" s="11" t="s">
        <v>707</v>
      </c>
    </row>
    <row r="5" spans="1:13" s="1340" customFormat="1" ht="9.75" customHeight="1">
      <c r="A5" s="1337"/>
      <c r="B5" s="1338"/>
      <c r="C5" s="1339"/>
      <c r="D5" s="1343"/>
      <c r="E5" s="1344"/>
      <c r="F5" s="1344"/>
      <c r="G5" s="1344"/>
      <c r="H5" s="1345"/>
      <c r="I5" s="1345"/>
      <c r="L5" s="1344"/>
      <c r="M5" s="1344"/>
    </row>
    <row r="6" spans="1:14" s="1340" customFormat="1" ht="15" customHeight="1" thickBot="1">
      <c r="A6" s="1347"/>
      <c r="B6" s="1348"/>
      <c r="C6" s="1349"/>
      <c r="D6" s="1350"/>
      <c r="E6" s="1350"/>
      <c r="F6" s="1350"/>
      <c r="G6" s="1350"/>
      <c r="H6" s="1351"/>
      <c r="I6" s="1351"/>
      <c r="J6" s="1350"/>
      <c r="K6" s="1350"/>
      <c r="L6" s="1350"/>
      <c r="M6" s="1350"/>
      <c r="N6" s="1418" t="s">
        <v>25</v>
      </c>
    </row>
    <row r="7" spans="1:38" s="1343" customFormat="1" ht="67.5" customHeight="1" thickBot="1" thickTop="1">
      <c r="A7" s="1352"/>
      <c r="B7" s="1353"/>
      <c r="C7" s="1354"/>
      <c r="D7" s="1565" t="s">
        <v>709</v>
      </c>
      <c r="E7" s="1566"/>
      <c r="F7" s="1355"/>
      <c r="G7" s="1565" t="s">
        <v>26</v>
      </c>
      <c r="H7" s="1567"/>
      <c r="I7" s="1356"/>
      <c r="J7" s="1565" t="s">
        <v>710</v>
      </c>
      <c r="K7" s="1566"/>
      <c r="L7" s="1355"/>
      <c r="M7" s="1568" t="s">
        <v>27</v>
      </c>
      <c r="N7" s="1569"/>
      <c r="O7" s="1340"/>
      <c r="P7" s="1340"/>
      <c r="Q7" s="1340"/>
      <c r="R7" s="1340"/>
      <c r="S7" s="1340"/>
      <c r="T7" s="1340"/>
      <c r="U7" s="1340"/>
      <c r="V7" s="1340"/>
      <c r="W7" s="1340"/>
      <c r="X7" s="1340"/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0"/>
      <c r="AJ7" s="1340"/>
      <c r="AK7" s="1340"/>
      <c r="AL7" s="1340"/>
    </row>
    <row r="8" spans="1:38" s="1364" customFormat="1" ht="39" customHeight="1" thickBot="1" thickTop="1">
      <c r="A8" s="1357" t="s">
        <v>179</v>
      </c>
      <c r="B8" s="1358" t="s">
        <v>186</v>
      </c>
      <c r="C8" s="1359" t="s">
        <v>277</v>
      </c>
      <c r="D8" s="1360" t="s">
        <v>205</v>
      </c>
      <c r="E8" s="1361" t="s">
        <v>28</v>
      </c>
      <c r="F8" s="1362" t="s">
        <v>187</v>
      </c>
      <c r="G8" s="1436" t="s">
        <v>205</v>
      </c>
      <c r="H8" s="1436" t="s">
        <v>29</v>
      </c>
      <c r="I8" s="1362" t="s">
        <v>30</v>
      </c>
      <c r="J8" s="1363" t="s">
        <v>205</v>
      </c>
      <c r="K8" s="1361" t="s">
        <v>31</v>
      </c>
      <c r="L8" s="1362" t="s">
        <v>187</v>
      </c>
      <c r="M8" s="1436" t="s">
        <v>205</v>
      </c>
      <c r="N8" s="1361" t="s">
        <v>31</v>
      </c>
      <c r="O8" s="1340"/>
      <c r="P8" s="1340"/>
      <c r="Q8" s="1340"/>
      <c r="R8" s="1340"/>
      <c r="S8" s="1340"/>
      <c r="T8" s="1340"/>
      <c r="U8" s="1340"/>
      <c r="V8" s="1340"/>
      <c r="W8" s="1340"/>
      <c r="X8" s="1340"/>
      <c r="Y8" s="1340"/>
      <c r="Z8" s="1340"/>
      <c r="AA8" s="1340"/>
      <c r="AB8" s="1340"/>
      <c r="AC8" s="1340"/>
      <c r="AD8" s="1340"/>
      <c r="AE8" s="1340"/>
      <c r="AF8" s="1340"/>
      <c r="AG8" s="1340"/>
      <c r="AH8" s="1340"/>
      <c r="AI8" s="1340"/>
      <c r="AJ8" s="1340"/>
      <c r="AK8" s="1340"/>
      <c r="AL8" s="1340"/>
    </row>
    <row r="9" spans="1:38" s="1369" customFormat="1" ht="14.25" thickBot="1" thickTop="1">
      <c r="A9" s="1365">
        <v>1</v>
      </c>
      <c r="B9" s="1366">
        <v>2</v>
      </c>
      <c r="C9" s="1367">
        <v>3</v>
      </c>
      <c r="D9" s="1365">
        <v>4</v>
      </c>
      <c r="E9" s="1365">
        <v>5</v>
      </c>
      <c r="F9" s="1365">
        <v>6</v>
      </c>
      <c r="G9" s="1365">
        <v>7</v>
      </c>
      <c r="H9" s="1368">
        <v>8</v>
      </c>
      <c r="I9" s="1368">
        <v>9</v>
      </c>
      <c r="J9" s="1365">
        <v>10</v>
      </c>
      <c r="K9" s="1365">
        <v>11</v>
      </c>
      <c r="L9" s="1365">
        <v>12</v>
      </c>
      <c r="M9" s="1365">
        <v>13</v>
      </c>
      <c r="N9" s="1365">
        <v>14</v>
      </c>
      <c r="O9" s="1340"/>
      <c r="P9" s="1340"/>
      <c r="Q9" s="1340"/>
      <c r="R9" s="1340"/>
      <c r="S9" s="1340"/>
      <c r="T9" s="1340"/>
      <c r="U9" s="1340"/>
      <c r="V9" s="1340"/>
      <c r="W9" s="1340"/>
      <c r="X9" s="1340"/>
      <c r="Y9" s="1340"/>
      <c r="Z9" s="1340"/>
      <c r="AA9" s="1340"/>
      <c r="AB9" s="1340"/>
      <c r="AC9" s="1340"/>
      <c r="AD9" s="1340"/>
      <c r="AE9" s="1340"/>
      <c r="AF9" s="1340"/>
      <c r="AG9" s="1340"/>
      <c r="AH9" s="1340"/>
      <c r="AI9" s="1340"/>
      <c r="AJ9" s="1340"/>
      <c r="AK9" s="1340"/>
      <c r="AL9" s="1340"/>
    </row>
    <row r="10" spans="1:38" s="1411" customFormat="1" ht="30.75" customHeight="1" thickBot="1" thickTop="1">
      <c r="A10" s="1404"/>
      <c r="B10" s="1405"/>
      <c r="C10" s="1406" t="s">
        <v>154</v>
      </c>
      <c r="D10" s="1407">
        <v>102184920</v>
      </c>
      <c r="E10" s="1407">
        <v>14139829</v>
      </c>
      <c r="F10" s="1408">
        <f>F11+F19+F20</f>
        <v>0</v>
      </c>
      <c r="G10" s="1408">
        <f>D10+F10</f>
        <v>102184920</v>
      </c>
      <c r="H10" s="1407">
        <f>E10+F10</f>
        <v>14139829</v>
      </c>
      <c r="I10" s="1409"/>
      <c r="J10" s="1407">
        <v>102322370</v>
      </c>
      <c r="K10" s="1407">
        <v>8620648</v>
      </c>
      <c r="L10" s="1408">
        <f>L11+L19+L20</f>
        <v>0</v>
      </c>
      <c r="M10" s="1407">
        <f>J10</f>
        <v>102322370</v>
      </c>
      <c r="N10" s="1407">
        <f>K10</f>
        <v>8620648</v>
      </c>
      <c r="O10" s="1410"/>
      <c r="P10" s="1410"/>
      <c r="Q10" s="1410"/>
      <c r="R10" s="1410"/>
      <c r="S10" s="1410"/>
      <c r="T10" s="1410"/>
      <c r="U10" s="1410"/>
      <c r="V10" s="1410"/>
      <c r="W10" s="1410"/>
      <c r="X10" s="1410"/>
      <c r="Y10" s="1410"/>
      <c r="Z10" s="1410"/>
      <c r="AA10" s="1410"/>
      <c r="AB10" s="1410"/>
      <c r="AC10" s="1410"/>
      <c r="AD10" s="1410"/>
      <c r="AE10" s="1410"/>
      <c r="AF10" s="1410"/>
      <c r="AG10" s="1410"/>
      <c r="AH10" s="1410"/>
      <c r="AI10" s="1410"/>
      <c r="AJ10" s="1410"/>
      <c r="AK10" s="1410"/>
      <c r="AL10" s="1410"/>
    </row>
    <row r="11" spans="1:38" s="1376" customFormat="1" ht="24" customHeight="1" thickTop="1">
      <c r="A11" s="1370"/>
      <c r="B11" s="1371"/>
      <c r="C11" s="1372" t="s">
        <v>32</v>
      </c>
      <c r="D11" s="1373">
        <v>83169000</v>
      </c>
      <c r="E11" s="1373">
        <v>12344000</v>
      </c>
      <c r="F11" s="1373">
        <f>F12</f>
        <v>0</v>
      </c>
      <c r="G11" s="1373">
        <f>D11+F11</f>
        <v>83169000</v>
      </c>
      <c r="H11" s="1373">
        <f>E11+F11</f>
        <v>12344000</v>
      </c>
      <c r="I11" s="1374"/>
      <c r="J11" s="1373">
        <v>83016391</v>
      </c>
      <c r="K11" s="1373">
        <v>6609500</v>
      </c>
      <c r="L11" s="1373">
        <f>L12</f>
        <v>0</v>
      </c>
      <c r="M11" s="1373">
        <f>J11</f>
        <v>83016391</v>
      </c>
      <c r="N11" s="1373">
        <f>K11</f>
        <v>6609500</v>
      </c>
      <c r="O11" s="1375"/>
      <c r="P11" s="1375"/>
      <c r="Q11" s="1375"/>
      <c r="R11" s="1375"/>
      <c r="S11" s="1375"/>
      <c r="T11" s="1375"/>
      <c r="U11" s="1375"/>
      <c r="V11" s="1375"/>
      <c r="W11" s="1375"/>
      <c r="X11" s="1375"/>
      <c r="Y11" s="1375"/>
      <c r="Z11" s="1375"/>
      <c r="AA11" s="1375"/>
      <c r="AB11" s="1375"/>
      <c r="AC11" s="1375"/>
      <c r="AD11" s="1375"/>
      <c r="AE11" s="1375"/>
      <c r="AF11" s="1375"/>
      <c r="AG11" s="1375"/>
      <c r="AH11" s="1375"/>
      <c r="AI11" s="1375"/>
      <c r="AJ11" s="1375"/>
      <c r="AK11" s="1375"/>
      <c r="AL11" s="1375"/>
    </row>
    <row r="12" spans="1:14" s="1340" customFormat="1" ht="23.25" customHeight="1">
      <c r="A12" s="1377"/>
      <c r="B12" s="1378"/>
      <c r="C12" s="1379" t="s">
        <v>33</v>
      </c>
      <c r="D12" s="1380"/>
      <c r="E12" s="1381">
        <v>11570000</v>
      </c>
      <c r="F12" s="1381">
        <f>F13</f>
        <v>0</v>
      </c>
      <c r="G12" s="1381"/>
      <c r="H12" s="1381">
        <f>E12+F12</f>
        <v>11570000</v>
      </c>
      <c r="I12" s="1382"/>
      <c r="J12" s="1381">
        <v>11570000</v>
      </c>
      <c r="K12" s="1381"/>
      <c r="L12" s="1381">
        <f>L13</f>
        <v>0</v>
      </c>
      <c r="M12" s="1381">
        <f>J12+L12</f>
        <v>11570000</v>
      </c>
      <c r="N12" s="1383"/>
    </row>
    <row r="13" spans="1:14" s="1340" customFormat="1" ht="28.5" customHeight="1">
      <c r="A13" s="1384">
        <v>926</v>
      </c>
      <c r="B13" s="1385">
        <v>92604</v>
      </c>
      <c r="C13" s="1386" t="s">
        <v>34</v>
      </c>
      <c r="D13" s="1387"/>
      <c r="E13" s="1388">
        <v>10070000</v>
      </c>
      <c r="F13" s="1388">
        <f>SUM(F15:F18)</f>
        <v>0</v>
      </c>
      <c r="G13" s="1388"/>
      <c r="H13" s="1388">
        <f>E13+F13</f>
        <v>10070000</v>
      </c>
      <c r="I13" s="1389"/>
      <c r="J13" s="1388">
        <v>10070000</v>
      </c>
      <c r="K13" s="1390"/>
      <c r="L13" s="1388">
        <f>SUM(L15:L18)</f>
        <v>0</v>
      </c>
      <c r="M13" s="1390">
        <f>J13+L13</f>
        <v>10070000</v>
      </c>
      <c r="N13" s="1390"/>
    </row>
    <row r="14" spans="1:14" s="1340" customFormat="1" ht="15.75" customHeight="1">
      <c r="A14" s="1384"/>
      <c r="B14" s="1385"/>
      <c r="C14" s="1386"/>
      <c r="D14" s="1387"/>
      <c r="E14" s="1391" t="s">
        <v>210</v>
      </c>
      <c r="F14" s="1391"/>
      <c r="G14" s="1384"/>
      <c r="H14" s="1391" t="s">
        <v>210</v>
      </c>
      <c r="I14" s="1389"/>
      <c r="J14" s="1391" t="s">
        <v>210</v>
      </c>
      <c r="K14" s="1392"/>
      <c r="L14" s="1391"/>
      <c r="M14" s="1391" t="s">
        <v>210</v>
      </c>
      <c r="N14" s="1392"/>
    </row>
    <row r="15" spans="1:14" s="1340" customFormat="1" ht="33.75">
      <c r="A15" s="1384"/>
      <c r="B15" s="1385"/>
      <c r="C15" s="1386"/>
      <c r="D15" s="1387"/>
      <c r="E15" s="1393">
        <v>1670000</v>
      </c>
      <c r="F15" s="1394">
        <v>-1380000</v>
      </c>
      <c r="G15" s="1393"/>
      <c r="H15" s="1393">
        <f>E15+F15</f>
        <v>290000</v>
      </c>
      <c r="I15" s="1412" t="s">
        <v>759</v>
      </c>
      <c r="J15" s="1393">
        <v>1670000</v>
      </c>
      <c r="K15" s="1394"/>
      <c r="L15" s="1394">
        <v>-1380000</v>
      </c>
      <c r="M15" s="1395">
        <f>L15+J15</f>
        <v>290000</v>
      </c>
      <c r="N15" s="1395"/>
    </row>
    <row r="16" spans="1:14" s="1340" customFormat="1" ht="29.25" customHeight="1">
      <c r="A16" s="1384"/>
      <c r="B16" s="1385"/>
      <c r="C16" s="1386"/>
      <c r="D16" s="1384"/>
      <c r="E16" s="1394">
        <v>500000</v>
      </c>
      <c r="F16" s="1394">
        <f>1000000-550000</f>
        <v>450000</v>
      </c>
      <c r="G16" s="1394"/>
      <c r="H16" s="1393">
        <f>E16+F16</f>
        <v>950000</v>
      </c>
      <c r="I16" s="1414" t="s">
        <v>760</v>
      </c>
      <c r="J16" s="1394">
        <v>500000</v>
      </c>
      <c r="K16" s="1394"/>
      <c r="L16" s="1394">
        <f>1000000-550000</f>
        <v>450000</v>
      </c>
      <c r="M16" s="1395">
        <f>L16+J16</f>
        <v>950000</v>
      </c>
      <c r="N16" s="1395"/>
    </row>
    <row r="17" spans="1:14" s="1340" customFormat="1" ht="45">
      <c r="A17" s="1384"/>
      <c r="B17" s="1385"/>
      <c r="C17" s="1386"/>
      <c r="D17" s="1384"/>
      <c r="E17" s="1394">
        <v>2000000</v>
      </c>
      <c r="F17" s="1394">
        <v>380000</v>
      </c>
      <c r="G17" s="1394"/>
      <c r="H17" s="1393">
        <f>E17+F17</f>
        <v>2380000</v>
      </c>
      <c r="I17" s="1415" t="s">
        <v>706</v>
      </c>
      <c r="J17" s="1394">
        <v>2000000</v>
      </c>
      <c r="K17" s="1394"/>
      <c r="L17" s="1394">
        <v>380000</v>
      </c>
      <c r="M17" s="1395">
        <f>L17+J17</f>
        <v>2380000</v>
      </c>
      <c r="N17" s="1395"/>
    </row>
    <row r="18" spans="1:14" s="1340" customFormat="1" ht="22.5">
      <c r="A18" s="1384"/>
      <c r="B18" s="1385"/>
      <c r="C18" s="1386"/>
      <c r="D18" s="1384"/>
      <c r="E18" s="1394">
        <v>1300000</v>
      </c>
      <c r="F18" s="1394">
        <v>550000</v>
      </c>
      <c r="G18" s="1394"/>
      <c r="H18" s="1393">
        <f>E18+F18</f>
        <v>1850000</v>
      </c>
      <c r="I18" s="1413" t="s">
        <v>705</v>
      </c>
      <c r="J18" s="1394">
        <v>1300000</v>
      </c>
      <c r="K18" s="1394"/>
      <c r="L18" s="1394">
        <v>550000</v>
      </c>
      <c r="M18" s="1395">
        <f>L18+J18</f>
        <v>1850000</v>
      </c>
      <c r="N18" s="1395"/>
    </row>
    <row r="19" spans="1:14" s="1401" customFormat="1" ht="22.5" customHeight="1">
      <c r="A19" s="1396"/>
      <c r="B19" s="1397"/>
      <c r="C19" s="1398" t="s">
        <v>35</v>
      </c>
      <c r="D19" s="1398">
        <v>4223961</v>
      </c>
      <c r="E19" s="1398">
        <v>1795829</v>
      </c>
      <c r="F19" s="1398"/>
      <c r="G19" s="1398">
        <f>D19</f>
        <v>4223961</v>
      </c>
      <c r="H19" s="1398">
        <f>E19</f>
        <v>1795829</v>
      </c>
      <c r="I19" s="1399"/>
      <c r="J19" s="1398">
        <v>4223961</v>
      </c>
      <c r="K19" s="1398">
        <v>1457298</v>
      </c>
      <c r="L19" s="1398"/>
      <c r="M19" s="1398">
        <f>J19</f>
        <v>4223961</v>
      </c>
      <c r="N19" s="1400">
        <f>K19</f>
        <v>1457298</v>
      </c>
    </row>
    <row r="20" spans="1:14" s="1401" customFormat="1" ht="22.5" customHeight="1">
      <c r="A20" s="1402"/>
      <c r="B20" s="1403"/>
      <c r="C20" s="1398" t="s">
        <v>36</v>
      </c>
      <c r="D20" s="1398">
        <v>14791959</v>
      </c>
      <c r="E20" s="1398"/>
      <c r="F20" s="1398"/>
      <c r="G20" s="1398">
        <f>D20</f>
        <v>14791959</v>
      </c>
      <c r="H20" s="1398"/>
      <c r="I20" s="1399"/>
      <c r="J20" s="1398">
        <v>15082018</v>
      </c>
      <c r="K20" s="1398">
        <v>553850</v>
      </c>
      <c r="L20" s="1398"/>
      <c r="M20" s="1398">
        <f>J20</f>
        <v>15082018</v>
      </c>
      <c r="N20" s="1400">
        <f>K20</f>
        <v>553850</v>
      </c>
    </row>
    <row r="21" spans="1:9" s="1340" customFormat="1" ht="12.75">
      <c r="A21" s="1337"/>
      <c r="B21" s="1338"/>
      <c r="C21" s="1339"/>
      <c r="H21" s="1341"/>
      <c r="I21" s="1341"/>
    </row>
    <row r="22" spans="1:9" s="1340" customFormat="1" ht="12.75">
      <c r="A22" s="1337"/>
      <c r="B22" s="1338"/>
      <c r="C22" s="1339"/>
      <c r="H22" s="1341"/>
      <c r="I22" s="1341"/>
    </row>
    <row r="23" spans="1:12" s="1340" customFormat="1" ht="15">
      <c r="A23" s="1337"/>
      <c r="B23" s="1338"/>
      <c r="C23" s="683" t="s">
        <v>17</v>
      </c>
      <c r="H23" s="1341"/>
      <c r="I23" s="1341"/>
      <c r="L23" s="1584" t="s">
        <v>20</v>
      </c>
    </row>
    <row r="24" spans="1:12" s="1340" customFormat="1" ht="15">
      <c r="A24" s="1337"/>
      <c r="B24" s="1338"/>
      <c r="C24" s="1583" t="s">
        <v>19</v>
      </c>
      <c r="H24" s="1341"/>
      <c r="I24" s="1341"/>
      <c r="L24" s="1585" t="s">
        <v>18</v>
      </c>
    </row>
    <row r="25" spans="1:9" s="1340" customFormat="1" ht="12.75">
      <c r="A25" s="1337"/>
      <c r="B25" s="1338"/>
      <c r="C25" s="1339"/>
      <c r="H25" s="1341"/>
      <c r="I25" s="1341"/>
    </row>
    <row r="26" spans="1:9" s="1340" customFormat="1" ht="12.75">
      <c r="A26" s="1337"/>
      <c r="B26" s="1338"/>
      <c r="C26" s="1339"/>
      <c r="H26" s="1341"/>
      <c r="I26" s="1341"/>
    </row>
    <row r="27" spans="1:9" s="1340" customFormat="1" ht="12.75">
      <c r="A27" s="1337"/>
      <c r="B27" s="1338"/>
      <c r="C27" s="1339"/>
      <c r="H27" s="1341"/>
      <c r="I27" s="1341"/>
    </row>
    <row r="28" spans="1:9" s="1340" customFormat="1" ht="12.75">
      <c r="A28" s="1337"/>
      <c r="B28" s="1338"/>
      <c r="C28" s="1339"/>
      <c r="H28" s="1341"/>
      <c r="I28" s="1341"/>
    </row>
    <row r="29" spans="1:9" s="1340" customFormat="1" ht="12.75">
      <c r="A29" s="1337"/>
      <c r="B29" s="1338"/>
      <c r="C29" s="1339"/>
      <c r="H29" s="1341"/>
      <c r="I29" s="1341"/>
    </row>
    <row r="30" spans="1:9" s="1340" customFormat="1" ht="12.75">
      <c r="A30" s="1337"/>
      <c r="B30" s="1338"/>
      <c r="C30" s="1339"/>
      <c r="H30" s="1341"/>
      <c r="I30" s="1341"/>
    </row>
    <row r="31" spans="1:9" s="1340" customFormat="1" ht="12.75">
      <c r="A31" s="1337"/>
      <c r="B31" s="1338"/>
      <c r="C31" s="1339"/>
      <c r="H31" s="1341"/>
      <c r="I31" s="1341"/>
    </row>
    <row r="32" spans="1:9" s="1340" customFormat="1" ht="12.75">
      <c r="A32" s="1337"/>
      <c r="B32" s="1338"/>
      <c r="C32" s="1339"/>
      <c r="H32" s="1341"/>
      <c r="I32" s="1341"/>
    </row>
    <row r="33" spans="1:9" s="1340" customFormat="1" ht="12.75">
      <c r="A33" s="1337"/>
      <c r="B33" s="1338"/>
      <c r="C33" s="1339"/>
      <c r="H33" s="1341"/>
      <c r="I33" s="1341"/>
    </row>
    <row r="34" spans="1:9" s="1340" customFormat="1" ht="12.75">
      <c r="A34" s="1337"/>
      <c r="B34" s="1338"/>
      <c r="C34" s="1339"/>
      <c r="H34" s="1341"/>
      <c r="I34" s="1341"/>
    </row>
    <row r="35" spans="1:9" s="1340" customFormat="1" ht="12.75">
      <c r="A35" s="1337"/>
      <c r="B35" s="1338"/>
      <c r="C35" s="1339"/>
      <c r="H35" s="1341"/>
      <c r="I35" s="1341"/>
    </row>
    <row r="36" spans="1:9" s="1340" customFormat="1" ht="12.75">
      <c r="A36" s="1337"/>
      <c r="B36" s="1338"/>
      <c r="C36" s="1339"/>
      <c r="H36" s="1341"/>
      <c r="I36" s="1341"/>
    </row>
    <row r="37" spans="1:9" s="1340" customFormat="1" ht="12.75">
      <c r="A37" s="1337"/>
      <c r="B37" s="1338"/>
      <c r="C37" s="1339"/>
      <c r="H37" s="1341"/>
      <c r="I37" s="1341"/>
    </row>
    <row r="38" spans="1:9" s="1340" customFormat="1" ht="12.75">
      <c r="A38" s="1337"/>
      <c r="B38" s="1338"/>
      <c r="C38" s="1339"/>
      <c r="H38" s="1341"/>
      <c r="I38" s="1341"/>
    </row>
    <row r="39" spans="1:9" s="1340" customFormat="1" ht="12.75">
      <c r="A39" s="1337"/>
      <c r="B39" s="1338"/>
      <c r="C39" s="1339"/>
      <c r="H39" s="1341"/>
      <c r="I39" s="1341"/>
    </row>
    <row r="40" spans="1:9" s="1340" customFormat="1" ht="12.75">
      <c r="A40" s="1337"/>
      <c r="B40" s="1338"/>
      <c r="C40" s="1339"/>
      <c r="H40" s="1341"/>
      <c r="I40" s="1341"/>
    </row>
    <row r="41" spans="1:9" s="1340" customFormat="1" ht="12.75">
      <c r="A41" s="1337"/>
      <c r="B41" s="1338"/>
      <c r="C41" s="1339"/>
      <c r="H41" s="1341"/>
      <c r="I41" s="1341"/>
    </row>
    <row r="42" spans="1:9" s="1340" customFormat="1" ht="12.75">
      <c r="A42" s="1337"/>
      <c r="B42" s="1338"/>
      <c r="C42" s="1339"/>
      <c r="H42" s="1341"/>
      <c r="I42" s="1341"/>
    </row>
    <row r="43" spans="1:9" s="1340" customFormat="1" ht="12.75">
      <c r="A43" s="1337"/>
      <c r="B43" s="1338"/>
      <c r="C43" s="1339"/>
      <c r="H43" s="1341"/>
      <c r="I43" s="1341"/>
    </row>
    <row r="44" spans="1:9" s="1340" customFormat="1" ht="12.75">
      <c r="A44" s="1337"/>
      <c r="B44" s="1338"/>
      <c r="C44" s="1339"/>
      <c r="H44" s="1341"/>
      <c r="I44" s="1341"/>
    </row>
    <row r="45" spans="1:9" s="1340" customFormat="1" ht="12.75">
      <c r="A45" s="1337"/>
      <c r="B45" s="1338"/>
      <c r="C45" s="1339"/>
      <c r="H45" s="1341"/>
      <c r="I45" s="1341"/>
    </row>
    <row r="46" spans="1:9" s="1340" customFormat="1" ht="12.75">
      <c r="A46" s="1337"/>
      <c r="B46" s="1338"/>
      <c r="C46" s="1339"/>
      <c r="H46" s="1341"/>
      <c r="I46" s="1341"/>
    </row>
    <row r="47" spans="1:9" s="1340" customFormat="1" ht="12.75">
      <c r="A47" s="1337"/>
      <c r="B47" s="1338"/>
      <c r="C47" s="1339"/>
      <c r="H47" s="1341"/>
      <c r="I47" s="1341"/>
    </row>
    <row r="48" spans="1:9" s="1340" customFormat="1" ht="12.75">
      <c r="A48" s="1337"/>
      <c r="B48" s="1338"/>
      <c r="C48" s="1339"/>
      <c r="H48" s="1341"/>
      <c r="I48" s="1341"/>
    </row>
    <row r="49" spans="1:9" s="1340" customFormat="1" ht="12.75">
      <c r="A49" s="1337"/>
      <c r="B49" s="1338"/>
      <c r="C49" s="1339"/>
      <c r="H49" s="1341"/>
      <c r="I49" s="1341"/>
    </row>
    <row r="50" spans="1:9" s="1340" customFormat="1" ht="12.75">
      <c r="A50" s="1337"/>
      <c r="B50" s="1338"/>
      <c r="C50" s="1339"/>
      <c r="H50" s="1341"/>
      <c r="I50" s="1341"/>
    </row>
    <row r="51" spans="1:9" s="1340" customFormat="1" ht="12.75">
      <c r="A51" s="1337"/>
      <c r="B51" s="1338"/>
      <c r="C51" s="1339"/>
      <c r="H51" s="1341"/>
      <c r="I51" s="1341"/>
    </row>
    <row r="52" spans="1:9" s="1340" customFormat="1" ht="12.75">
      <c r="A52" s="1337"/>
      <c r="B52" s="1338"/>
      <c r="C52" s="1339"/>
      <c r="H52" s="1341"/>
      <c r="I52" s="1341"/>
    </row>
    <row r="53" spans="1:9" s="1340" customFormat="1" ht="12.75">
      <c r="A53" s="1337"/>
      <c r="B53" s="1338"/>
      <c r="C53" s="1339"/>
      <c r="H53" s="1341"/>
      <c r="I53" s="1341"/>
    </row>
    <row r="54" spans="1:9" s="1340" customFormat="1" ht="12.75">
      <c r="A54" s="1337"/>
      <c r="B54" s="1338"/>
      <c r="C54" s="1339"/>
      <c r="H54" s="1341"/>
      <c r="I54" s="1341"/>
    </row>
    <row r="55" spans="1:9" s="1340" customFormat="1" ht="12.75">
      <c r="A55" s="1337"/>
      <c r="B55" s="1338"/>
      <c r="C55" s="1339"/>
      <c r="H55" s="1341"/>
      <c r="I55" s="1341"/>
    </row>
    <row r="56" spans="1:9" s="1340" customFormat="1" ht="12.75">
      <c r="A56" s="1337"/>
      <c r="B56" s="1338"/>
      <c r="C56" s="1339"/>
      <c r="H56" s="1341"/>
      <c r="I56" s="1341"/>
    </row>
    <row r="57" spans="1:9" s="1340" customFormat="1" ht="12.75">
      <c r="A57" s="1337"/>
      <c r="B57" s="1338"/>
      <c r="C57" s="1339"/>
      <c r="H57" s="1341"/>
      <c r="I57" s="1341"/>
    </row>
    <row r="58" spans="1:9" s="1340" customFormat="1" ht="12.75">
      <c r="A58" s="1337"/>
      <c r="B58" s="1338"/>
      <c r="C58" s="1339"/>
      <c r="H58" s="1341"/>
      <c r="I58" s="1341"/>
    </row>
    <row r="59" spans="1:9" s="1340" customFormat="1" ht="12.75">
      <c r="A59" s="1337"/>
      <c r="B59" s="1338"/>
      <c r="C59" s="1339"/>
      <c r="H59" s="1341"/>
      <c r="I59" s="1341"/>
    </row>
    <row r="60" spans="1:9" s="1340" customFormat="1" ht="12.75">
      <c r="A60" s="1337"/>
      <c r="B60" s="1338"/>
      <c r="C60" s="1339"/>
      <c r="H60" s="1341"/>
      <c r="I60" s="1341"/>
    </row>
    <row r="61" spans="1:9" s="1340" customFormat="1" ht="12.75">
      <c r="A61" s="1337"/>
      <c r="B61" s="1338"/>
      <c r="C61" s="1339"/>
      <c r="H61" s="1341"/>
      <c r="I61" s="1341"/>
    </row>
    <row r="62" spans="1:9" s="1340" customFormat="1" ht="12.75">
      <c r="A62" s="1337"/>
      <c r="B62" s="1338"/>
      <c r="C62" s="1339"/>
      <c r="H62" s="1341"/>
      <c r="I62" s="1341"/>
    </row>
    <row r="63" spans="1:9" s="1340" customFormat="1" ht="12.75">
      <c r="A63" s="1337"/>
      <c r="B63" s="1338"/>
      <c r="C63" s="1339"/>
      <c r="H63" s="1341"/>
      <c r="I63" s="1341"/>
    </row>
  </sheetData>
  <mergeCells count="4">
    <mergeCell ref="D7:E7"/>
    <mergeCell ref="G7:H7"/>
    <mergeCell ref="J7:K7"/>
    <mergeCell ref="M7:N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65" r:id="rId1"/>
  <headerFooter alignWithMargins="0"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7"/>
  <sheetViews>
    <sheetView workbookViewId="0" topLeftCell="A1">
      <selection activeCell="E22" sqref="E22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4.00390625" style="0" customWidth="1"/>
    <col min="4" max="4" width="22.75390625" style="0" customWidth="1"/>
    <col min="5" max="5" width="15.75390625" style="0" customWidth="1"/>
    <col min="6" max="6" width="16.00390625" style="0" customWidth="1"/>
    <col min="7" max="7" width="43.625" style="0" customWidth="1"/>
  </cols>
  <sheetData>
    <row r="1" ht="12.75">
      <c r="G1" s="188" t="s">
        <v>566</v>
      </c>
    </row>
    <row r="2" spans="1:7" ht="15.75">
      <c r="A2" s="121" t="s">
        <v>579</v>
      </c>
      <c r="G2" s="11" t="s">
        <v>164</v>
      </c>
    </row>
    <row r="3" spans="1:36" s="10" customFormat="1" ht="16.5" customHeight="1">
      <c r="A3" s="121" t="s">
        <v>458</v>
      </c>
      <c r="G3" s="11" t="s">
        <v>272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0" customFormat="1" ht="14.25" customHeight="1">
      <c r="A4" s="121"/>
      <c r="G4" s="11" t="s">
        <v>355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ht="18.75" customHeight="1" thickBot="1">
      <c r="G5" s="20" t="s">
        <v>580</v>
      </c>
    </row>
    <row r="6" spans="1:36" s="11" customFormat="1" ht="93.75" customHeight="1" thickBot="1" thickTop="1">
      <c r="A6" s="9" t="s">
        <v>179</v>
      </c>
      <c r="B6" s="345" t="s">
        <v>186</v>
      </c>
      <c r="C6" s="345" t="s">
        <v>581</v>
      </c>
      <c r="D6" s="346" t="s">
        <v>491</v>
      </c>
      <c r="E6" s="346" t="s">
        <v>187</v>
      </c>
      <c r="F6" s="346" t="s">
        <v>582</v>
      </c>
      <c r="G6" s="346" t="s">
        <v>583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1" customFormat="1" ht="15.75" customHeight="1" thickBot="1" thickTop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350" customFormat="1" ht="18" customHeight="1" thickTop="1">
      <c r="A8" s="347"/>
      <c r="B8" s="347"/>
      <c r="C8" s="348" t="s">
        <v>584</v>
      </c>
      <c r="D8" s="349">
        <v>52435592</v>
      </c>
      <c r="E8" s="349">
        <f>E9+E10+E11+E12+E21</f>
        <v>0</v>
      </c>
      <c r="F8" s="349">
        <f>D8+E8</f>
        <v>52435592</v>
      </c>
      <c r="G8" s="34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30" customFormat="1" ht="18" customHeight="1" thickBot="1">
      <c r="A9" s="351"/>
      <c r="B9" s="351"/>
      <c r="C9" s="352" t="s">
        <v>585</v>
      </c>
      <c r="D9" s="353">
        <v>29718170</v>
      </c>
      <c r="E9" s="353"/>
      <c r="F9" s="353">
        <f aca="true" t="shared" si="0" ref="F9:F21">D9+E9</f>
        <v>29718170</v>
      </c>
      <c r="G9" s="35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s="130" customFormat="1" ht="18" customHeight="1" thickBot="1">
      <c r="A10" s="351"/>
      <c r="B10" s="351"/>
      <c r="C10" s="359" t="s">
        <v>586</v>
      </c>
      <c r="D10" s="360">
        <v>15786600</v>
      </c>
      <c r="E10" s="360"/>
      <c r="F10" s="360">
        <f t="shared" si="0"/>
        <v>15786600</v>
      </c>
      <c r="G10" s="36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s="130" customFormat="1" ht="18" customHeight="1" thickBot="1">
      <c r="A11" s="351"/>
      <c r="B11" s="351"/>
      <c r="C11" s="352" t="s">
        <v>588</v>
      </c>
      <c r="D11" s="360">
        <v>1650000</v>
      </c>
      <c r="E11" s="360"/>
      <c r="F11" s="360">
        <f t="shared" si="0"/>
        <v>1650000</v>
      </c>
      <c r="G11" s="36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s="130" customFormat="1" ht="26.25" thickBot="1">
      <c r="A12" s="351"/>
      <c r="B12" s="351"/>
      <c r="C12" s="364" t="s">
        <v>587</v>
      </c>
      <c r="D12" s="353">
        <v>322052</v>
      </c>
      <c r="E12" s="353">
        <f>E13+E17</f>
        <v>0</v>
      </c>
      <c r="F12" s="353">
        <f t="shared" si="0"/>
        <v>322052</v>
      </c>
      <c r="G12" s="35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s="11" customFormat="1" ht="26.25" thickBot="1">
      <c r="A13" s="341"/>
      <c r="B13" s="341"/>
      <c r="C13" s="1087" t="s">
        <v>457</v>
      </c>
      <c r="D13" s="355">
        <v>322052</v>
      </c>
      <c r="E13" s="355">
        <f>E14</f>
        <v>-6792</v>
      </c>
      <c r="F13" s="355">
        <f t="shared" si="0"/>
        <v>315260</v>
      </c>
      <c r="G13" s="35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94" customFormat="1" ht="18" customHeight="1" thickBot="1" thickTop="1">
      <c r="A14" s="988">
        <v>853</v>
      </c>
      <c r="B14" s="988"/>
      <c r="C14" s="1083" t="s">
        <v>389</v>
      </c>
      <c r="D14" s="1085">
        <v>322052</v>
      </c>
      <c r="E14" s="1085">
        <f>E15</f>
        <v>-6792</v>
      </c>
      <c r="F14" s="1085">
        <f t="shared" si="0"/>
        <v>315260</v>
      </c>
      <c r="G14" s="1083"/>
      <c r="H14" s="1084"/>
      <c r="I14" s="1084"/>
      <c r="J14" s="1084"/>
      <c r="K14" s="1084"/>
      <c r="L14" s="1084"/>
      <c r="M14" s="1084"/>
      <c r="N14" s="1084"/>
      <c r="O14" s="1084"/>
      <c r="P14" s="1084"/>
      <c r="Q14" s="1084"/>
      <c r="R14" s="1084"/>
      <c r="S14" s="1084"/>
      <c r="T14" s="1084"/>
      <c r="U14" s="1084"/>
      <c r="V14" s="1084"/>
      <c r="W14" s="1084"/>
      <c r="X14" s="1084"/>
      <c r="Y14" s="1084"/>
      <c r="Z14" s="1084"/>
      <c r="AA14" s="1084"/>
      <c r="AB14" s="1084"/>
      <c r="AC14" s="1084"/>
      <c r="AD14" s="1084"/>
      <c r="AE14" s="1084"/>
      <c r="AF14" s="1084"/>
      <c r="AG14" s="1084"/>
      <c r="AH14" s="1084"/>
      <c r="AI14" s="1084"/>
      <c r="AJ14" s="1084"/>
    </row>
    <row r="15" spans="1:36" s="363" customFormat="1" ht="18" customHeight="1">
      <c r="A15" s="125"/>
      <c r="B15" s="14">
        <v>85311</v>
      </c>
      <c r="C15" s="792" t="s">
        <v>216</v>
      </c>
      <c r="D15" s="362">
        <v>322052</v>
      </c>
      <c r="E15" s="362">
        <f>E16</f>
        <v>-6792</v>
      </c>
      <c r="F15" s="362">
        <f t="shared" si="0"/>
        <v>315260</v>
      </c>
      <c r="G15" s="79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1" customFormat="1" ht="25.5">
      <c r="A16" s="125"/>
      <c r="B16" s="1088"/>
      <c r="C16" s="1491" t="s">
        <v>218</v>
      </c>
      <c r="D16" s="1089">
        <v>138052</v>
      </c>
      <c r="E16" s="1089">
        <v>-6792</v>
      </c>
      <c r="F16" s="1089">
        <f t="shared" si="0"/>
        <v>131260</v>
      </c>
      <c r="G16" s="21" t="s">
        <v>105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7" ht="18" customHeight="1" thickBot="1">
      <c r="A17" s="365"/>
      <c r="B17" s="365"/>
      <c r="C17" s="1086" t="s">
        <v>77</v>
      </c>
      <c r="D17" s="41"/>
      <c r="E17" s="1093">
        <f>E18</f>
        <v>6792</v>
      </c>
      <c r="F17" s="1093">
        <f t="shared" si="0"/>
        <v>6792</v>
      </c>
      <c r="G17" s="208"/>
    </row>
    <row r="18" spans="1:36" s="94" customFormat="1" ht="18" customHeight="1" thickBot="1" thickTop="1">
      <c r="A18" s="988">
        <v>853</v>
      </c>
      <c r="B18" s="988"/>
      <c r="C18" s="1083" t="s">
        <v>389</v>
      </c>
      <c r="D18" s="1085"/>
      <c r="E18" s="1085">
        <f>E19</f>
        <v>6792</v>
      </c>
      <c r="F18" s="1085">
        <f t="shared" si="0"/>
        <v>6792</v>
      </c>
      <c r="G18" s="1083"/>
      <c r="H18" s="1084"/>
      <c r="I18" s="1084"/>
      <c r="J18" s="1084"/>
      <c r="K18" s="1084"/>
      <c r="L18" s="1084"/>
      <c r="M18" s="1084"/>
      <c r="N18" s="1084"/>
      <c r="O18" s="1084"/>
      <c r="P18" s="1084"/>
      <c r="Q18" s="1084"/>
      <c r="R18" s="1084"/>
      <c r="S18" s="1084"/>
      <c r="T18" s="1084"/>
      <c r="U18" s="1084"/>
      <c r="V18" s="1084"/>
      <c r="W18" s="1084"/>
      <c r="X18" s="1084"/>
      <c r="Y18" s="1084"/>
      <c r="Z18" s="1084"/>
      <c r="AA18" s="1084"/>
      <c r="AB18" s="1084"/>
      <c r="AC18" s="1084"/>
      <c r="AD18" s="1084"/>
      <c r="AE18" s="1084"/>
      <c r="AF18" s="1084"/>
      <c r="AG18" s="1084"/>
      <c r="AH18" s="1084"/>
      <c r="AI18" s="1084"/>
      <c r="AJ18" s="1084"/>
    </row>
    <row r="19" spans="1:36" s="363" customFormat="1" ht="18" customHeight="1">
      <c r="A19" s="125"/>
      <c r="B19" s="14">
        <v>85311</v>
      </c>
      <c r="C19" s="792" t="s">
        <v>216</v>
      </c>
      <c r="D19" s="362"/>
      <c r="E19" s="362">
        <f>E20</f>
        <v>6792</v>
      </c>
      <c r="F19" s="362">
        <f t="shared" si="0"/>
        <v>6792</v>
      </c>
      <c r="G19" s="79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7" ht="25.5">
      <c r="A20" s="365"/>
      <c r="B20" s="365"/>
      <c r="C20" s="1091" t="s">
        <v>218</v>
      </c>
      <c r="D20" s="1092"/>
      <c r="E20" s="1492">
        <v>6792</v>
      </c>
      <c r="F20" s="1492">
        <f t="shared" si="0"/>
        <v>6792</v>
      </c>
      <c r="G20" s="21" t="s">
        <v>105</v>
      </c>
    </row>
    <row r="21" spans="1:36" s="130" customFormat="1" ht="25.5">
      <c r="A21" s="171"/>
      <c r="B21" s="171"/>
      <c r="C21" s="1094" t="s">
        <v>589</v>
      </c>
      <c r="D21" s="357">
        <v>4957270</v>
      </c>
      <c r="E21" s="357"/>
      <c r="F21" s="357">
        <f t="shared" si="0"/>
        <v>4957270</v>
      </c>
      <c r="G21" s="35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s="130" customFormat="1" ht="30.75" customHeight="1">
      <c r="A22" s="417"/>
      <c r="B22" s="417"/>
      <c r="C22" s="418"/>
      <c r="D22" s="419"/>
      <c r="E22" s="419"/>
      <c r="F22" s="419"/>
      <c r="G22" s="41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s="130" customFormat="1" ht="16.5" customHeight="1">
      <c r="A23" s="417"/>
      <c r="B23" s="417"/>
      <c r="C23" s="328" t="s">
        <v>17</v>
      </c>
      <c r="D23" s="419"/>
      <c r="E23" s="419"/>
      <c r="F23" s="419"/>
      <c r="G23" s="453" t="s">
        <v>20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s="130" customFormat="1" ht="15" customHeight="1">
      <c r="A24" s="417"/>
      <c r="B24" s="417"/>
      <c r="C24" s="36" t="s">
        <v>19</v>
      </c>
      <c r="D24" s="419"/>
      <c r="E24" s="419"/>
      <c r="F24" s="419"/>
      <c r="G24" s="1475" t="s">
        <v>18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130" customFormat="1" ht="30.75" customHeight="1">
      <c r="A25" s="417"/>
      <c r="B25" s="417"/>
      <c r="C25" s="418"/>
      <c r="D25" s="419"/>
      <c r="E25" s="419"/>
      <c r="F25" s="419"/>
      <c r="G25" s="41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s="130" customFormat="1" ht="30.75" customHeight="1">
      <c r="A26" s="417"/>
      <c r="B26" s="417"/>
      <c r="C26" s="418"/>
      <c r="D26" s="419"/>
      <c r="E26" s="419"/>
      <c r="F26" s="419"/>
      <c r="G26" s="4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s="130" customFormat="1" ht="30.75" customHeight="1">
      <c r="A27" s="417"/>
      <c r="B27" s="417"/>
      <c r="C27" s="418"/>
      <c r="D27" s="419"/>
      <c r="E27" s="419"/>
      <c r="F27" s="419"/>
      <c r="G27" s="41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</sheetData>
  <printOptions/>
  <pageMargins left="0.3937007874015748" right="0.3937007874015748" top="0.5905511811023623" bottom="0.7874015748031497" header="0.5118110236220472" footer="0.5118110236220472"/>
  <pageSetup firstPageNumber="15" useFirstPageNumber="1" horizontalDpi="600" verticalDpi="6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86"/>
  <sheetViews>
    <sheetView workbookViewId="0" topLeftCell="A34">
      <selection activeCell="D59" sqref="D59"/>
    </sheetView>
  </sheetViews>
  <sheetFormatPr defaultColWidth="9.00390625" defaultRowHeight="12.75"/>
  <cols>
    <col min="1" max="1" width="6.75390625" style="591" customWidth="1"/>
    <col min="2" max="2" width="8.625" style="591" customWidth="1"/>
    <col min="3" max="3" width="6.75390625" style="591" customWidth="1"/>
    <col min="4" max="4" width="76.875" style="591" customWidth="1"/>
    <col min="5" max="5" width="22.125" style="591" customWidth="1"/>
    <col min="6" max="6" width="17.00390625" style="591" customWidth="1"/>
    <col min="7" max="7" width="20.875" style="591" customWidth="1"/>
    <col min="8" max="8" width="5.00390625" style="591" customWidth="1"/>
    <col min="9" max="9" width="5.875" style="591" customWidth="1"/>
    <col min="10" max="10" width="10.125" style="591" customWidth="1"/>
    <col min="11" max="16384" width="9.125" style="591" customWidth="1"/>
  </cols>
  <sheetData>
    <row r="1" s="328" customFormat="1" ht="15" customHeight="1">
      <c r="G1" s="328" t="s">
        <v>567</v>
      </c>
    </row>
    <row r="2" s="328" customFormat="1" ht="15" customHeight="1">
      <c r="G2" s="328" t="s">
        <v>163</v>
      </c>
    </row>
    <row r="3" spans="1:7" s="594" customFormat="1" ht="15" customHeight="1">
      <c r="A3" s="593" t="s">
        <v>607</v>
      </c>
      <c r="B3" s="593"/>
      <c r="C3" s="593"/>
      <c r="G3" s="594" t="s">
        <v>272</v>
      </c>
    </row>
    <row r="4" s="594" customFormat="1" ht="15" customHeight="1">
      <c r="G4" s="594" t="s">
        <v>355</v>
      </c>
    </row>
    <row r="5" s="594" customFormat="1" ht="15.75" customHeight="1"/>
    <row r="6" s="594" customFormat="1" ht="13.5" thickBot="1">
      <c r="G6" s="20" t="s">
        <v>184</v>
      </c>
    </row>
    <row r="7" spans="1:12" s="599" customFormat="1" ht="67.5" customHeight="1" thickBot="1" thickTop="1">
      <c r="A7" s="58" t="s">
        <v>179</v>
      </c>
      <c r="B7" s="595" t="s">
        <v>180</v>
      </c>
      <c r="C7" s="58" t="s">
        <v>276</v>
      </c>
      <c r="D7" s="596" t="s">
        <v>412</v>
      </c>
      <c r="E7" s="597" t="s">
        <v>310</v>
      </c>
      <c r="F7" s="597" t="s">
        <v>187</v>
      </c>
      <c r="G7" s="597" t="s">
        <v>188</v>
      </c>
      <c r="H7" s="598"/>
      <c r="I7" s="598"/>
      <c r="J7" s="598"/>
      <c r="K7" s="598"/>
      <c r="L7" s="598"/>
    </row>
    <row r="8" spans="1:12" s="604" customFormat="1" ht="15" customHeight="1" thickBot="1" thickTop="1">
      <c r="A8" s="600">
        <v>1</v>
      </c>
      <c r="B8" s="600">
        <v>2</v>
      </c>
      <c r="C8" s="600">
        <v>3</v>
      </c>
      <c r="D8" s="601">
        <v>4</v>
      </c>
      <c r="E8" s="602">
        <v>5</v>
      </c>
      <c r="F8" s="602">
        <v>6</v>
      </c>
      <c r="G8" s="602">
        <v>7</v>
      </c>
      <c r="H8" s="603"/>
      <c r="I8" s="603"/>
      <c r="J8" s="603"/>
      <c r="K8" s="603"/>
      <c r="L8" s="603"/>
    </row>
    <row r="9" spans="1:12" s="599" customFormat="1" ht="23.25" customHeight="1" thickBot="1" thickTop="1">
      <c r="A9" s="605"/>
      <c r="B9" s="605"/>
      <c r="C9" s="605"/>
      <c r="D9" s="606" t="s">
        <v>181</v>
      </c>
      <c r="E9" s="607">
        <v>968319038</v>
      </c>
      <c r="F9" s="607">
        <f>F11+F25</f>
        <v>1236426</v>
      </c>
      <c r="G9" s="607">
        <f>E9+F9</f>
        <v>969555464</v>
      </c>
      <c r="H9" s="608"/>
      <c r="I9" s="608"/>
      <c r="J9" s="608"/>
      <c r="K9" s="598"/>
      <c r="L9" s="598"/>
    </row>
    <row r="10" spans="1:12" s="599" customFormat="1" ht="15" customHeight="1">
      <c r="A10" s="609"/>
      <c r="B10" s="609"/>
      <c r="C10" s="609"/>
      <c r="D10" s="610" t="s">
        <v>182</v>
      </c>
      <c r="E10" s="611"/>
      <c r="F10" s="611"/>
      <c r="G10" s="611"/>
      <c r="H10" s="598"/>
      <c r="I10" s="598"/>
      <c r="J10" s="608"/>
      <c r="K10" s="598"/>
      <c r="L10" s="598"/>
    </row>
    <row r="11" spans="1:12" s="599" customFormat="1" ht="16.5" customHeight="1" thickBot="1">
      <c r="A11" s="612"/>
      <c r="B11" s="612"/>
      <c r="C11" s="612"/>
      <c r="D11" s="613" t="s">
        <v>39</v>
      </c>
      <c r="E11" s="614">
        <v>685614709</v>
      </c>
      <c r="F11" s="614">
        <f>F12+F13+F14+F19+F20</f>
        <v>33297</v>
      </c>
      <c r="G11" s="614">
        <f aca="true" t="shared" si="0" ref="G11:G28">E11+F11</f>
        <v>685648006</v>
      </c>
      <c r="H11" s="608"/>
      <c r="I11" s="598"/>
      <c r="J11" s="608"/>
      <c r="K11" s="598"/>
      <c r="L11" s="598"/>
    </row>
    <row r="12" spans="1:12" s="599" customFormat="1" ht="19.5" customHeight="1" thickBot="1">
      <c r="A12" s="609"/>
      <c r="B12" s="609"/>
      <c r="C12" s="609"/>
      <c r="D12" s="615" t="s">
        <v>183</v>
      </c>
      <c r="E12" s="616">
        <v>449333899</v>
      </c>
      <c r="F12" s="616"/>
      <c r="G12" s="616">
        <f t="shared" si="0"/>
        <v>449333899</v>
      </c>
      <c r="H12" s="598"/>
      <c r="I12" s="598"/>
      <c r="J12" s="608"/>
      <c r="K12" s="598"/>
      <c r="L12" s="598"/>
    </row>
    <row r="13" spans="1:10" s="594" customFormat="1" ht="19.5" customHeight="1" thickBot="1" thickTop="1">
      <c r="A13" s="567"/>
      <c r="B13" s="567"/>
      <c r="C13" s="567"/>
      <c r="D13" s="615" t="s">
        <v>194</v>
      </c>
      <c r="E13" s="617">
        <v>115171669</v>
      </c>
      <c r="F13" s="617"/>
      <c r="G13" s="617">
        <f t="shared" si="0"/>
        <v>115171669</v>
      </c>
      <c r="J13" s="608"/>
    </row>
    <row r="14" spans="1:10" s="594" customFormat="1" ht="19.5" customHeight="1" thickBot="1" thickTop="1">
      <c r="A14" s="618"/>
      <c r="B14" s="618"/>
      <c r="C14" s="618"/>
      <c r="D14" s="619" t="s">
        <v>190</v>
      </c>
      <c r="E14" s="620">
        <v>31600040</v>
      </c>
      <c r="F14" s="621">
        <f>F15</f>
        <v>9697</v>
      </c>
      <c r="G14" s="621">
        <f t="shared" si="0"/>
        <v>31609737</v>
      </c>
      <c r="J14" s="608"/>
    </row>
    <row r="15" spans="1:10" ht="19.5" customHeight="1" thickBot="1" thickTop="1">
      <c r="A15" s="1243">
        <v>801</v>
      </c>
      <c r="B15" s="1243"/>
      <c r="C15" s="1243"/>
      <c r="D15" s="1244" t="s">
        <v>395</v>
      </c>
      <c r="E15" s="1245">
        <v>2106419</v>
      </c>
      <c r="F15" s="1245">
        <f>F16</f>
        <v>9697</v>
      </c>
      <c r="G15" s="1245">
        <f t="shared" si="0"/>
        <v>2116116</v>
      </c>
      <c r="J15" s="17"/>
    </row>
    <row r="16" spans="1:10" ht="18.75" customHeight="1">
      <c r="A16" s="1246"/>
      <c r="B16" s="1247">
        <v>80195</v>
      </c>
      <c r="C16" s="1247"/>
      <c r="D16" s="1248" t="s">
        <v>401</v>
      </c>
      <c r="E16" s="1249"/>
      <c r="F16" s="1249">
        <f>F17</f>
        <v>9697</v>
      </c>
      <c r="G16" s="1249">
        <f t="shared" si="0"/>
        <v>9697</v>
      </c>
      <c r="J16" s="17"/>
    </row>
    <row r="17" spans="1:10" ht="25.5">
      <c r="A17" s="1250"/>
      <c r="B17" s="1250"/>
      <c r="C17" s="1251"/>
      <c r="D17" s="1272" t="s">
        <v>371</v>
      </c>
      <c r="E17" s="1252"/>
      <c r="F17" s="1252">
        <f>F18</f>
        <v>9697</v>
      </c>
      <c r="G17" s="1252">
        <f t="shared" si="0"/>
        <v>9697</v>
      </c>
      <c r="J17" s="17"/>
    </row>
    <row r="18" spans="1:10" s="36" customFormat="1" ht="18" customHeight="1">
      <c r="A18" s="740"/>
      <c r="B18" s="740"/>
      <c r="C18" s="751">
        <v>2030</v>
      </c>
      <c r="D18" s="747" t="s">
        <v>370</v>
      </c>
      <c r="E18" s="53"/>
      <c r="F18" s="743">
        <v>9697</v>
      </c>
      <c r="G18" s="743">
        <f t="shared" si="0"/>
        <v>9697</v>
      </c>
      <c r="J18" s="744"/>
    </row>
    <row r="19" spans="1:10" s="594" customFormat="1" ht="19.5" customHeight="1" thickBot="1">
      <c r="A19" s="618"/>
      <c r="B19" s="618"/>
      <c r="C19" s="618"/>
      <c r="D19" s="619" t="s">
        <v>202</v>
      </c>
      <c r="E19" s="620">
        <v>1765216</v>
      </c>
      <c r="F19" s="621"/>
      <c r="G19" s="621">
        <f t="shared" si="0"/>
        <v>1765216</v>
      </c>
      <c r="J19" s="608"/>
    </row>
    <row r="20" spans="1:10" s="594" customFormat="1" ht="19.5" customHeight="1" thickBot="1" thickTop="1">
      <c r="A20" s="618"/>
      <c r="B20" s="618"/>
      <c r="C20" s="618"/>
      <c r="D20" s="619" t="s">
        <v>158</v>
      </c>
      <c r="E20" s="620">
        <v>87743885</v>
      </c>
      <c r="F20" s="621">
        <f>F21</f>
        <v>23600</v>
      </c>
      <c r="G20" s="620">
        <f t="shared" si="0"/>
        <v>87767485</v>
      </c>
      <c r="J20" s="608"/>
    </row>
    <row r="21" spans="1:10" ht="19.5" customHeight="1" thickBot="1" thickTop="1">
      <c r="A21" s="1243">
        <v>852</v>
      </c>
      <c r="B21" s="1243"/>
      <c r="C21" s="1243"/>
      <c r="D21" s="1244" t="s">
        <v>324</v>
      </c>
      <c r="E21" s="1245">
        <v>86034552</v>
      </c>
      <c r="F21" s="1245">
        <f>F22</f>
        <v>23600</v>
      </c>
      <c r="G21" s="1245">
        <f t="shared" si="0"/>
        <v>86058152</v>
      </c>
      <c r="J21" s="17"/>
    </row>
    <row r="22" spans="1:10" ht="18.75" customHeight="1">
      <c r="A22" s="1246"/>
      <c r="B22" s="1247">
        <v>85278</v>
      </c>
      <c r="C22" s="1247"/>
      <c r="D22" s="1248" t="s">
        <v>157</v>
      </c>
      <c r="E22" s="1249">
        <v>37552</v>
      </c>
      <c r="F22" s="1249">
        <f>F23</f>
        <v>23600</v>
      </c>
      <c r="G22" s="1249">
        <f t="shared" si="0"/>
        <v>61152</v>
      </c>
      <c r="J22" s="17"/>
    </row>
    <row r="23" spans="1:10" ht="25.5">
      <c r="A23" s="1250"/>
      <c r="B23" s="1250"/>
      <c r="C23" s="1251"/>
      <c r="D23" s="172" t="s">
        <v>545</v>
      </c>
      <c r="E23" s="1252">
        <v>37552</v>
      </c>
      <c r="F23" s="1252">
        <f>F24</f>
        <v>23600</v>
      </c>
      <c r="G23" s="1252">
        <f t="shared" si="0"/>
        <v>61152</v>
      </c>
      <c r="J23" s="17"/>
    </row>
    <row r="24" spans="1:10" s="36" customFormat="1" ht="25.5">
      <c r="A24" s="740"/>
      <c r="B24" s="740"/>
      <c r="C24" s="32">
        <v>2010</v>
      </c>
      <c r="D24" s="1253" t="s">
        <v>367</v>
      </c>
      <c r="E24" s="53">
        <v>37552</v>
      </c>
      <c r="F24" s="743">
        <v>23600</v>
      </c>
      <c r="G24" s="743">
        <f t="shared" si="0"/>
        <v>61152</v>
      </c>
      <c r="J24" s="744"/>
    </row>
    <row r="25" spans="1:7" s="594" customFormat="1" ht="19.5" customHeight="1" thickBot="1">
      <c r="A25" s="622"/>
      <c r="B25" s="622"/>
      <c r="C25" s="622"/>
      <c r="D25" s="623" t="s">
        <v>178</v>
      </c>
      <c r="E25" s="624">
        <v>282704329</v>
      </c>
      <c r="F25" s="624">
        <f>F26+F27+F28+F29+F34</f>
        <v>1203129</v>
      </c>
      <c r="G25" s="624">
        <f t="shared" si="0"/>
        <v>283907458</v>
      </c>
    </row>
    <row r="26" spans="1:7" s="594" customFormat="1" ht="19.5" customHeight="1" thickBot="1">
      <c r="A26" s="609"/>
      <c r="B26" s="609"/>
      <c r="C26" s="609"/>
      <c r="D26" s="625" t="s">
        <v>191</v>
      </c>
      <c r="E26" s="620">
        <v>80742073</v>
      </c>
      <c r="F26" s="620"/>
      <c r="G26" s="620">
        <f t="shared" si="0"/>
        <v>80742073</v>
      </c>
    </row>
    <row r="27" spans="1:7" s="594" customFormat="1" ht="19.5" customHeight="1" thickBot="1" thickTop="1">
      <c r="A27" s="567"/>
      <c r="B27" s="567"/>
      <c r="C27" s="567"/>
      <c r="D27" s="1425" t="s">
        <v>189</v>
      </c>
      <c r="E27" s="1426">
        <v>142173147</v>
      </c>
      <c r="F27" s="1426"/>
      <c r="G27" s="1426">
        <f t="shared" si="0"/>
        <v>142173147</v>
      </c>
    </row>
    <row r="28" spans="1:7" s="594" customFormat="1" ht="19.5" customHeight="1" thickBot="1" thickTop="1">
      <c r="A28" s="626"/>
      <c r="B28" s="626"/>
      <c r="C28" s="626"/>
      <c r="D28" s="621" t="s">
        <v>190</v>
      </c>
      <c r="E28" s="620">
        <v>30789287</v>
      </c>
      <c r="F28" s="620"/>
      <c r="G28" s="620">
        <f t="shared" si="0"/>
        <v>30789287</v>
      </c>
    </row>
    <row r="29" spans="1:10" s="594" customFormat="1" ht="19.5" customHeight="1" thickBot="1" thickTop="1">
      <c r="A29" s="618"/>
      <c r="B29" s="618"/>
      <c r="C29" s="618"/>
      <c r="D29" s="619" t="s">
        <v>202</v>
      </c>
      <c r="E29" s="620">
        <v>4842415</v>
      </c>
      <c r="F29" s="621">
        <f>F30</f>
        <v>11558</v>
      </c>
      <c r="G29" s="621">
        <f aca="true" t="shared" si="1" ref="G29:G48">E29+F29</f>
        <v>4853973</v>
      </c>
      <c r="J29" s="608"/>
    </row>
    <row r="30" spans="1:10" s="594" customFormat="1" ht="19.5" customHeight="1" thickBot="1" thickTop="1">
      <c r="A30" s="736">
        <v>853</v>
      </c>
      <c r="B30" s="736"/>
      <c r="C30" s="736"/>
      <c r="D30" s="565" t="s">
        <v>389</v>
      </c>
      <c r="E30" s="566"/>
      <c r="F30" s="566">
        <f>F31</f>
        <v>11558</v>
      </c>
      <c r="G30" s="566">
        <f t="shared" si="1"/>
        <v>11558</v>
      </c>
      <c r="J30" s="608"/>
    </row>
    <row r="31" spans="1:10" s="594" customFormat="1" ht="18.75" customHeight="1">
      <c r="A31" s="567"/>
      <c r="B31" s="568">
        <v>85311</v>
      </c>
      <c r="C31" s="568"/>
      <c r="D31" s="537" t="s">
        <v>216</v>
      </c>
      <c r="E31" s="570"/>
      <c r="F31" s="570">
        <f>F32</f>
        <v>11558</v>
      </c>
      <c r="G31" s="570">
        <f t="shared" si="1"/>
        <v>11558</v>
      </c>
      <c r="J31" s="608"/>
    </row>
    <row r="32" spans="1:10" s="594" customFormat="1" ht="25.5">
      <c r="A32" s="609"/>
      <c r="B32" s="609"/>
      <c r="C32" s="609"/>
      <c r="D32" s="750" t="s">
        <v>217</v>
      </c>
      <c r="E32" s="746"/>
      <c r="F32" s="746">
        <f>F33</f>
        <v>11558</v>
      </c>
      <c r="G32" s="746">
        <f t="shared" si="1"/>
        <v>11558</v>
      </c>
      <c r="J32" s="608"/>
    </row>
    <row r="33" spans="1:10" s="36" customFormat="1" ht="25.5">
      <c r="A33" s="751"/>
      <c r="B33" s="751"/>
      <c r="C33" s="741">
        <v>2320</v>
      </c>
      <c r="D33" s="987" t="s">
        <v>215</v>
      </c>
      <c r="E33" s="53"/>
      <c r="F33" s="743">
        <v>11558</v>
      </c>
      <c r="G33" s="743">
        <f t="shared" si="1"/>
        <v>11558</v>
      </c>
      <c r="J33" s="744"/>
    </row>
    <row r="34" spans="1:10" s="594" customFormat="1" ht="19.5" customHeight="1" thickBot="1">
      <c r="A34" s="569"/>
      <c r="B34" s="569"/>
      <c r="C34" s="569"/>
      <c r="D34" s="619" t="s">
        <v>394</v>
      </c>
      <c r="E34" s="620">
        <v>24157407</v>
      </c>
      <c r="F34" s="621">
        <f>F45+F39+F35</f>
        <v>1191571</v>
      </c>
      <c r="G34" s="621">
        <f t="shared" si="1"/>
        <v>25348978</v>
      </c>
      <c r="J34" s="608"/>
    </row>
    <row r="35" spans="1:10" s="594" customFormat="1" ht="19.5" customHeight="1" thickBot="1" thickTop="1">
      <c r="A35" s="1264">
        <v>700</v>
      </c>
      <c r="B35" s="207"/>
      <c r="C35" s="1265"/>
      <c r="D35" s="1266" t="s">
        <v>161</v>
      </c>
      <c r="E35" s="566">
        <v>827500</v>
      </c>
      <c r="F35" s="566">
        <f>F36</f>
        <v>173650</v>
      </c>
      <c r="G35" s="566">
        <f t="shared" si="1"/>
        <v>1001150</v>
      </c>
      <c r="J35" s="608"/>
    </row>
    <row r="36" spans="1:10" s="594" customFormat="1" ht="18.75" customHeight="1">
      <c r="A36" s="1267"/>
      <c r="B36" s="1268">
        <v>70005</v>
      </c>
      <c r="C36" s="398"/>
      <c r="D36" s="1269" t="s">
        <v>622</v>
      </c>
      <c r="E36" s="570">
        <v>827500</v>
      </c>
      <c r="F36" s="570">
        <f>F37</f>
        <v>173650</v>
      </c>
      <c r="G36" s="570">
        <f t="shared" si="1"/>
        <v>1001150</v>
      </c>
      <c r="J36" s="608"/>
    </row>
    <row r="37" spans="1:10" s="328" customFormat="1" ht="25.5">
      <c r="A37" s="1099"/>
      <c r="B37" s="1270"/>
      <c r="C37" s="1271"/>
      <c r="D37" s="1272" t="s">
        <v>368</v>
      </c>
      <c r="E37" s="738">
        <v>827500</v>
      </c>
      <c r="F37" s="738">
        <f>F38</f>
        <v>173650</v>
      </c>
      <c r="G37" s="738">
        <f t="shared" si="1"/>
        <v>1001150</v>
      </c>
      <c r="J37" s="739"/>
    </row>
    <row r="38" spans="1:10" s="36" customFormat="1" ht="25.5">
      <c r="A38" s="1273"/>
      <c r="B38" s="32"/>
      <c r="C38" s="1262">
        <v>2110</v>
      </c>
      <c r="D38" s="1274" t="s">
        <v>329</v>
      </c>
      <c r="E38" s="1100">
        <v>827500</v>
      </c>
      <c r="F38" s="1263">
        <v>173650</v>
      </c>
      <c r="G38" s="1263">
        <f t="shared" si="1"/>
        <v>1001150</v>
      </c>
      <c r="J38" s="744"/>
    </row>
    <row r="39" spans="1:10" s="594" customFormat="1" ht="19.5" customHeight="1" thickBot="1">
      <c r="A39" s="736">
        <v>754</v>
      </c>
      <c r="B39" s="736"/>
      <c r="C39" s="736"/>
      <c r="D39" s="565" t="s">
        <v>701</v>
      </c>
      <c r="E39" s="566">
        <v>13091000</v>
      </c>
      <c r="F39" s="566">
        <f>F40</f>
        <v>1010100</v>
      </c>
      <c r="G39" s="566">
        <f t="shared" si="1"/>
        <v>14101100</v>
      </c>
      <c r="J39" s="608"/>
    </row>
    <row r="40" spans="1:10" s="594" customFormat="1" ht="18.75" customHeight="1">
      <c r="A40" s="567"/>
      <c r="B40" s="568">
        <v>75411</v>
      </c>
      <c r="C40" s="568"/>
      <c r="D40" s="569" t="s">
        <v>702</v>
      </c>
      <c r="E40" s="570">
        <v>13091000</v>
      </c>
      <c r="F40" s="570">
        <f>F41+F43</f>
        <v>1010100</v>
      </c>
      <c r="G40" s="570">
        <f t="shared" si="1"/>
        <v>14101100</v>
      </c>
      <c r="J40" s="608"/>
    </row>
    <row r="41" spans="1:10" s="328" customFormat="1" ht="25.5">
      <c r="A41" s="622"/>
      <c r="B41" s="622"/>
      <c r="C41" s="622"/>
      <c r="D41" s="737" t="s">
        <v>703</v>
      </c>
      <c r="E41" s="738">
        <v>12941000</v>
      </c>
      <c r="F41" s="738">
        <f>F42</f>
        <v>910100</v>
      </c>
      <c r="G41" s="738">
        <f t="shared" si="1"/>
        <v>13851100</v>
      </c>
      <c r="J41" s="739"/>
    </row>
    <row r="42" spans="1:10" s="36" customFormat="1" ht="25.5">
      <c r="A42" s="740"/>
      <c r="B42" s="740"/>
      <c r="C42" s="1130">
        <v>2110</v>
      </c>
      <c r="D42" s="1132" t="s">
        <v>329</v>
      </c>
      <c r="E42" s="1115">
        <v>12941000</v>
      </c>
      <c r="F42" s="1131">
        <f>848000+62100</f>
        <v>910100</v>
      </c>
      <c r="G42" s="1131">
        <f t="shared" si="1"/>
        <v>13851100</v>
      </c>
      <c r="J42" s="744"/>
    </row>
    <row r="43" spans="1:10" s="594" customFormat="1" ht="25.5">
      <c r="A43" s="609"/>
      <c r="B43" s="609"/>
      <c r="C43" s="1254"/>
      <c r="D43" s="1255" t="s">
        <v>704</v>
      </c>
      <c r="E43" s="746">
        <v>150000</v>
      </c>
      <c r="F43" s="746">
        <f>F44</f>
        <v>100000</v>
      </c>
      <c r="G43" s="746">
        <f t="shared" si="1"/>
        <v>250000</v>
      </c>
      <c r="J43" s="608"/>
    </row>
    <row r="44" spans="1:10" s="36" customFormat="1" ht="25.5" customHeight="1">
      <c r="A44" s="740"/>
      <c r="B44" s="740"/>
      <c r="C44" s="741">
        <v>6410</v>
      </c>
      <c r="D44" s="747" t="s">
        <v>712</v>
      </c>
      <c r="E44" s="53">
        <v>150000</v>
      </c>
      <c r="F44" s="743">
        <v>100000</v>
      </c>
      <c r="G44" s="743">
        <f t="shared" si="1"/>
        <v>250000</v>
      </c>
      <c r="J44" s="744"/>
    </row>
    <row r="45" spans="1:10" s="594" customFormat="1" ht="19.5" customHeight="1" thickBot="1">
      <c r="A45" s="736">
        <v>853</v>
      </c>
      <c r="B45" s="736"/>
      <c r="C45" s="564"/>
      <c r="D45" s="565" t="s">
        <v>389</v>
      </c>
      <c r="E45" s="566">
        <v>552850</v>
      </c>
      <c r="F45" s="566">
        <f>F46</f>
        <v>7821</v>
      </c>
      <c r="G45" s="566">
        <f t="shared" si="1"/>
        <v>560671</v>
      </c>
      <c r="J45" s="608"/>
    </row>
    <row r="46" spans="1:10" s="594" customFormat="1" ht="18.75" customHeight="1">
      <c r="A46" s="567"/>
      <c r="B46" s="568">
        <v>85334</v>
      </c>
      <c r="C46" s="568"/>
      <c r="D46" s="569" t="s">
        <v>623</v>
      </c>
      <c r="E46" s="570">
        <v>24850</v>
      </c>
      <c r="F46" s="570">
        <f>F47</f>
        <v>7821</v>
      </c>
      <c r="G46" s="570">
        <f t="shared" si="1"/>
        <v>32671</v>
      </c>
      <c r="J46" s="608"/>
    </row>
    <row r="47" spans="1:7" s="594" customFormat="1" ht="18" customHeight="1">
      <c r="A47" s="571"/>
      <c r="B47" s="572"/>
      <c r="C47" s="573"/>
      <c r="D47" s="574" t="s">
        <v>159</v>
      </c>
      <c r="E47" s="627">
        <v>24850</v>
      </c>
      <c r="F47" s="627">
        <f>F48</f>
        <v>7821</v>
      </c>
      <c r="G47" s="627">
        <f t="shared" si="1"/>
        <v>32671</v>
      </c>
    </row>
    <row r="48" spans="1:7" s="36" customFormat="1" ht="25.5">
      <c r="A48" s="628"/>
      <c r="B48" s="390"/>
      <c r="C48" s="390">
        <v>2110</v>
      </c>
      <c r="D48" s="412" t="s">
        <v>329</v>
      </c>
      <c r="E48" s="175">
        <v>24850</v>
      </c>
      <c r="F48" s="176">
        <f>2321+5500</f>
        <v>7821</v>
      </c>
      <c r="G48" s="176">
        <f t="shared" si="1"/>
        <v>32671</v>
      </c>
    </row>
    <row r="49" ht="12.75">
      <c r="F49" s="592"/>
    </row>
    <row r="50" ht="12.75">
      <c r="F50" s="592"/>
    </row>
    <row r="51" spans="2:6" ht="15">
      <c r="B51" s="683" t="s">
        <v>17</v>
      </c>
      <c r="F51" s="1584" t="s">
        <v>20</v>
      </c>
    </row>
    <row r="52" spans="2:6" ht="15">
      <c r="B52" s="1583" t="s">
        <v>19</v>
      </c>
      <c r="F52" s="1585" t="s">
        <v>18</v>
      </c>
    </row>
    <row r="53" ht="12.75">
      <c r="F53" s="592"/>
    </row>
    <row r="54" ht="12.75">
      <c r="F54" s="592"/>
    </row>
    <row r="55" ht="12.75">
      <c r="F55" s="592"/>
    </row>
    <row r="56" ht="12.75">
      <c r="F56" s="592"/>
    </row>
    <row r="57" ht="12.75">
      <c r="F57" s="592"/>
    </row>
    <row r="58" ht="12.75">
      <c r="F58" s="592"/>
    </row>
    <row r="59" ht="12.75">
      <c r="F59" s="592"/>
    </row>
    <row r="60" ht="12.75">
      <c r="F60" s="592"/>
    </row>
    <row r="61" ht="12.75">
      <c r="F61" s="592"/>
    </row>
    <row r="62" ht="12.75">
      <c r="F62" s="592"/>
    </row>
    <row r="63" ht="12.75">
      <c r="F63" s="592"/>
    </row>
    <row r="64" ht="12.75">
      <c r="F64" s="592"/>
    </row>
    <row r="65" ht="12.75">
      <c r="F65" s="592"/>
    </row>
    <row r="66" ht="12.75">
      <c r="F66" s="592"/>
    </row>
    <row r="67" ht="12.75">
      <c r="F67" s="592"/>
    </row>
    <row r="68" ht="12.75">
      <c r="F68" s="592"/>
    </row>
    <row r="69" ht="12.75">
      <c r="F69" s="592"/>
    </row>
    <row r="70" ht="12.75">
      <c r="F70" s="592"/>
    </row>
    <row r="71" ht="12.75">
      <c r="F71" s="592"/>
    </row>
    <row r="72" ht="12.75">
      <c r="F72" s="592"/>
    </row>
    <row r="73" ht="12.75">
      <c r="F73" s="592"/>
    </row>
    <row r="74" ht="12.75">
      <c r="F74" s="592"/>
    </row>
    <row r="75" ht="12.75">
      <c r="F75" s="592"/>
    </row>
    <row r="76" ht="12.75">
      <c r="F76" s="592"/>
    </row>
    <row r="77" ht="12.75">
      <c r="F77" s="592"/>
    </row>
    <row r="78" ht="12.75">
      <c r="F78" s="592"/>
    </row>
    <row r="79" ht="12.75">
      <c r="F79" s="592"/>
    </row>
    <row r="80" ht="12.75">
      <c r="F80" s="592"/>
    </row>
    <row r="81" ht="12.75">
      <c r="F81" s="592"/>
    </row>
    <row r="82" ht="12.75">
      <c r="F82" s="592"/>
    </row>
    <row r="83" ht="12.75">
      <c r="F83" s="592"/>
    </row>
    <row r="84" ht="12.75">
      <c r="F84" s="592"/>
    </row>
    <row r="85" ht="12.75">
      <c r="F85" s="592"/>
    </row>
    <row r="86" ht="12.75">
      <c r="F86" s="592"/>
    </row>
    <row r="87" ht="12.75">
      <c r="F87" s="592"/>
    </row>
    <row r="88" ht="12.75">
      <c r="F88" s="592"/>
    </row>
    <row r="89" ht="12.75">
      <c r="F89" s="592"/>
    </row>
    <row r="90" ht="12.75">
      <c r="F90" s="592"/>
    </row>
    <row r="91" ht="12.75">
      <c r="F91" s="592"/>
    </row>
    <row r="92" ht="12.75">
      <c r="F92" s="592"/>
    </row>
    <row r="93" ht="12.75">
      <c r="F93" s="592"/>
    </row>
    <row r="94" ht="12.75">
      <c r="F94" s="592"/>
    </row>
    <row r="95" ht="12.75">
      <c r="F95" s="592"/>
    </row>
    <row r="96" ht="12.75">
      <c r="F96" s="592"/>
    </row>
    <row r="97" ht="12.75">
      <c r="F97" s="592"/>
    </row>
    <row r="98" ht="12.75">
      <c r="F98" s="592"/>
    </row>
    <row r="99" ht="12.75">
      <c r="F99" s="592"/>
    </row>
    <row r="100" ht="12.75">
      <c r="F100" s="592"/>
    </row>
    <row r="101" ht="12.75">
      <c r="F101" s="592"/>
    </row>
    <row r="102" ht="12.75">
      <c r="F102" s="592"/>
    </row>
    <row r="103" ht="12.75">
      <c r="F103" s="592"/>
    </row>
    <row r="104" ht="12.75">
      <c r="F104" s="592"/>
    </row>
    <row r="105" ht="12.75">
      <c r="F105" s="592"/>
    </row>
    <row r="106" ht="12.75">
      <c r="F106" s="592"/>
    </row>
    <row r="107" ht="12.75">
      <c r="F107" s="592"/>
    </row>
    <row r="108" ht="12.75">
      <c r="F108" s="592"/>
    </row>
    <row r="109" ht="12.75">
      <c r="F109" s="592"/>
    </row>
    <row r="110" ht="12.75">
      <c r="F110" s="592"/>
    </row>
    <row r="111" ht="12.75">
      <c r="F111" s="592"/>
    </row>
    <row r="112" ht="12.75">
      <c r="F112" s="592"/>
    </row>
    <row r="113" ht="12.75">
      <c r="F113" s="592"/>
    </row>
    <row r="114" ht="12.75">
      <c r="F114" s="592"/>
    </row>
    <row r="115" ht="12.75">
      <c r="F115" s="592"/>
    </row>
    <row r="116" ht="12.75">
      <c r="F116" s="592"/>
    </row>
    <row r="117" ht="12.75">
      <c r="F117" s="592"/>
    </row>
    <row r="118" ht="12.75">
      <c r="F118" s="592"/>
    </row>
    <row r="119" ht="12.75">
      <c r="F119" s="592"/>
    </row>
    <row r="120" ht="12.75">
      <c r="F120" s="592"/>
    </row>
    <row r="121" ht="12.75">
      <c r="F121" s="592"/>
    </row>
    <row r="122" ht="12.75">
      <c r="F122" s="592"/>
    </row>
    <row r="123" ht="12.75">
      <c r="F123" s="592"/>
    </row>
    <row r="124" ht="12.75">
      <c r="F124" s="592"/>
    </row>
    <row r="125" ht="12.75">
      <c r="F125" s="592"/>
    </row>
    <row r="126" ht="12.75">
      <c r="F126" s="592"/>
    </row>
    <row r="127" ht="12.75">
      <c r="F127" s="592"/>
    </row>
    <row r="128" ht="12.75">
      <c r="F128" s="592"/>
    </row>
    <row r="129" ht="12.75">
      <c r="F129" s="592"/>
    </row>
    <row r="130" ht="12.75">
      <c r="F130" s="592"/>
    </row>
    <row r="131" ht="12.75">
      <c r="F131" s="592"/>
    </row>
    <row r="132" ht="12.75">
      <c r="F132" s="592"/>
    </row>
    <row r="133" ht="12.75">
      <c r="F133" s="592"/>
    </row>
    <row r="134" ht="12.75">
      <c r="F134" s="592"/>
    </row>
    <row r="135" ht="12.75">
      <c r="F135" s="592"/>
    </row>
    <row r="136" ht="12.75">
      <c r="F136" s="592"/>
    </row>
    <row r="137" ht="12.75">
      <c r="F137" s="592"/>
    </row>
    <row r="138" ht="12.75">
      <c r="F138" s="592"/>
    </row>
    <row r="139" ht="12.75">
      <c r="F139" s="592"/>
    </row>
    <row r="140" ht="12.75">
      <c r="F140" s="592"/>
    </row>
    <row r="141" ht="12.75">
      <c r="F141" s="592"/>
    </row>
    <row r="142" ht="12.75">
      <c r="F142" s="592"/>
    </row>
    <row r="143" ht="12.75">
      <c r="F143" s="592"/>
    </row>
    <row r="144" ht="12.75">
      <c r="F144" s="592"/>
    </row>
    <row r="145" ht="12.75">
      <c r="F145" s="592"/>
    </row>
    <row r="146" ht="12.75">
      <c r="F146" s="592"/>
    </row>
    <row r="147" ht="12.75">
      <c r="F147" s="592"/>
    </row>
    <row r="148" ht="12.75">
      <c r="F148" s="592"/>
    </row>
    <row r="149" ht="12.75">
      <c r="F149" s="592"/>
    </row>
    <row r="150" ht="12.75">
      <c r="F150" s="592"/>
    </row>
    <row r="151" ht="12.75">
      <c r="F151" s="592"/>
    </row>
    <row r="152" ht="12.75">
      <c r="F152" s="592"/>
    </row>
    <row r="153" ht="12.75">
      <c r="F153" s="592"/>
    </row>
    <row r="154" ht="12.75">
      <c r="F154" s="592"/>
    </row>
    <row r="155" ht="12.75">
      <c r="F155" s="592"/>
    </row>
    <row r="156" ht="12.75">
      <c r="F156" s="592"/>
    </row>
    <row r="157" ht="12.75">
      <c r="F157" s="592"/>
    </row>
    <row r="158" ht="12.75">
      <c r="F158" s="592"/>
    </row>
    <row r="159" ht="12.75">
      <c r="F159" s="592"/>
    </row>
    <row r="160" ht="12.75">
      <c r="F160" s="592"/>
    </row>
    <row r="161" ht="12.75">
      <c r="F161" s="592"/>
    </row>
    <row r="162" ht="12.75">
      <c r="F162" s="592"/>
    </row>
    <row r="163" ht="12.75">
      <c r="F163" s="592"/>
    </row>
    <row r="164" ht="12.75">
      <c r="F164" s="592"/>
    </row>
    <row r="165" ht="12.75">
      <c r="F165" s="592"/>
    </row>
    <row r="166" ht="12.75">
      <c r="F166" s="592"/>
    </row>
    <row r="167" ht="12.75">
      <c r="F167" s="592"/>
    </row>
    <row r="168" ht="12.75">
      <c r="F168" s="592"/>
    </row>
    <row r="169" ht="12.75">
      <c r="F169" s="592"/>
    </row>
    <row r="170" ht="12.75">
      <c r="F170" s="592"/>
    </row>
    <row r="171" ht="12.75">
      <c r="F171" s="592"/>
    </row>
    <row r="172" ht="12.75">
      <c r="F172" s="592"/>
    </row>
    <row r="173" ht="12.75">
      <c r="F173" s="592"/>
    </row>
    <row r="174" ht="12.75">
      <c r="F174" s="592"/>
    </row>
    <row r="175" ht="12.75">
      <c r="F175" s="592"/>
    </row>
    <row r="176" ht="12.75">
      <c r="F176" s="592"/>
    </row>
    <row r="177" ht="12.75">
      <c r="F177" s="592"/>
    </row>
    <row r="178" ht="12.75">
      <c r="F178" s="592"/>
    </row>
    <row r="179" ht="12.75">
      <c r="F179" s="592"/>
    </row>
    <row r="180" ht="12.75">
      <c r="F180" s="592"/>
    </row>
    <row r="181" ht="12.75">
      <c r="F181" s="592"/>
    </row>
    <row r="182" ht="12.75">
      <c r="F182" s="592"/>
    </row>
    <row r="183" ht="12.75">
      <c r="F183" s="592"/>
    </row>
    <row r="184" ht="12.75">
      <c r="F184" s="592"/>
    </row>
    <row r="185" ht="12.75">
      <c r="F185" s="592"/>
    </row>
    <row r="186" ht="12.75">
      <c r="F186" s="592"/>
    </row>
    <row r="187" ht="12.75">
      <c r="F187" s="592"/>
    </row>
    <row r="188" ht="12.75">
      <c r="F188" s="592"/>
    </row>
    <row r="189" ht="12.75">
      <c r="F189" s="592"/>
    </row>
    <row r="190" ht="12.75">
      <c r="F190" s="592"/>
    </row>
    <row r="191" ht="12.75">
      <c r="F191" s="592"/>
    </row>
    <row r="192" ht="12.75">
      <c r="F192" s="592"/>
    </row>
    <row r="193" ht="12.75">
      <c r="F193" s="592"/>
    </row>
    <row r="194" ht="12.75">
      <c r="F194" s="592"/>
    </row>
    <row r="195" ht="12.75">
      <c r="F195" s="592"/>
    </row>
    <row r="196" ht="12.75">
      <c r="F196" s="592"/>
    </row>
    <row r="197" ht="12.75">
      <c r="F197" s="592"/>
    </row>
    <row r="198" ht="12.75">
      <c r="F198" s="592"/>
    </row>
    <row r="199" ht="12.75">
      <c r="F199" s="592"/>
    </row>
    <row r="200" ht="12.75">
      <c r="F200" s="592"/>
    </row>
    <row r="201" ht="12.75">
      <c r="F201" s="592"/>
    </row>
    <row r="202" ht="12.75">
      <c r="F202" s="592"/>
    </row>
    <row r="203" ht="12.75">
      <c r="F203" s="592"/>
    </row>
    <row r="204" ht="12.75">
      <c r="F204" s="592"/>
    </row>
    <row r="205" ht="12.75">
      <c r="F205" s="592"/>
    </row>
    <row r="206" ht="12.75">
      <c r="F206" s="592"/>
    </row>
    <row r="207" ht="12.75">
      <c r="F207" s="592"/>
    </row>
    <row r="208" ht="12.75">
      <c r="F208" s="592"/>
    </row>
    <row r="209" ht="12.75">
      <c r="F209" s="592"/>
    </row>
    <row r="210" ht="12.75">
      <c r="F210" s="592"/>
    </row>
    <row r="211" ht="12.75">
      <c r="F211" s="592"/>
    </row>
    <row r="212" ht="12.75">
      <c r="F212" s="592"/>
    </row>
    <row r="213" ht="12.75">
      <c r="F213" s="592"/>
    </row>
    <row r="214" ht="12.75">
      <c r="F214" s="592"/>
    </row>
    <row r="215" ht="12.75">
      <c r="F215" s="592"/>
    </row>
    <row r="216" ht="12.75">
      <c r="F216" s="592"/>
    </row>
    <row r="217" ht="12.75">
      <c r="F217" s="592"/>
    </row>
    <row r="218" ht="12.75">
      <c r="F218" s="592"/>
    </row>
    <row r="219" ht="12.75">
      <c r="F219" s="592"/>
    </row>
    <row r="220" ht="12.75">
      <c r="F220" s="592"/>
    </row>
    <row r="221" ht="12.75">
      <c r="F221" s="592"/>
    </row>
    <row r="222" ht="12.75">
      <c r="F222" s="592"/>
    </row>
    <row r="223" ht="12.75">
      <c r="F223" s="592"/>
    </row>
    <row r="224" ht="12.75">
      <c r="F224" s="592"/>
    </row>
    <row r="225" ht="12.75">
      <c r="F225" s="592"/>
    </row>
    <row r="226" ht="12.75">
      <c r="F226" s="592"/>
    </row>
    <row r="227" ht="12.75">
      <c r="F227" s="592"/>
    </row>
    <row r="228" ht="12.75">
      <c r="F228" s="592"/>
    </row>
    <row r="229" ht="12.75">
      <c r="F229" s="592"/>
    </row>
    <row r="230" ht="12.75">
      <c r="F230" s="592"/>
    </row>
    <row r="231" ht="12.75">
      <c r="F231" s="592"/>
    </row>
    <row r="232" ht="12.75">
      <c r="F232" s="592"/>
    </row>
    <row r="233" ht="12.75">
      <c r="F233" s="592"/>
    </row>
    <row r="234" ht="12.75">
      <c r="F234" s="592"/>
    </row>
    <row r="235" ht="12.75">
      <c r="F235" s="592"/>
    </row>
    <row r="236" ht="12.75">
      <c r="F236" s="592"/>
    </row>
    <row r="237" ht="12.75">
      <c r="F237" s="592"/>
    </row>
    <row r="238" ht="12.75">
      <c r="F238" s="592"/>
    </row>
    <row r="239" ht="12.75">
      <c r="F239" s="592"/>
    </row>
    <row r="240" ht="12.75">
      <c r="F240" s="592"/>
    </row>
    <row r="241" ht="12.75">
      <c r="F241" s="592"/>
    </row>
    <row r="242" ht="12.75">
      <c r="F242" s="592"/>
    </row>
    <row r="243" ht="12.75">
      <c r="F243" s="592"/>
    </row>
    <row r="244" ht="12.75">
      <c r="F244" s="592"/>
    </row>
    <row r="245" ht="12.75">
      <c r="F245" s="592"/>
    </row>
    <row r="246" ht="12.75">
      <c r="F246" s="592"/>
    </row>
    <row r="247" ht="12.75">
      <c r="F247" s="592"/>
    </row>
    <row r="248" ht="12.75">
      <c r="F248" s="592"/>
    </row>
    <row r="249" ht="12.75">
      <c r="F249" s="592"/>
    </row>
    <row r="250" ht="12.75">
      <c r="F250" s="592"/>
    </row>
    <row r="251" ht="12.75">
      <c r="F251" s="592"/>
    </row>
    <row r="252" ht="12.75">
      <c r="F252" s="592"/>
    </row>
    <row r="253" ht="12.75">
      <c r="F253" s="592"/>
    </row>
    <row r="254" ht="12.75">
      <c r="F254" s="592"/>
    </row>
    <row r="255" ht="12.75">
      <c r="F255" s="592"/>
    </row>
    <row r="256" ht="12.75">
      <c r="F256" s="592"/>
    </row>
    <row r="257" ht="12.75">
      <c r="F257" s="592"/>
    </row>
    <row r="258" ht="12.75">
      <c r="F258" s="592"/>
    </row>
    <row r="259" ht="12.75">
      <c r="F259" s="592"/>
    </row>
    <row r="260" ht="12.75">
      <c r="F260" s="592"/>
    </row>
    <row r="261" ht="12.75">
      <c r="F261" s="592"/>
    </row>
    <row r="262" ht="12.75">
      <c r="F262" s="592"/>
    </row>
    <row r="263" ht="12.75">
      <c r="F263" s="592"/>
    </row>
    <row r="264" ht="12.75">
      <c r="F264" s="592"/>
    </row>
    <row r="265" ht="12.75">
      <c r="F265" s="592"/>
    </row>
    <row r="266" ht="12.75">
      <c r="F266" s="592"/>
    </row>
    <row r="267" ht="12.75">
      <c r="F267" s="592"/>
    </row>
    <row r="268" ht="12.75">
      <c r="F268" s="592"/>
    </row>
    <row r="269" ht="12.75">
      <c r="F269" s="592"/>
    </row>
    <row r="270" ht="12.75">
      <c r="F270" s="592"/>
    </row>
    <row r="271" ht="12.75">
      <c r="F271" s="592"/>
    </row>
    <row r="272" ht="12.75">
      <c r="F272" s="592"/>
    </row>
    <row r="273" ht="12.75">
      <c r="F273" s="592"/>
    </row>
    <row r="274" ht="12.75">
      <c r="F274" s="592"/>
    </row>
    <row r="275" ht="12.75">
      <c r="F275" s="592"/>
    </row>
    <row r="276" ht="12.75">
      <c r="F276" s="592"/>
    </row>
    <row r="277" ht="12.75">
      <c r="F277" s="592"/>
    </row>
    <row r="278" ht="12.75">
      <c r="F278" s="592"/>
    </row>
    <row r="279" ht="12.75">
      <c r="F279" s="592"/>
    </row>
    <row r="280" ht="12.75">
      <c r="F280" s="592"/>
    </row>
    <row r="281" ht="12.75">
      <c r="F281" s="592"/>
    </row>
    <row r="282" ht="12.75">
      <c r="F282" s="592"/>
    </row>
    <row r="283" ht="12.75">
      <c r="F283" s="592"/>
    </row>
    <row r="284" ht="12.75">
      <c r="F284" s="592"/>
    </row>
    <row r="285" ht="12.75">
      <c r="F285" s="592"/>
    </row>
    <row r="286" ht="12.75">
      <c r="F286" s="592"/>
    </row>
    <row r="287" ht="12.75">
      <c r="F287" s="592"/>
    </row>
    <row r="288" ht="12.75">
      <c r="F288" s="592"/>
    </row>
    <row r="289" ht="12.75">
      <c r="F289" s="592"/>
    </row>
    <row r="290" ht="12.75">
      <c r="F290" s="592"/>
    </row>
    <row r="291" ht="12.75">
      <c r="F291" s="592"/>
    </row>
    <row r="292" ht="12.75">
      <c r="F292" s="592"/>
    </row>
    <row r="293" ht="12.75">
      <c r="F293" s="592"/>
    </row>
    <row r="294" ht="12.75">
      <c r="F294" s="592"/>
    </row>
    <row r="295" ht="12.75">
      <c r="F295" s="592"/>
    </row>
    <row r="296" ht="12.75">
      <c r="F296" s="592"/>
    </row>
    <row r="297" ht="12.75">
      <c r="F297" s="592"/>
    </row>
    <row r="298" ht="12.75">
      <c r="F298" s="592"/>
    </row>
    <row r="299" ht="12.75">
      <c r="F299" s="592"/>
    </row>
    <row r="300" ht="12.75">
      <c r="F300" s="592"/>
    </row>
    <row r="301" ht="12.75">
      <c r="F301" s="592"/>
    </row>
    <row r="302" ht="12.75">
      <c r="F302" s="592"/>
    </row>
    <row r="303" ht="12.75">
      <c r="F303" s="592"/>
    </row>
    <row r="304" ht="12.75">
      <c r="F304" s="592"/>
    </row>
    <row r="305" ht="12.75">
      <c r="F305" s="592"/>
    </row>
    <row r="306" ht="12.75">
      <c r="F306" s="592"/>
    </row>
    <row r="307" ht="12.75">
      <c r="F307" s="592"/>
    </row>
    <row r="308" ht="12.75">
      <c r="F308" s="592"/>
    </row>
    <row r="309" ht="12.75">
      <c r="F309" s="592"/>
    </row>
    <row r="310" ht="12.75">
      <c r="F310" s="592"/>
    </row>
    <row r="311" ht="12.75">
      <c r="F311" s="592"/>
    </row>
    <row r="312" ht="12.75">
      <c r="F312" s="592"/>
    </row>
    <row r="313" ht="12.75">
      <c r="F313" s="592"/>
    </row>
    <row r="314" ht="12.75">
      <c r="F314" s="592"/>
    </row>
    <row r="315" ht="12.75">
      <c r="F315" s="592"/>
    </row>
    <row r="316" ht="12.75">
      <c r="F316" s="592"/>
    </row>
    <row r="317" ht="12.75">
      <c r="F317" s="592"/>
    </row>
    <row r="318" ht="12.75">
      <c r="F318" s="592"/>
    </row>
    <row r="319" ht="12.75">
      <c r="F319" s="592"/>
    </row>
    <row r="320" ht="12.75">
      <c r="F320" s="592"/>
    </row>
    <row r="321" ht="12.75">
      <c r="F321" s="592"/>
    </row>
    <row r="322" ht="12.75">
      <c r="F322" s="592"/>
    </row>
    <row r="323" ht="12.75">
      <c r="F323" s="592"/>
    </row>
    <row r="324" ht="12.75">
      <c r="F324" s="592"/>
    </row>
    <row r="325" ht="12.75">
      <c r="F325" s="592"/>
    </row>
    <row r="326" ht="12.75">
      <c r="F326" s="592"/>
    </row>
    <row r="327" ht="12.75">
      <c r="F327" s="592"/>
    </row>
    <row r="328" ht="12.75">
      <c r="F328" s="592"/>
    </row>
    <row r="329" ht="12.75">
      <c r="F329" s="592"/>
    </row>
    <row r="330" ht="12.75">
      <c r="F330" s="592"/>
    </row>
    <row r="331" ht="12.75">
      <c r="F331" s="592"/>
    </row>
    <row r="332" ht="12.75">
      <c r="F332" s="592"/>
    </row>
    <row r="333" ht="12.75">
      <c r="F333" s="592"/>
    </row>
    <row r="334" ht="12.75">
      <c r="F334" s="592"/>
    </row>
    <row r="335" ht="12.75">
      <c r="F335" s="592"/>
    </row>
    <row r="336" ht="12.75">
      <c r="F336" s="592"/>
    </row>
    <row r="337" ht="12.75">
      <c r="F337" s="592"/>
    </row>
    <row r="338" ht="12.75">
      <c r="F338" s="592"/>
    </row>
    <row r="339" ht="12.75">
      <c r="F339" s="592"/>
    </row>
    <row r="340" ht="12.75">
      <c r="F340" s="592"/>
    </row>
    <row r="341" ht="12.75">
      <c r="F341" s="592"/>
    </row>
    <row r="342" ht="12.75">
      <c r="F342" s="592"/>
    </row>
    <row r="343" ht="12.75">
      <c r="F343" s="592"/>
    </row>
    <row r="344" ht="12.75">
      <c r="F344" s="592"/>
    </row>
    <row r="345" ht="12.75">
      <c r="F345" s="592"/>
    </row>
    <row r="346" ht="12.75">
      <c r="F346" s="592"/>
    </row>
    <row r="347" ht="12.75">
      <c r="F347" s="592"/>
    </row>
    <row r="348" ht="12.75">
      <c r="F348" s="592"/>
    </row>
    <row r="349" ht="12.75">
      <c r="F349" s="592"/>
    </row>
    <row r="350" ht="12.75">
      <c r="F350" s="592"/>
    </row>
    <row r="351" ht="12.75">
      <c r="F351" s="592"/>
    </row>
    <row r="352" ht="12.75">
      <c r="F352" s="592"/>
    </row>
    <row r="353" ht="12.75">
      <c r="F353" s="592"/>
    </row>
    <row r="354" ht="12.75">
      <c r="F354" s="592"/>
    </row>
    <row r="355" ht="12.75">
      <c r="F355" s="592"/>
    </row>
    <row r="356" ht="12.75">
      <c r="F356" s="592"/>
    </row>
    <row r="357" ht="12.75">
      <c r="F357" s="592"/>
    </row>
    <row r="358" ht="12.75">
      <c r="F358" s="592"/>
    </row>
    <row r="359" ht="12.75">
      <c r="F359" s="592"/>
    </row>
    <row r="360" ht="12.75">
      <c r="F360" s="592"/>
    </row>
    <row r="361" ht="12.75">
      <c r="F361" s="592"/>
    </row>
    <row r="362" ht="12.75">
      <c r="F362" s="592"/>
    </row>
    <row r="363" ht="12.75">
      <c r="F363" s="592"/>
    </row>
    <row r="364" ht="12.75">
      <c r="F364" s="592"/>
    </row>
    <row r="365" ht="12.75">
      <c r="F365" s="592"/>
    </row>
    <row r="366" ht="12.75">
      <c r="F366" s="592"/>
    </row>
    <row r="367" ht="12.75">
      <c r="F367" s="592"/>
    </row>
    <row r="368" ht="12.75">
      <c r="F368" s="592"/>
    </row>
    <row r="369" ht="12.75">
      <c r="F369" s="592"/>
    </row>
    <row r="370" ht="12.75">
      <c r="F370" s="592"/>
    </row>
    <row r="371" ht="12.75">
      <c r="F371" s="592"/>
    </row>
    <row r="372" ht="12.75">
      <c r="F372" s="592"/>
    </row>
    <row r="373" ht="12.75">
      <c r="F373" s="592"/>
    </row>
    <row r="374" ht="12.75">
      <c r="F374" s="592"/>
    </row>
    <row r="375" ht="12.75">
      <c r="F375" s="592"/>
    </row>
    <row r="376" ht="12.75">
      <c r="F376" s="592"/>
    </row>
    <row r="377" ht="12.75">
      <c r="F377" s="592"/>
    </row>
    <row r="378" ht="12.75">
      <c r="F378" s="592"/>
    </row>
    <row r="379" ht="12.75">
      <c r="F379" s="592"/>
    </row>
    <row r="380" ht="12.75">
      <c r="F380" s="592"/>
    </row>
    <row r="381" ht="12.75">
      <c r="F381" s="592"/>
    </row>
    <row r="382" ht="12.75">
      <c r="F382" s="592"/>
    </row>
    <row r="383" ht="12.75">
      <c r="F383" s="592"/>
    </row>
    <row r="384" ht="12.75">
      <c r="F384" s="592"/>
    </row>
    <row r="385" ht="12.75">
      <c r="F385" s="592"/>
    </row>
    <row r="386" ht="12.75">
      <c r="F386" s="592"/>
    </row>
    <row r="387" ht="12.75">
      <c r="F387" s="592"/>
    </row>
    <row r="388" ht="12.75">
      <c r="F388" s="592"/>
    </row>
    <row r="389" ht="12.75">
      <c r="F389" s="592"/>
    </row>
    <row r="390" ht="12.75">
      <c r="F390" s="592"/>
    </row>
    <row r="391" ht="12.75">
      <c r="F391" s="592"/>
    </row>
    <row r="392" ht="12.75">
      <c r="F392" s="592"/>
    </row>
    <row r="393" ht="12.75">
      <c r="F393" s="592"/>
    </row>
    <row r="394" ht="12.75">
      <c r="F394" s="592"/>
    </row>
    <row r="395" ht="12.75">
      <c r="F395" s="592"/>
    </row>
    <row r="396" ht="12.75">
      <c r="F396" s="592"/>
    </row>
    <row r="397" ht="12.75">
      <c r="F397" s="592"/>
    </row>
    <row r="398" ht="12.75">
      <c r="F398" s="592"/>
    </row>
    <row r="399" ht="12.75">
      <c r="F399" s="592"/>
    </row>
    <row r="400" ht="12.75">
      <c r="F400" s="592"/>
    </row>
    <row r="401" ht="12.75">
      <c r="F401" s="592"/>
    </row>
    <row r="402" ht="12.75">
      <c r="F402" s="592"/>
    </row>
    <row r="403" ht="12.75">
      <c r="F403" s="592"/>
    </row>
    <row r="404" ht="12.75">
      <c r="F404" s="592"/>
    </row>
    <row r="405" ht="12.75">
      <c r="F405" s="592"/>
    </row>
    <row r="406" ht="12.75">
      <c r="F406" s="592"/>
    </row>
    <row r="407" ht="12.75">
      <c r="F407" s="592"/>
    </row>
    <row r="408" ht="12.75">
      <c r="F408" s="592"/>
    </row>
    <row r="409" ht="12.75">
      <c r="F409" s="592"/>
    </row>
    <row r="410" ht="12.75">
      <c r="F410" s="592"/>
    </row>
    <row r="411" ht="12.75">
      <c r="F411" s="592"/>
    </row>
    <row r="412" ht="12.75">
      <c r="F412" s="592"/>
    </row>
    <row r="413" ht="12.75">
      <c r="F413" s="592"/>
    </row>
    <row r="414" ht="12.75">
      <c r="F414" s="592"/>
    </row>
    <row r="415" ht="12.75">
      <c r="F415" s="592"/>
    </row>
    <row r="416" ht="12.75">
      <c r="F416" s="592"/>
    </row>
    <row r="417" ht="12.75">
      <c r="F417" s="592"/>
    </row>
    <row r="418" ht="12.75">
      <c r="F418" s="592"/>
    </row>
    <row r="419" ht="12.75">
      <c r="F419" s="592"/>
    </row>
    <row r="420" ht="12.75">
      <c r="F420" s="592"/>
    </row>
    <row r="421" ht="12.75">
      <c r="F421" s="592"/>
    </row>
    <row r="422" ht="12.75">
      <c r="F422" s="592"/>
    </row>
    <row r="423" ht="12.75">
      <c r="F423" s="592"/>
    </row>
    <row r="424" ht="12.75">
      <c r="F424" s="592"/>
    </row>
    <row r="425" ht="12.75">
      <c r="F425" s="592"/>
    </row>
    <row r="426" ht="12.75">
      <c r="F426" s="592"/>
    </row>
    <row r="427" ht="12.75">
      <c r="F427" s="592"/>
    </row>
    <row r="428" ht="12.75">
      <c r="F428" s="592"/>
    </row>
    <row r="429" ht="12.75">
      <c r="F429" s="592"/>
    </row>
    <row r="430" ht="12.75">
      <c r="F430" s="592"/>
    </row>
    <row r="431" ht="12.75">
      <c r="F431" s="592"/>
    </row>
    <row r="432" ht="12.75">
      <c r="F432" s="592"/>
    </row>
    <row r="433" ht="12.75">
      <c r="F433" s="592"/>
    </row>
    <row r="434" ht="12.75">
      <c r="F434" s="592"/>
    </row>
    <row r="435" ht="12.75">
      <c r="F435" s="592"/>
    </row>
    <row r="436" ht="12.75">
      <c r="F436" s="592"/>
    </row>
    <row r="437" ht="12.75">
      <c r="F437" s="592"/>
    </row>
    <row r="438" ht="12.75">
      <c r="F438" s="592"/>
    </row>
    <row r="439" ht="12.75">
      <c r="F439" s="592"/>
    </row>
    <row r="440" ht="12.75">
      <c r="F440" s="592"/>
    </row>
    <row r="441" ht="12.75">
      <c r="F441" s="592"/>
    </row>
    <row r="442" ht="12.75">
      <c r="F442" s="592"/>
    </row>
    <row r="443" ht="12.75">
      <c r="F443" s="592"/>
    </row>
    <row r="444" ht="12.75">
      <c r="F444" s="592"/>
    </row>
    <row r="445" ht="12.75">
      <c r="F445" s="592"/>
    </row>
    <row r="446" ht="12.75">
      <c r="F446" s="592"/>
    </row>
    <row r="447" ht="12.75">
      <c r="F447" s="592"/>
    </row>
    <row r="448" ht="12.75">
      <c r="F448" s="592"/>
    </row>
    <row r="449" ht="12.75">
      <c r="F449" s="592"/>
    </row>
    <row r="450" ht="12.75">
      <c r="F450" s="592"/>
    </row>
    <row r="451" ht="12.75">
      <c r="F451" s="592"/>
    </row>
    <row r="452" ht="12.75">
      <c r="F452" s="592"/>
    </row>
    <row r="453" ht="12.75">
      <c r="F453" s="592"/>
    </row>
    <row r="454" ht="12.75">
      <c r="F454" s="592"/>
    </row>
    <row r="455" ht="12.75">
      <c r="F455" s="592"/>
    </row>
    <row r="456" ht="12.75">
      <c r="F456" s="592"/>
    </row>
    <row r="457" ht="12.75">
      <c r="F457" s="592"/>
    </row>
    <row r="458" ht="12.75">
      <c r="F458" s="592"/>
    </row>
    <row r="459" ht="12.75">
      <c r="F459" s="592"/>
    </row>
    <row r="460" ht="12.75">
      <c r="F460" s="592"/>
    </row>
    <row r="461" ht="12.75">
      <c r="F461" s="592"/>
    </row>
    <row r="462" ht="12.75">
      <c r="F462" s="592"/>
    </row>
    <row r="463" ht="12.75">
      <c r="F463" s="592"/>
    </row>
    <row r="464" ht="12.75">
      <c r="F464" s="592"/>
    </row>
    <row r="465" ht="12.75">
      <c r="F465" s="592"/>
    </row>
    <row r="466" ht="12.75">
      <c r="F466" s="592"/>
    </row>
    <row r="467" ht="12.75">
      <c r="F467" s="592"/>
    </row>
    <row r="468" ht="12.75">
      <c r="F468" s="592"/>
    </row>
    <row r="469" ht="12.75">
      <c r="F469" s="592"/>
    </row>
    <row r="470" ht="12.75">
      <c r="F470" s="592"/>
    </row>
    <row r="471" ht="12.75">
      <c r="F471" s="592"/>
    </row>
    <row r="472" ht="12.75">
      <c r="F472" s="592"/>
    </row>
    <row r="473" ht="12.75">
      <c r="F473" s="592"/>
    </row>
    <row r="474" ht="12.75">
      <c r="F474" s="592"/>
    </row>
    <row r="475" ht="12.75">
      <c r="F475" s="592"/>
    </row>
    <row r="476" ht="12.75">
      <c r="F476" s="592"/>
    </row>
    <row r="477" ht="12.75">
      <c r="F477" s="592"/>
    </row>
    <row r="478" ht="12.75">
      <c r="F478" s="592"/>
    </row>
    <row r="479" ht="12.75">
      <c r="F479" s="592"/>
    </row>
    <row r="480" ht="12.75">
      <c r="F480" s="592"/>
    </row>
    <row r="481" ht="12.75">
      <c r="F481" s="592"/>
    </row>
    <row r="482" ht="12.75">
      <c r="F482" s="592"/>
    </row>
    <row r="483" ht="12.75">
      <c r="F483" s="592"/>
    </row>
    <row r="484" ht="12.75">
      <c r="F484" s="592"/>
    </row>
    <row r="485" ht="12.75">
      <c r="F485" s="592"/>
    </row>
    <row r="486" ht="12.75">
      <c r="F486" s="592"/>
    </row>
  </sheetData>
  <printOptions horizontalCentered="1"/>
  <pageMargins left="0.5905511811023623" right="0.5905511811023623" top="0.3937007874015748" bottom="0.4724409448818898" header="0.5118110236220472" footer="0.31496062992125984"/>
  <pageSetup firstPageNumber="16" useFirstPageNumber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jkornack</cp:lastModifiedBy>
  <cp:lastPrinted>2007-07-18T13:21:24Z</cp:lastPrinted>
  <dcterms:created xsi:type="dcterms:W3CDTF">2005-02-11T08:38:29Z</dcterms:created>
  <dcterms:modified xsi:type="dcterms:W3CDTF">2007-07-18T13:21:28Z</dcterms:modified>
  <cp:category/>
  <cp:version/>
  <cp:contentType/>
  <cp:contentStatus/>
</cp:coreProperties>
</file>