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88" activeTab="0"/>
  </bookViews>
  <sheets>
    <sheet name="doch rm" sheetId="1" r:id="rId1"/>
    <sheet name="Wyd rm" sheetId="2" r:id="rId2"/>
    <sheet name="inwest" sheetId="3" r:id="rId3"/>
    <sheet name="remonty" sheetId="4" r:id="rId4"/>
    <sheet name="pozabudz" sheetId="5" r:id="rId5"/>
    <sheet name="Instytucje" sheetId="6" r:id="rId6"/>
    <sheet name="zlec rm" sheetId="7" r:id="rId7"/>
    <sheet name="doch Pr" sheetId="8" r:id="rId8"/>
    <sheet name="Wyd Pr" sheetId="9" r:id="rId9"/>
    <sheet name="jednostki" sheetId="10" r:id="rId10"/>
    <sheet name="zlec Pr" sheetId="11" r:id="rId11"/>
    <sheet name="Doch-harm" sheetId="12" r:id="rId12"/>
    <sheet name="Wyd-harm" sheetId="13" r:id="rId13"/>
  </sheets>
  <definedNames>
    <definedName name="_xlnm.Print_Titles" localSheetId="7">'doch Pr'!$7:$7</definedName>
    <definedName name="_xlnm.Print_Titles" localSheetId="0">'doch rm'!$7:$7</definedName>
    <definedName name="_xlnm.Print_Titles" localSheetId="11">'Doch-harm'!$8:$8</definedName>
    <definedName name="_xlnm.Print_Titles" localSheetId="2">'inwest'!$6:$8</definedName>
    <definedName name="_xlnm.Print_Titles" localSheetId="9">'jednostki'!$9:$9</definedName>
    <definedName name="_xlnm.Print_Titles" localSheetId="3">'remonty'!$9:$9</definedName>
    <definedName name="_xlnm.Print_Titles" localSheetId="8">'Wyd Pr'!$7:$7</definedName>
    <definedName name="_xlnm.Print_Titles" localSheetId="1">'Wyd rm'!$7:$7</definedName>
    <definedName name="_xlnm.Print_Titles" localSheetId="12">'Wyd-harm'!$9:$9</definedName>
    <definedName name="_xlnm.Print_Titles" localSheetId="10">'zlec Pr'!$9:$9</definedName>
    <definedName name="_xlnm.Print_Titles" localSheetId="6">'zlec rm'!$9:$9</definedName>
  </definedNames>
  <calcPr fullCalcOnLoad="1"/>
</workbook>
</file>

<file path=xl/sharedStrings.xml><?xml version="1.0" encoding="utf-8"?>
<sst xmlns="http://schemas.openxmlformats.org/spreadsheetml/2006/main" count="672" uniqueCount="257">
  <si>
    <t>Subwencje i dotacja rekompensująca</t>
  </si>
  <si>
    <t>zadania realizowane w ramach Gminnego Programu Profilaktyki i Rozwiązywania Problemów Alkoholowych, w tym:</t>
  </si>
  <si>
    <t>Domy pomocy społecznej</t>
  </si>
  <si>
    <t>Wydatki na zadania realizowane na podstawie porozumień i umów</t>
  </si>
  <si>
    <t>Dotacje celowe z budżetu państwa na zadania zlecone 
z zakresu administracji rządowej</t>
  </si>
  <si>
    <t>zakupy inwestycyjne</t>
  </si>
  <si>
    <t>Załącznik nr 2</t>
  </si>
  <si>
    <t>Załącznik nr 10</t>
  </si>
  <si>
    <t>Załącznik nr 9</t>
  </si>
  <si>
    <t>Plan finansowy zadań z zakresu administracji rządowej i innych zadań zleconych ustawami</t>
  </si>
  <si>
    <t>Plan wydatków 
po zmianach</t>
  </si>
  <si>
    <t xml:space="preserve">Rozdz. </t>
  </si>
  <si>
    <t>Zmiany</t>
  </si>
  <si>
    <t>Zadania zlecone ogółem</t>
  </si>
  <si>
    <t>Zadania ustawowo zlecone gminie</t>
  </si>
  <si>
    <t>(Nazwa działu, rozdziału, źródła dochodów, zadania, paragrafu)</t>
  </si>
  <si>
    <r>
      <t xml:space="preserve">Wydatki na zadania zlecone, </t>
    </r>
    <r>
      <rPr>
        <sz val="10"/>
        <rFont val="Arial CE"/>
        <family val="2"/>
      </rPr>
      <t>z tego:</t>
    </r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</si>
  <si>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</si>
  <si>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</si>
  <si>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</si>
  <si>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</si>
  <si>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</si>
  <si>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Dochody ogółem</t>
  </si>
  <si>
    <t>Treść</t>
  </si>
  <si>
    <t>(Nazwa działu, rozdziału)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</si>
  <si>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</si>
  <si>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</si>
  <si>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</si>
  <si>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</si>
  <si>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</si>
  <si>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inwestycji po zmianach</t>
  </si>
  <si>
    <t>Wydatki na zadania zlecone</t>
  </si>
  <si>
    <t>Pomoc społeczna</t>
  </si>
  <si>
    <t>Prezydenta Miasta Lublin</t>
  </si>
  <si>
    <t>Wydatki</t>
  </si>
  <si>
    <t>w złotych</t>
  </si>
  <si>
    <t>Dz.</t>
  </si>
  <si>
    <t>Rozdz.</t>
  </si>
  <si>
    <t>§</t>
  </si>
  <si>
    <t>Wydatki                                                                                                                               (Nazwa działu, rozdziału, zadania, paragrafu)</t>
  </si>
  <si>
    <t>Zmniejszenie</t>
  </si>
  <si>
    <t>Plan po zmianach</t>
  </si>
  <si>
    <t>Wydatki ogółem</t>
  </si>
  <si>
    <t>z tego:</t>
  </si>
  <si>
    <t>Wydatki na zadania własne</t>
  </si>
  <si>
    <t>Zakup usług pozostałych</t>
  </si>
  <si>
    <t>Zakup materiałów i wyposażenia</t>
  </si>
  <si>
    <t>wydatki rzeczowe</t>
  </si>
  <si>
    <t>Zakup energii</t>
  </si>
  <si>
    <t>Składki na ubezpieczenia społeczne</t>
  </si>
  <si>
    <t>Pozostała działalność</t>
  </si>
  <si>
    <t>Oświata i wychowanie</t>
  </si>
  <si>
    <t>Edukacyjna opieka wychowawcza</t>
  </si>
  <si>
    <t>Wydatki na zadania ustawowo zlecone gminie</t>
  </si>
  <si>
    <t>Wydatki na zadania z zakresu administracji rządowej wykonywane przez powiat</t>
  </si>
  <si>
    <t>Dochody</t>
  </si>
  <si>
    <t>Dochody                                                                                                                                            (Nazwa działu, rozdziału, źródła dochodów, paragrafu)</t>
  </si>
  <si>
    <t>Zwiększenia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</si>
  <si>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</si>
  <si>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</si>
  <si>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</si>
  <si>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</si>
  <si>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</si>
  <si>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 xml:space="preserve">Dotacje celowe z budżetu państwa na zadania z zakresu administracji rządowej </t>
  </si>
  <si>
    <t>Dział</t>
  </si>
  <si>
    <t xml:space="preserve">Rozdz.      </t>
  </si>
  <si>
    <t xml:space="preserve">Treść   </t>
  </si>
  <si>
    <t>Zmniejszenia</t>
  </si>
  <si>
    <t>Ogółem</t>
  </si>
  <si>
    <t>1. Urząd Miasta</t>
  </si>
  <si>
    <t>1.1 Wydział Finansowy</t>
  </si>
  <si>
    <t>Zadania z zakresu administracji rządowej wykonywane przez powiat</t>
  </si>
  <si>
    <t xml:space="preserve">Nazwa: działu, rozdziału, zadania </t>
  </si>
  <si>
    <t>Zadania własne</t>
  </si>
  <si>
    <t>Plan dochodów po zmianach</t>
  </si>
  <si>
    <t xml:space="preserve">Podział planowanych dochodów i wydatków budżetu miasta </t>
  </si>
  <si>
    <t>w tym:</t>
  </si>
  <si>
    <t xml:space="preserve">Dochody
według uchwały    
nr 583/XXV/2004                              
Rady Miasta Lublin
z 30.12.2004 r.
z późn. zm.
</t>
  </si>
  <si>
    <t xml:space="preserve">Wydatki
według uchwały    
nr 583/XXV/2004                              
Rady Miasta Lublin
z 30.12.2004 r.
z późn. zm.
</t>
  </si>
  <si>
    <t xml:space="preserve">Plan według uchwały    
nr 583/XXV/2004                              
Rady Miasta Lublin
z 30.12.2004 r.
z późn. zm.                        </t>
  </si>
  <si>
    <t>na 2005 rok według jednostek organizacyjnych realizujących budżet</t>
  </si>
  <si>
    <t>Dochody budżetu miasta na 2005 rok</t>
  </si>
  <si>
    <t>Wydatki budżetu miasta na 2005 rok</t>
  </si>
  <si>
    <t>Planowane wydatki majątkowe na 2005 rok</t>
  </si>
  <si>
    <t>Plan remontów na 2005 rok</t>
  </si>
  <si>
    <t>związanych z realizacją powyższych zadań na 2005 rok</t>
  </si>
  <si>
    <t>Harmonogram realizacji dochodów budżetu miasta w 2005 roku</t>
  </si>
  <si>
    <t>Harmonogram realizacji wydatków budżetu miasta w 2005 roku</t>
  </si>
  <si>
    <t>Załącznik nr 4</t>
  </si>
  <si>
    <t xml:space="preserve">Plan według uchwały    
nr 583/XXV/2004                              
Rady Miasta Lublin
z 30.12.2004 r.
z późn. zm.                     </t>
  </si>
  <si>
    <t xml:space="preserve">Plan według uchwały    
nr 583/XXV/2004                              
Rady Miasta Lublin
z 30.12.2004 r.
z późn. zm.                           </t>
  </si>
  <si>
    <r>
      <t>Dochody gminy ogółem,</t>
    </r>
    <r>
      <rPr>
        <sz val="10"/>
        <rFont val="Arial CE"/>
        <family val="2"/>
      </rPr>
      <t xml:space="preserve"> z tego:</t>
    </r>
  </si>
  <si>
    <r>
      <t xml:space="preserve">Dochody powiatu ogółem, </t>
    </r>
    <r>
      <rPr>
        <sz val="10"/>
        <rFont val="Arial CE"/>
        <family val="2"/>
      </rPr>
      <t>z tego:</t>
    </r>
  </si>
  <si>
    <t>Plan na 2005 rok
z późn. zm.</t>
  </si>
  <si>
    <t>Plan
na 2005 rok
z późn. zm.</t>
  </si>
  <si>
    <t>Gospodarka mieszkaniowa</t>
  </si>
  <si>
    <t>Wydatki inwestycyjne jednostek budżetowych</t>
  </si>
  <si>
    <t>Dochody gminy, w tym:</t>
  </si>
  <si>
    <t>Wynagrodzenia bezosobowe</t>
  </si>
  <si>
    <t>Załącznik nr 3</t>
  </si>
  <si>
    <t>Plan według uchwały    
nr 583/XXV/2004                              
Rady Miasta Lublin
z 30.12.2004 r. 
z późn. zm.</t>
  </si>
  <si>
    <t>oraz plan dochodów, które podlegają przekazaniu do budżetu państwa</t>
  </si>
  <si>
    <t>Rozdz. 
§</t>
  </si>
  <si>
    <t>Ochrona zdrowia</t>
  </si>
  <si>
    <t>Przeciwdziałanie alkoholizmowi</t>
  </si>
  <si>
    <t>Kultura i ochrona dziedzictwa narodowego</t>
  </si>
  <si>
    <t>Różne rozliczenia</t>
  </si>
  <si>
    <t>Rezerwy ogólne i celowe</t>
  </si>
  <si>
    <t>rezerwa budżetowa</t>
  </si>
  <si>
    <t xml:space="preserve">Rezerwy </t>
  </si>
  <si>
    <t>Dotacje celowe na zadania realizowane na podstawie porozumień
i umów</t>
  </si>
  <si>
    <t>Dochody gminy ogółem, w tym:</t>
  </si>
  <si>
    <t>Załącznik nr 6</t>
  </si>
  <si>
    <t xml:space="preserve">1.3 Wydział Organizacyjny </t>
  </si>
  <si>
    <t>1.5 Wydział Spraw Społecznych</t>
  </si>
  <si>
    <t>Załącznik nr 8</t>
  </si>
  <si>
    <t>Rezerwy</t>
  </si>
  <si>
    <t>Handel</t>
  </si>
  <si>
    <t>Bezpieczeństwo publiczne i ochrona przeciwpożarowa</t>
  </si>
  <si>
    <t>Straż Miejska</t>
  </si>
  <si>
    <t>Bezpieczeństwo pibliczne i ochrona przeciwpożarowa</t>
  </si>
  <si>
    <t>zakupy inwestycyjne dla Miejskiego Zespołu Reagowania Kryzysowego</t>
  </si>
  <si>
    <t>Zakup usług przez jednostki samorządu terytorialnego od innych jednostek samorządu terytorialnego</t>
  </si>
  <si>
    <t>Usługi opiekuńcze i specjalistyczne usługi opiekuńcze</t>
  </si>
  <si>
    <t>usługi opiekuńcze</t>
  </si>
  <si>
    <t>Świadczenia rodzinne, zaliczka alimentacyjna oraz składki na ubezpieczenia emerytalne i rentowe z ubezpieczenia społecznego</t>
  </si>
  <si>
    <t>dotacja celowa z budżetu państwa na wydatki związane z wypłatą świadczeń rodzinnych</t>
  </si>
  <si>
    <t>świadczenia rodzinne</t>
  </si>
  <si>
    <t>Świadczenia społeczne</t>
  </si>
  <si>
    <t>853</t>
  </si>
  <si>
    <t>Pozostałe zadania w zakresie polityki społecznej</t>
  </si>
  <si>
    <t>Zespoły do spraw orzekania o niepełnosprawności</t>
  </si>
  <si>
    <t>upowszechnianie kultury fizycznej</t>
  </si>
  <si>
    <t>nagrody Prezydenta Miasta Lublin i inne dla zawodników i kadry szkoleniowej</t>
  </si>
  <si>
    <t>Nagrody o charakterze szczególnym niezaliczone do wynagrodzeń</t>
  </si>
  <si>
    <t>nagrody Prezydenta Miasta Lublin i inne dla zawodników 
i kadry szkoleniowej</t>
  </si>
  <si>
    <t>zwiększanie dostępności pomocy terapeutycznej
i rehabilitacyjnej dla osób uzależnionych od alkoholu</t>
  </si>
  <si>
    <t>udzielanie rodzinom, w których występują problemy alkoholowe pomocy psychospołecznej i prawnej, a w szczególności ochrony przed przemocą w rodzinie</t>
  </si>
  <si>
    <t>wspomaganie działalności instytucji, stowarzyszeń i osób fizycznych, służącej rozwiązywaniu problemów alkoholowych</t>
  </si>
  <si>
    <t>wspieranie zatrudnienia socjalnego poprzez organizowanie i finansowanie centrów integracji społecznej</t>
  </si>
  <si>
    <t>wspieranie zatrudnienia socjalnego poprzez organizowanie 
i finansowanie centrów integracji społecznej</t>
  </si>
  <si>
    <t>pokrycie kosztów obsługi realizowanych zadań</t>
  </si>
  <si>
    <t>Dotacje celowe z budżetu na finansowanie lub dofinansowanie kosztów realizacji inwestycji i zakupów inwestycyjnych innych jednostek sektora finansów publicznych</t>
  </si>
  <si>
    <t>dotacja dla Miejskiej Biblioteki Publicznej im. H. Łopacińskiego na realizację projektu "Informatyzacja Miejskiej Biblioteki Publicznej im. H. Łopacińskiego w Lublinie i utworzenie Publicznych Punktów Dostępu do Internetu w filiach MBP" - I i II etap</t>
  </si>
  <si>
    <t xml:space="preserve">dotacja dla Miejskiej Biblioteki Publicznej 
im. H. Łopacińskiego </t>
  </si>
  <si>
    <t xml:space="preserve">dotacja dla Zarządu Nieruchomości Komunalnych </t>
  </si>
  <si>
    <t xml:space="preserve">Dotacja przedmiotowa z budżetu dla zakładu budżetowego </t>
  </si>
  <si>
    <t>Zakłady gospodarki mieszkaniowej</t>
  </si>
  <si>
    <t>remonty budynków komunalnych</t>
  </si>
  <si>
    <t>Remonty ogółem</t>
  </si>
  <si>
    <t>inwestycje - modernizacje budynków</t>
  </si>
  <si>
    <t>Dotacje celowe z budżetu na finansowanie lub dofinansowanie kosztów realizacji inwestycji i zakupów inwestycyjnych zakładów budżetowych</t>
  </si>
  <si>
    <t>modernizacje budynków</t>
  </si>
  <si>
    <t>Ochrona zrdowia</t>
  </si>
  <si>
    <t>budowa i modernizacja boisk</t>
  </si>
  <si>
    <t>Wydatki na zadani zlecone</t>
  </si>
  <si>
    <t xml:space="preserve">               Załącznik nr 5</t>
  </si>
  <si>
    <t>Zestawienie przychodów i wydatków zakładów budżetowych, gospodarstw pomocniczych</t>
  </si>
  <si>
    <t>oraz dochodów i wydatków rachunków dochodów własnych jednostek budżetowych na 2005 rok</t>
  </si>
  <si>
    <t>w  złotych</t>
  </si>
  <si>
    <t>Przychody / Dochody 
wg uchwały 
nr 583/XXV/2004 
Rady Miasta Lublin 
z dnia 30.12.2004 r. 
z późn. zm.</t>
  </si>
  <si>
    <t>Przychody / Dochody 
po zmianach</t>
  </si>
  <si>
    <t>Wydatki wg uchwały 
nr 583/XXV/2004 Rady Miasta Lublin z dnia 30.12.2004 r. 
z późn. zm.</t>
  </si>
  <si>
    <t>Wydatki po zmianach</t>
  </si>
  <si>
    <t xml:space="preserve">w tym: dotacja
z budżetu                                </t>
  </si>
  <si>
    <t>Stawka dotacji</t>
  </si>
  <si>
    <t>w tym dotacja 
z budżetu</t>
  </si>
  <si>
    <t xml:space="preserve">Zakres dotacji </t>
  </si>
  <si>
    <t xml:space="preserve">w tym:             wynagrodzenia  </t>
  </si>
  <si>
    <r>
      <t>Zakłady budżetowe i gospodarstwa pomocnicze,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z tego:</t>
    </r>
  </si>
  <si>
    <t xml:space="preserve">Razem zakłady budżetowe </t>
  </si>
  <si>
    <t>Razem gospodarstwa pomocnicze</t>
  </si>
  <si>
    <r>
      <t xml:space="preserve">Dotacje celowe na inwestycje, </t>
    </r>
    <r>
      <rPr>
        <sz val="10"/>
        <rFont val="Arial"/>
        <family val="2"/>
      </rPr>
      <t>w tym:</t>
    </r>
  </si>
  <si>
    <t>Zarząd Nieruchomości Komunalnych</t>
  </si>
  <si>
    <t>Zespół Szkół Samochodowych nr 2 
Warsztaty Szkolne</t>
  </si>
  <si>
    <t>Zespół Szkół Samochodowych 
im. St. Syroczyńskiego
Warsztaty Szkolne</t>
  </si>
  <si>
    <t>Zespół Szkół  Mechanicznych                                Warsztaty Szkolne</t>
  </si>
  <si>
    <t>Lubelskie Centrum Edukacji Zawodowej                                      Warsztaty Szkolne</t>
  </si>
  <si>
    <t>Zespół Szkół nr 3                             Warsztaty Szkolne</t>
  </si>
  <si>
    <t>Zespół Szkół nr 5                          Warsztaty Szkolne</t>
  </si>
  <si>
    <t>Państwowe Szkoły Budownictwa 
i Geodezji 
Warsztaty Szkolne</t>
  </si>
  <si>
    <t>Specjalny Ośrodek Szkolno - Wychowawczy nr 1 
Warsztaty Szkolne</t>
  </si>
  <si>
    <t xml:space="preserve">               Prezydenta Miasta Lublin</t>
  </si>
  <si>
    <t>remonty budynków</t>
  </si>
  <si>
    <t>modrenizacje budynków</t>
  </si>
  <si>
    <t>inwestycje - zakupy inwestycyjne</t>
  </si>
  <si>
    <t>opłaty za pobyt osób skierowanych do domów pomocy społecznej poza miasto Lublin</t>
  </si>
  <si>
    <t>ze środków budżetu państwa</t>
  </si>
  <si>
    <t xml:space="preserve">w tym: inwestycje </t>
  </si>
  <si>
    <t>1.4 Wydział Spraw Administracyjnych</t>
  </si>
  <si>
    <t>852</t>
  </si>
  <si>
    <t>3. Dom Pomocy Społecznej Betania</t>
  </si>
  <si>
    <t>2. Komenda Straży Miejskiej</t>
  </si>
  <si>
    <t>Miejski Zespół Reagowania Kryzysowego</t>
  </si>
  <si>
    <t xml:space="preserve">1.1 Wydział Bezpieczeństwa Mieszkańców i Zarzadzania Kryzysowego </t>
  </si>
  <si>
    <t xml:space="preserve">1.2 Wydział Finansowy </t>
  </si>
  <si>
    <t>z dnia 16 grudnia 2005 roku</t>
  </si>
  <si>
    <t>porządkowanie targowisk, handlu ulicznego</t>
  </si>
  <si>
    <t>inwestycje - zakupy inwestycyjne dla Miejskiego Zespołu Reagowania Kryzysowego</t>
  </si>
  <si>
    <t>inwestycje - budowa i modernizacja boisk</t>
  </si>
  <si>
    <t>Dotacja celowa z budżetu dla pozostałych jednostek zaliczanych do sektora finansów publicznych</t>
  </si>
  <si>
    <t>Informatyzacja Miejskiej Biblioteki Publicznej 
im. H. Łopacińskiego w Lublinie i utworzenie 
Publicznych Punktów Dostępu do Internetu 
w filiach MBP - I i II etap</t>
  </si>
  <si>
    <t>zwiększanie dostępności pomocy terapeutycznej i rehabilitacyjnej dla osób uzależnionych od alkoholu</t>
  </si>
  <si>
    <t xml:space="preserve">4. Miejski Ośrodek Pomocy Rodzinie </t>
  </si>
  <si>
    <t xml:space="preserve">               z dnia 16 grudnia 2005 roku</t>
  </si>
  <si>
    <t>z dnia  16 grudnia 2005 roku</t>
  </si>
  <si>
    <t>Załącznik nr 13</t>
  </si>
  <si>
    <t xml:space="preserve">1.1  Wydział Finansowy </t>
  </si>
  <si>
    <t>1.2 Wydział Organizacyjny</t>
  </si>
  <si>
    <t xml:space="preserve">2. Miejski Ośrodek Pomocy Rodzinie </t>
  </si>
  <si>
    <t>1.3  Wydział Spraw Administracyjnych</t>
  </si>
  <si>
    <t>1.4  Wydział Spraw Społecznych</t>
  </si>
  <si>
    <t>zapewnienie miejsc noclegowych w noclegowaniach, schroniskach, domach dla bezdomnych i ofiar przemocy</t>
  </si>
  <si>
    <t xml:space="preserve">środki w dyspozycji </t>
  </si>
  <si>
    <t>Dotacja celowa z budżetu na finansowanie lub dofinansowanie zadań zleconych do realizacji fundacjom</t>
  </si>
  <si>
    <t>Składki na Fundusz Pracy</t>
  </si>
  <si>
    <t>Kultura fizyczna i sport</t>
  </si>
  <si>
    <t>Zadania w zakresie kultury fizycznej i sportu</t>
  </si>
  <si>
    <t>Ogółem instytucje kultury, z tego:</t>
  </si>
  <si>
    <t>Załącznik nr 1</t>
  </si>
  <si>
    <t>Załącznik nr 7</t>
  </si>
  <si>
    <t>Załącznik nr 11</t>
  </si>
  <si>
    <t>Instytucje kultury</t>
  </si>
  <si>
    <t>Nazwa instytucji</t>
  </si>
  <si>
    <t>Wydatki na zadania realizowane na podstawie porozumień 
i umów</t>
  </si>
  <si>
    <t>Biblioteki</t>
  </si>
  <si>
    <t>zadania realizowane w ramach Gminnego Programu Profilaktyki 
i Rozwiązywania Problemów Alkoholowych, w tym:</t>
  </si>
  <si>
    <t>prowadzenie profilaktycznej działalności informacyjnej
i edukacyjnej w zakresie rozwiązywania problemów 
alkoholowych i przeciwdziałania narkomanii, w szczególności 
dla dzieci i młodzieży, w tym prowadzenie pozalekcyjnych 
zajęć sportowych, a także działań na rzecz dożywiania dzieci
uczestniczących w pozalekcyjnych programach opiekuńczo-
wychowawczych i socjoterapeutycznych</t>
  </si>
  <si>
    <t>Załącznik nr 12</t>
  </si>
  <si>
    <t>Plan dotacji według uchwały 
nr 583/XXV/2004 Rady Miasta 
Lublin z 30.12.2004 r. z późn. zm.</t>
  </si>
  <si>
    <t xml:space="preserve">Plan dotacji po zmianach </t>
  </si>
  <si>
    <t>ogółem</t>
  </si>
  <si>
    <t>w tym: dotacja na inwestycje</t>
  </si>
  <si>
    <t>Wydatki na zakupy inwestycyjne jednostek budżetowych</t>
  </si>
  <si>
    <t>wynagrodzenia</t>
  </si>
  <si>
    <t>Zakup usług zdrowotnych</t>
  </si>
  <si>
    <t>Dotacje celowe otrzymane z budżetu państwa na realizację zadań bieżących 
z zakresu administracji rządowej oraz innych zadań zleconych gminie ustawami</t>
  </si>
  <si>
    <t>pochodne od wynagrodzeń</t>
  </si>
  <si>
    <t>Dotacja celowa z budżetu na finansowanie lub dofinansowanie zadań zleconych do realizacji stowarzyszeniom</t>
  </si>
  <si>
    <t>do zarządzenia nr 489/2005</t>
  </si>
  <si>
    <t xml:space="preserve">               do zarządzenia nr 489/2005</t>
  </si>
  <si>
    <t>do zarządzenia nr 489/02005</t>
  </si>
  <si>
    <t>Dochody i wydatki rachunków dochodów własnych jednostek budżetowych</t>
  </si>
  <si>
    <t>inwestycje -  zakupy inwestycyjne dla Miejskiego Zespołu Reagowania Kryzysowego</t>
  </si>
  <si>
    <t>Dotacje celowe z budżetu na finansowanie lub dofinansowanie kosztów realizacji inwestycji 
i zakupów inwestycyjnych innych jednostek sektora finansów publicznych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</si>
  <si>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
i socjoterapeutycznych</t>
  </si>
  <si>
    <t>udzielanie rodzinom, w których występują problemy alkoholowe pomocy psychospołecznej 
i prawnej, a w szczególności ochrony przed przemocą w rodzinie</t>
  </si>
  <si>
    <t>"Nadzieja" Charytatywne Stowarzyszenie Niesienia Pomocy Chorym Uzależnionym od Alkoholu, ul. Abramowicka 2f, 20-442 Lublin - ośrodek dla bezdomnych mężczyzn 
przy ul. Garbarskiej 17</t>
  </si>
  <si>
    <t>porządkowanie targowisk, handlu ulicznego - wynagrodzenia</t>
  </si>
  <si>
    <t>w tym: remonty</t>
  </si>
  <si>
    <t>zadania realizowane w ramach Gminnego Programu Profilaktyki 
i Rozwiązywania Problemów Alkoholowych</t>
  </si>
  <si>
    <t>w tym: wynagrodzenia</t>
  </si>
  <si>
    <t>dotacja dla Zarządu Nieruchomości Komunalnych, w tym:</t>
  </si>
  <si>
    <t>Miejski Zespół Reagowania Kryzysowego, w tym:</t>
  </si>
  <si>
    <t>SKARBNIK MIASTA LUBLIN                                PREZYDENT</t>
  </si>
  <si>
    <t xml:space="preserve">        mgr Irena Szumlak                                      Miasta Lublin</t>
  </si>
  <si>
    <t xml:space="preserve">                                                                     Andrzej Pruszkowski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</si>
</sst>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i/>
      <u val="single"/>
      <sz val="10"/>
      <name val="Arial CE"/>
      <family val="2"/>
    </font>
    <font>
      <i/>
      <sz val="10"/>
      <name val="Arial"/>
      <family val="2"/>
    </font>
    <font>
      <i/>
      <sz val="11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0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7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4" fillId="0" borderId="9" xfId="0" applyFont="1" applyAlignment="1">
      <alignment horizontal="center" vertical="center" wrapText="1"/>
    </xf>
    <xf numFmtId="3" fontId="14" fillId="0" borderId="9" xfId="0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3" fontId="17" fillId="0" borderId="9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Alignment="1">
      <alignment/>
    </xf>
    <xf numFmtId="3" fontId="21" fillId="0" borderId="0" xfId="0" applyAlignment="1">
      <alignment/>
    </xf>
    <xf numFmtId="3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20" fillId="0" borderId="0" xfId="0" applyFont="1" applyFill="1" applyBorder="1" applyAlignment="1">
      <alignment wrapText="1"/>
    </xf>
    <xf numFmtId="3" fontId="16" fillId="0" borderId="0" xfId="0" applyFont="1" applyAlignment="1">
      <alignment horizontal="right"/>
    </xf>
    <xf numFmtId="0" fontId="18" fillId="0" borderId="11" xfId="0" applyAlignment="1">
      <alignment/>
    </xf>
    <xf numFmtId="0" fontId="18" fillId="0" borderId="11" xfId="0" applyAlignment="1">
      <alignment horizontal="center"/>
    </xf>
    <xf numFmtId="3" fontId="18" fillId="0" borderId="11" xfId="0" applyAlignment="1">
      <alignment horizontal="center" vertical="center"/>
    </xf>
    <xf numFmtId="3" fontId="18" fillId="0" borderId="12" xfId="0" applyAlignment="1">
      <alignment horizontal="center" vertical="center"/>
    </xf>
    <xf numFmtId="0" fontId="18" fillId="0" borderId="13" xfId="0" applyAlignment="1">
      <alignment horizontal="center" vertical="top" wrapText="1"/>
    </xf>
    <xf numFmtId="0" fontId="18" fillId="0" borderId="14" xfId="0" applyFont="1" applyAlignment="1">
      <alignment horizontal="center" vertical="center"/>
    </xf>
    <xf numFmtId="3" fontId="18" fillId="0" borderId="15" xfId="0" applyAlignment="1">
      <alignment horizontal="center" vertical="top" wrapText="1"/>
    </xf>
    <xf numFmtId="0" fontId="22" fillId="0" borderId="9" xfId="0" applyAlignment="1">
      <alignment horizontal="center" vertical="center"/>
    </xf>
    <xf numFmtId="3" fontId="22" fillId="0" borderId="9" xfId="0" applyAlignment="1">
      <alignment horizontal="center" vertical="center"/>
    </xf>
    <xf numFmtId="0" fontId="11" fillId="0" borderId="0" xfId="0" applyFont="1" applyAlignment="1">
      <alignment/>
    </xf>
    <xf numFmtId="3" fontId="13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5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5" fillId="3" borderId="18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0" fillId="3" borderId="20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 wrapText="1"/>
    </xf>
    <xf numFmtId="3" fontId="0" fillId="3" borderId="21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2" fillId="3" borderId="20" xfId="0" applyFont="1" applyFill="1" applyBorder="1" applyAlignment="1">
      <alignment horizontal="center"/>
    </xf>
    <xf numFmtId="3" fontId="12" fillId="3" borderId="20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5" fillId="4" borderId="24" xfId="0" applyNumberFormat="1" applyFont="1" applyFill="1" applyBorder="1" applyAlignment="1">
      <alignment/>
    </xf>
    <xf numFmtId="0" fontId="7" fillId="3" borderId="23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3" borderId="23" xfId="0" applyFont="1" applyFill="1" applyBorder="1" applyAlignment="1">
      <alignment wrapText="1"/>
    </xf>
    <xf numFmtId="3" fontId="7" fillId="3" borderId="23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11" fillId="5" borderId="25" xfId="0" applyFont="1" applyFill="1" applyAlignment="1">
      <alignment horizontal="center" vertical="center"/>
    </xf>
    <xf numFmtId="0" fontId="10" fillId="5" borderId="26" xfId="0" applyFont="1" applyFill="1" applyAlignment="1">
      <alignment horizontal="center" vertical="center"/>
    </xf>
    <xf numFmtId="3" fontId="10" fillId="5" borderId="26" xfId="0" applyNumberFormat="1" applyFont="1" applyFill="1" applyAlignment="1">
      <alignment horizontal="right"/>
    </xf>
    <xf numFmtId="0" fontId="0" fillId="5" borderId="27" xfId="0" applyFont="1" applyFill="1" applyAlignment="1">
      <alignment horizontal="center" vertical="center"/>
    </xf>
    <xf numFmtId="0" fontId="0" fillId="5" borderId="27" xfId="0" applyFont="1" applyFill="1" applyAlignment="1">
      <alignment horizontal="left" vertical="center"/>
    </xf>
    <xf numFmtId="3" fontId="0" fillId="5" borderId="28" xfId="0" applyNumberFormat="1" applyFont="1" applyFill="1" applyAlignment="1">
      <alignment horizontal="center" vertical="center"/>
    </xf>
    <xf numFmtId="3" fontId="0" fillId="5" borderId="27" xfId="0" applyNumberFormat="1" applyFont="1" applyFill="1" applyAlignment="1">
      <alignment horizontal="center" vertical="center"/>
    </xf>
    <xf numFmtId="0" fontId="0" fillId="3" borderId="27" xfId="0" applyFont="1" applyFill="1" applyAlignment="1">
      <alignment horizontal="center" vertical="center"/>
    </xf>
    <xf numFmtId="0" fontId="12" fillId="3" borderId="27" xfId="0" applyFont="1" applyFill="1" applyAlignment="1">
      <alignment horizontal="center" vertical="center"/>
    </xf>
    <xf numFmtId="3" fontId="12" fillId="3" borderId="27" xfId="0" applyNumberFormat="1" applyFont="1" applyFill="1" applyAlignment="1">
      <alignment horizontal="center" vertical="center"/>
    </xf>
    <xf numFmtId="3" fontId="0" fillId="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4" borderId="2" xfId="0" applyFont="1" applyFill="1" applyBorder="1" applyAlignment="1">
      <alignment horizontal="right"/>
    </xf>
    <xf numFmtId="0" fontId="14" fillId="0" borderId="29" xfId="0" applyFont="1" applyBorder="1" applyAlignment="1">
      <alignment horizontal="center" vertical="center" wrapText="1"/>
    </xf>
    <xf numFmtId="0" fontId="14" fillId="0" borderId="9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7" fillId="3" borderId="2" xfId="0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3" fontId="0" fillId="3" borderId="30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5" fillId="4" borderId="24" xfId="0" applyFont="1" applyFill="1" applyBorder="1" applyAlignment="1">
      <alignment/>
    </xf>
    <xf numFmtId="0" fontId="7" fillId="3" borderId="31" xfId="0" applyFont="1" applyFill="1" applyBorder="1" applyAlignment="1">
      <alignment wrapText="1"/>
    </xf>
    <xf numFmtId="0" fontId="12" fillId="3" borderId="20" xfId="0" applyFont="1" applyFill="1" applyBorder="1" applyAlignment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7" fillId="3" borderId="23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/>
    </xf>
    <xf numFmtId="0" fontId="4" fillId="3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1" fontId="0" fillId="3" borderId="20" xfId="0" applyNumberFormat="1" applyFont="1" applyFill="1" applyBorder="1" applyAlignment="1">
      <alignment/>
    </xf>
    <xf numFmtId="3" fontId="5" fillId="4" borderId="24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32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/>
    </xf>
    <xf numFmtId="3" fontId="7" fillId="3" borderId="34" xfId="0" applyNumberFormat="1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5" fillId="3" borderId="32" xfId="0" applyFont="1" applyFill="1" applyBorder="1" applyAlignment="1">
      <alignment horizontal="right"/>
    </xf>
    <xf numFmtId="0" fontId="5" fillId="3" borderId="33" xfId="0" applyFont="1" applyFill="1" applyBorder="1" applyAlignment="1">
      <alignment/>
    </xf>
    <xf numFmtId="0" fontId="7" fillId="3" borderId="34" xfId="0" applyFont="1" applyFill="1" applyBorder="1" applyAlignment="1">
      <alignment/>
    </xf>
    <xf numFmtId="0" fontId="7" fillId="3" borderId="34" xfId="0" applyFont="1" applyFill="1" applyBorder="1" applyAlignment="1">
      <alignment wrapText="1"/>
    </xf>
    <xf numFmtId="3" fontId="5" fillId="3" borderId="36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/>
    </xf>
    <xf numFmtId="3" fontId="5" fillId="3" borderId="36" xfId="0" applyNumberFormat="1" applyFont="1" applyFill="1" applyBorder="1" applyAlignment="1">
      <alignment/>
    </xf>
    <xf numFmtId="0" fontId="6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right" vertical="center"/>
    </xf>
    <xf numFmtId="3" fontId="10" fillId="3" borderId="36" xfId="0" applyNumberFormat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3" xfId="0" applyFont="1" applyFill="1" applyBorder="1" applyAlignment="1">
      <alignment wrapText="1"/>
    </xf>
    <xf numFmtId="0" fontId="10" fillId="3" borderId="33" xfId="0" applyFont="1" applyFill="1" applyBorder="1" applyAlignment="1">
      <alignment wrapText="1"/>
    </xf>
    <xf numFmtId="3" fontId="10" fillId="3" borderId="33" xfId="0" applyNumberFormat="1" applyFont="1" applyFill="1" applyBorder="1" applyAlignment="1">
      <alignment horizontal="right"/>
    </xf>
    <xf numFmtId="3" fontId="10" fillId="3" borderId="40" xfId="0" applyNumberFormat="1" applyFont="1" applyFill="1" applyBorder="1" applyAlignment="1">
      <alignment horizontal="right"/>
    </xf>
    <xf numFmtId="3" fontId="10" fillId="3" borderId="41" xfId="0" applyNumberFormat="1" applyFont="1" applyFill="1" applyBorder="1" applyAlignment="1">
      <alignment horizontal="right"/>
    </xf>
    <xf numFmtId="3" fontId="0" fillId="3" borderId="42" xfId="0" applyNumberFormat="1" applyFont="1" applyFill="1" applyBorder="1" applyAlignment="1">
      <alignment/>
    </xf>
    <xf numFmtId="3" fontId="0" fillId="3" borderId="43" xfId="0" applyNumberFormat="1" applyFont="1" applyFill="1" applyBorder="1" applyAlignment="1">
      <alignment/>
    </xf>
    <xf numFmtId="0" fontId="25" fillId="3" borderId="23" xfId="0" applyFont="1" applyFill="1" applyBorder="1" applyAlignment="1">
      <alignment wrapText="1"/>
    </xf>
    <xf numFmtId="3" fontId="25" fillId="3" borderId="23" xfId="0" applyNumberFormat="1" applyFont="1" applyFill="1" applyBorder="1" applyAlignment="1">
      <alignment/>
    </xf>
    <xf numFmtId="3" fontId="25" fillId="3" borderId="7" xfId="0" applyNumberFormat="1" applyFont="1" applyFill="1" applyBorder="1" applyAlignment="1">
      <alignment/>
    </xf>
    <xf numFmtId="3" fontId="25" fillId="3" borderId="44" xfId="0" applyNumberFormat="1" applyFont="1" applyFill="1" applyBorder="1" applyAlignment="1">
      <alignment/>
    </xf>
    <xf numFmtId="3" fontId="5" fillId="3" borderId="20" xfId="0" applyNumberFormat="1" applyFont="1" applyFill="1" applyBorder="1" applyAlignment="1">
      <alignment/>
    </xf>
    <xf numFmtId="0" fontId="18" fillId="5" borderId="45" xfId="0" applyFill="1" applyBorder="1" applyAlignment="1">
      <alignment/>
    </xf>
    <xf numFmtId="0" fontId="18" fillId="5" borderId="46" xfId="0" applyFill="1" applyBorder="1" applyAlignment="1">
      <alignment horizontal="left"/>
    </xf>
    <xf numFmtId="3" fontId="18" fillId="5" borderId="46" xfId="0" applyNumberFormat="1" applyFill="1" applyAlignment="1">
      <alignment horizontal="right"/>
    </xf>
    <xf numFmtId="3" fontId="18" fillId="5" borderId="46" xfId="0" applyNumberFormat="1" applyFont="1" applyFill="1" applyAlignment="1">
      <alignment horizontal="right"/>
    </xf>
    <xf numFmtId="0" fontId="13" fillId="5" borderId="47" xfId="0" applyFill="1" applyBorder="1" applyAlignment="1">
      <alignment horizontal="center"/>
    </xf>
    <xf numFmtId="0" fontId="14" fillId="6" borderId="48" xfId="0" applyFont="1" applyFill="1" applyBorder="1" applyAlignment="1">
      <alignment horizontal="center"/>
    </xf>
    <xf numFmtId="3" fontId="14" fillId="6" borderId="48" xfId="0" applyNumberFormat="1" applyFill="1" applyAlignment="1">
      <alignment horizontal="right"/>
    </xf>
    <xf numFmtId="0" fontId="13" fillId="5" borderId="47" xfId="0" applyFill="1" applyBorder="1" applyAlignment="1">
      <alignment/>
    </xf>
    <xf numFmtId="0" fontId="19" fillId="6" borderId="27" xfId="0" applyFill="1" applyBorder="1" applyAlignment="1">
      <alignment horizontal="center"/>
    </xf>
    <xf numFmtId="3" fontId="19" fillId="6" borderId="27" xfId="0" applyNumberFormat="1" applyFill="1" applyAlignment="1">
      <alignment horizontal="center"/>
    </xf>
    <xf numFmtId="0" fontId="20" fillId="3" borderId="46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49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/>
    </xf>
    <xf numFmtId="0" fontId="0" fillId="3" borderId="35" xfId="0" applyFont="1" applyFill="1" applyBorder="1" applyAlignment="1">
      <alignment horizontal="left"/>
    </xf>
    <xf numFmtId="3" fontId="5" fillId="3" borderId="35" xfId="0" applyNumberFormat="1" applyFont="1" applyFill="1" applyBorder="1" applyAlignment="1">
      <alignment/>
    </xf>
    <xf numFmtId="0" fontId="18" fillId="5" borderId="25" xfId="0" applyFill="1" applyBorder="1" applyAlignment="1">
      <alignment horizontal="left"/>
    </xf>
    <xf numFmtId="0" fontId="13" fillId="5" borderId="27" xfId="0" applyFill="1" applyBorder="1" applyAlignment="1">
      <alignment horizontal="center"/>
    </xf>
    <xf numFmtId="0" fontId="13" fillId="5" borderId="27" xfId="0" applyFill="1" applyBorder="1" applyAlignment="1">
      <alignment/>
    </xf>
    <xf numFmtId="0" fontId="0" fillId="3" borderId="51" xfId="0" applyFont="1" applyFill="1" applyBorder="1" applyAlignment="1">
      <alignment/>
    </xf>
    <xf numFmtId="0" fontId="7" fillId="3" borderId="51" xfId="0" applyFont="1" applyFill="1" applyBorder="1" applyAlignment="1">
      <alignment/>
    </xf>
    <xf numFmtId="0" fontId="5" fillId="4" borderId="52" xfId="0" applyFont="1" applyFill="1" applyBorder="1" applyAlignment="1">
      <alignment/>
    </xf>
    <xf numFmtId="0" fontId="14" fillId="0" borderId="9" xfId="0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0" fontId="5" fillId="7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0" fillId="0" borderId="30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4" fillId="0" borderId="24" xfId="0" applyNumberFormat="1" applyFont="1" applyBorder="1" applyAlignment="1">
      <alignment wrapText="1"/>
    </xf>
    <xf numFmtId="3" fontId="0" fillId="0" borderId="55" xfId="0" applyNumberFormat="1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4" fillId="0" borderId="54" xfId="0" applyNumberFormat="1" applyFont="1" applyBorder="1" applyAlignment="1">
      <alignment wrapText="1"/>
    </xf>
    <xf numFmtId="0" fontId="5" fillId="0" borderId="24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30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7" fillId="3" borderId="32" xfId="0" applyFont="1" applyFill="1" applyBorder="1" applyAlignment="1">
      <alignment wrapText="1"/>
    </xf>
    <xf numFmtId="3" fontId="7" fillId="3" borderId="32" xfId="0" applyNumberFormat="1" applyFont="1" applyFill="1" applyBorder="1" applyAlignment="1">
      <alignment/>
    </xf>
    <xf numFmtId="0" fontId="5" fillId="7" borderId="2" xfId="0" applyFont="1" applyFill="1" applyBorder="1" applyAlignment="1">
      <alignment/>
    </xf>
    <xf numFmtId="3" fontId="0" fillId="0" borderId="24" xfId="0" applyNumberFormat="1" applyFont="1" applyBorder="1" applyAlignment="1">
      <alignment horizontal="right" wrapText="1"/>
    </xf>
    <xf numFmtId="0" fontId="0" fillId="0" borderId="55" xfId="0" applyFont="1" applyBorder="1" applyAlignment="1">
      <alignment/>
    </xf>
    <xf numFmtId="0" fontId="4" fillId="0" borderId="2" xfId="0" applyFont="1" applyBorder="1" applyAlignment="1">
      <alignment/>
    </xf>
    <xf numFmtId="3" fontId="5" fillId="2" borderId="23" xfId="0" applyNumberFormat="1" applyFont="1" applyFill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wrapText="1"/>
    </xf>
    <xf numFmtId="3" fontId="7" fillId="3" borderId="31" xfId="0" applyNumberFormat="1" applyFont="1" applyFill="1" applyBorder="1" applyAlignment="1">
      <alignment horizontal="right"/>
    </xf>
    <xf numFmtId="0" fontId="7" fillId="3" borderId="56" xfId="0" applyFont="1" applyFill="1" applyBorder="1" applyAlignment="1">
      <alignment/>
    </xf>
    <xf numFmtId="3" fontId="7" fillId="3" borderId="56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4" fillId="2" borderId="58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0" xfId="0" applyFont="1" applyBorder="1" applyAlignment="1">
      <alignment/>
    </xf>
    <xf numFmtId="0" fontId="7" fillId="3" borderId="57" xfId="0" applyFont="1" applyFill="1" applyBorder="1" applyAlignment="1">
      <alignment/>
    </xf>
    <xf numFmtId="0" fontId="5" fillId="7" borderId="57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2" borderId="2" xfId="0" applyFont="1" applyFill="1" applyBorder="1" applyAlignment="1">
      <alignment wrapText="1"/>
    </xf>
    <xf numFmtId="0" fontId="0" fillId="0" borderId="53" xfId="0" applyFont="1" applyBorder="1" applyAlignment="1">
      <alignment wrapText="1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5" fillId="0" borderId="2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3" fontId="4" fillId="0" borderId="54" xfId="0" applyNumberFormat="1" applyFont="1" applyFill="1" applyBorder="1" applyAlignment="1">
      <alignment wrapText="1"/>
    </xf>
    <xf numFmtId="3" fontId="5" fillId="7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5" fillId="0" borderId="20" xfId="0" applyFont="1" applyBorder="1" applyAlignment="1">
      <alignment/>
    </xf>
    <xf numFmtId="3" fontId="5" fillId="7" borderId="2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54" xfId="0" applyFont="1" applyBorder="1" applyAlignment="1">
      <alignment/>
    </xf>
    <xf numFmtId="3" fontId="4" fillId="0" borderId="54" xfId="0" applyNumberFormat="1" applyFont="1" applyBorder="1" applyAlignment="1">
      <alignment/>
    </xf>
    <xf numFmtId="0" fontId="0" fillId="3" borderId="59" xfId="0" applyFont="1" applyFill="1" applyBorder="1" applyAlignment="1">
      <alignment wrapText="1"/>
    </xf>
    <xf numFmtId="0" fontId="0" fillId="0" borderId="60" xfId="0" applyFont="1" applyBorder="1" applyAlignment="1">
      <alignment wrapText="1"/>
    </xf>
    <xf numFmtId="3" fontId="0" fillId="3" borderId="59" xfId="0" applyNumberFormat="1" applyFont="1" applyFill="1" applyBorder="1" applyAlignment="1">
      <alignment wrapText="1"/>
    </xf>
    <xf numFmtId="3" fontId="0" fillId="0" borderId="60" xfId="0" applyNumberFormat="1" applyFont="1" applyBorder="1" applyAlignment="1">
      <alignment wrapText="1"/>
    </xf>
    <xf numFmtId="3" fontId="25" fillId="3" borderId="61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5" fillId="7" borderId="2" xfId="0" applyNumberFormat="1" applyFont="1" applyFill="1" applyBorder="1" applyAlignment="1">
      <alignment/>
    </xf>
    <xf numFmtId="0" fontId="5" fillId="7" borderId="24" xfId="0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0" fontId="4" fillId="3" borderId="6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3" fontId="0" fillId="0" borderId="21" xfId="0" applyNumberFormat="1" applyFont="1" applyBorder="1" applyAlignment="1">
      <alignment/>
    </xf>
    <xf numFmtId="0" fontId="26" fillId="3" borderId="62" xfId="0" applyFont="1" applyFill="1" applyBorder="1" applyAlignment="1">
      <alignment horizontal="right" vertical="center"/>
    </xf>
    <xf numFmtId="3" fontId="4" fillId="3" borderId="62" xfId="0" applyNumberFormat="1" applyFont="1" applyFill="1" applyBorder="1" applyAlignment="1">
      <alignment horizontal="right"/>
    </xf>
    <xf numFmtId="3" fontId="26" fillId="3" borderId="6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2" borderId="2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0" borderId="6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3" fontId="5" fillId="0" borderId="57" xfId="0" applyNumberFormat="1" applyFont="1" applyBorder="1" applyAlignment="1">
      <alignment wrapText="1"/>
    </xf>
    <xf numFmtId="3" fontId="5" fillId="0" borderId="64" xfId="0" applyNumberFormat="1" applyFont="1" applyBorder="1" applyAlignment="1">
      <alignment wrapText="1"/>
    </xf>
    <xf numFmtId="3" fontId="5" fillId="0" borderId="65" xfId="0" applyNumberFormat="1" applyFont="1" applyBorder="1" applyAlignment="1">
      <alignment wrapText="1"/>
    </xf>
    <xf numFmtId="3" fontId="0" fillId="0" borderId="66" xfId="0" applyNumberFormat="1" applyFont="1" applyBorder="1" applyAlignment="1">
      <alignment wrapText="1"/>
    </xf>
    <xf numFmtId="1" fontId="5" fillId="2" borderId="33" xfId="0" applyNumberFormat="1" applyFont="1" applyFill="1" applyBorder="1" applyAlignment="1">
      <alignment/>
    </xf>
    <xf numFmtId="1" fontId="5" fillId="2" borderId="33" xfId="0" applyNumberFormat="1" applyFont="1" applyFill="1" applyBorder="1" applyAlignment="1">
      <alignment/>
    </xf>
    <xf numFmtId="0" fontId="0" fillId="2" borderId="20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4" fillId="2" borderId="20" xfId="0" applyFont="1" applyFill="1" applyBorder="1" applyAlignment="1">
      <alignment horizontal="right"/>
    </xf>
    <xf numFmtId="3" fontId="5" fillId="7" borderId="57" xfId="0" applyNumberFormat="1" applyFont="1" applyFill="1" applyBorder="1" applyAlignment="1">
      <alignment wrapText="1"/>
    </xf>
    <xf numFmtId="3" fontId="0" fillId="2" borderId="67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wrapText="1"/>
    </xf>
    <xf numFmtId="3" fontId="0" fillId="2" borderId="30" xfId="0" applyNumberFormat="1" applyFont="1" applyFill="1" applyBorder="1" applyAlignment="1">
      <alignment wrapText="1"/>
    </xf>
    <xf numFmtId="3" fontId="4" fillId="2" borderId="54" xfId="0" applyNumberFormat="1" applyFont="1" applyFill="1" applyBorder="1" applyAlignment="1">
      <alignment wrapText="1"/>
    </xf>
    <xf numFmtId="3" fontId="0" fillId="0" borderId="68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3" borderId="33" xfId="0" applyFont="1" applyFill="1" applyBorder="1" applyAlignment="1">
      <alignment/>
    </xf>
    <xf numFmtId="3" fontId="0" fillId="0" borderId="53" xfId="0" applyNumberFormat="1" applyFont="1" applyBorder="1" applyAlignment="1">
      <alignment wrapText="1"/>
    </xf>
    <xf numFmtId="3" fontId="7" fillId="3" borderId="3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wrapText="1"/>
    </xf>
    <xf numFmtId="0" fontId="4" fillId="2" borderId="2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7" fillId="0" borderId="23" xfId="0" applyFont="1" applyBorder="1" applyAlignment="1">
      <alignment/>
    </xf>
    <xf numFmtId="3" fontId="0" fillId="0" borderId="21" xfId="0" applyNumberFormat="1" applyFont="1" applyBorder="1" applyAlignment="1">
      <alignment wrapText="1"/>
    </xf>
    <xf numFmtId="3" fontId="7" fillId="0" borderId="23" xfId="0" applyNumberFormat="1" applyFont="1" applyBorder="1" applyAlignment="1">
      <alignment/>
    </xf>
    <xf numFmtId="1" fontId="5" fillId="3" borderId="20" xfId="0" applyNumberFormat="1" applyFont="1" applyFill="1" applyBorder="1" applyAlignment="1">
      <alignment/>
    </xf>
    <xf numFmtId="0" fontId="12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3" fontId="5" fillId="0" borderId="69" xfId="0" applyNumberFormat="1" applyFont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68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2" borderId="24" xfId="0" applyFont="1" applyFill="1" applyBorder="1" applyAlignment="1">
      <alignment wrapText="1"/>
    </xf>
    <xf numFmtId="3" fontId="0" fillId="0" borderId="71" xfId="0" applyNumberFormat="1" applyFont="1" applyBorder="1" applyAlignment="1">
      <alignment wrapText="1"/>
    </xf>
    <xf numFmtId="3" fontId="0" fillId="0" borderId="72" xfId="0" applyNumberFormat="1" applyFont="1" applyBorder="1" applyAlignment="1">
      <alignment wrapText="1"/>
    </xf>
    <xf numFmtId="0" fontId="5" fillId="0" borderId="21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/>
    </xf>
    <xf numFmtId="0" fontId="4" fillId="0" borderId="63" xfId="0" applyFont="1" applyBorder="1" applyAlignment="1">
      <alignment wrapText="1"/>
    </xf>
    <xf numFmtId="3" fontId="4" fillId="0" borderId="63" xfId="0" applyNumberFormat="1" applyFont="1" applyBorder="1" applyAlignment="1">
      <alignment wrapText="1"/>
    </xf>
    <xf numFmtId="0" fontId="0" fillId="2" borderId="21" xfId="0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0" fontId="5" fillId="7" borderId="24" xfId="0" applyFont="1" applyFill="1" applyBorder="1" applyAlignment="1">
      <alignment horizontal="right"/>
    </xf>
    <xf numFmtId="0" fontId="5" fillId="7" borderId="24" xfId="0" applyFont="1" applyFill="1" applyBorder="1" applyAlignment="1">
      <alignment/>
    </xf>
    <xf numFmtId="3" fontId="5" fillId="7" borderId="24" xfId="0" applyNumberFormat="1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5" fillId="2" borderId="33" xfId="0" applyNumberFormat="1" applyFont="1" applyFill="1" applyBorder="1" applyAlignment="1">
      <alignment wrapText="1"/>
    </xf>
    <xf numFmtId="1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 wrapText="1"/>
    </xf>
    <xf numFmtId="3" fontId="5" fillId="2" borderId="66" xfId="0" applyNumberFormat="1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3" fontId="4" fillId="3" borderId="24" xfId="0" applyNumberFormat="1" applyFont="1" applyFill="1" applyBorder="1" applyAlignment="1">
      <alignment wrapText="1"/>
    </xf>
    <xf numFmtId="3" fontId="4" fillId="0" borderId="54" xfId="0" applyNumberFormat="1" applyFont="1" applyBorder="1" applyAlignment="1">
      <alignment horizontal="right"/>
    </xf>
    <xf numFmtId="3" fontId="4" fillId="3" borderId="20" xfId="0" applyNumberFormat="1" applyFont="1" applyFill="1" applyBorder="1" applyAlignment="1">
      <alignment wrapText="1"/>
    </xf>
    <xf numFmtId="3" fontId="5" fillId="2" borderId="73" xfId="0" applyNumberFormat="1" applyFont="1" applyFill="1" applyBorder="1" applyAlignment="1">
      <alignment wrapText="1"/>
    </xf>
    <xf numFmtId="3" fontId="5" fillId="2" borderId="41" xfId="0" applyNumberFormat="1" applyFont="1" applyFill="1" applyBorder="1" applyAlignment="1">
      <alignment wrapText="1"/>
    </xf>
    <xf numFmtId="0" fontId="4" fillId="0" borderId="54" xfId="0" applyFont="1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2" borderId="30" xfId="0" applyFont="1" applyFill="1" applyBorder="1" applyAlignment="1">
      <alignment/>
    </xf>
    <xf numFmtId="49" fontId="5" fillId="7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3" fontId="16" fillId="0" borderId="54" xfId="0" applyNumberFormat="1" applyFont="1" applyBorder="1" applyAlignment="1">
      <alignment wrapText="1"/>
    </xf>
    <xf numFmtId="0" fontId="0" fillId="0" borderId="24" xfId="0" applyFont="1" applyBorder="1" applyAlignment="1">
      <alignment horizontal="left"/>
    </xf>
    <xf numFmtId="3" fontId="5" fillId="7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4" fillId="0" borderId="63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0" fontId="4" fillId="3" borderId="24" xfId="0" applyFont="1" applyFill="1" applyBorder="1" applyAlignment="1">
      <alignment/>
    </xf>
    <xf numFmtId="0" fontId="0" fillId="0" borderId="30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7" borderId="74" xfId="0" applyFont="1" applyFill="1" applyBorder="1" applyAlignment="1">
      <alignment/>
    </xf>
    <xf numFmtId="3" fontId="5" fillId="7" borderId="74" xfId="0" applyNumberFormat="1" applyFont="1" applyFill="1" applyBorder="1" applyAlignment="1">
      <alignment/>
    </xf>
    <xf numFmtId="0" fontId="0" fillId="0" borderId="2" xfId="0" applyFont="1" applyBorder="1" applyAlignment="1">
      <alignment horizontal="left" inden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" fillId="3" borderId="75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1" fontId="5" fillId="0" borderId="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75" xfId="0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0" fontId="4" fillId="3" borderId="21" xfId="0" applyFont="1" applyFill="1" applyBorder="1" applyAlignment="1">
      <alignment/>
    </xf>
    <xf numFmtId="0" fontId="4" fillId="3" borderId="24" xfId="0" applyFont="1" applyFill="1" applyBorder="1" applyAlignment="1">
      <alignment wrapText="1"/>
    </xf>
    <xf numFmtId="3" fontId="16" fillId="3" borderId="2" xfId="0" applyNumberFormat="1" applyFont="1" applyFill="1" applyBorder="1" applyAlignment="1">
      <alignment wrapText="1"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73" xfId="0" applyNumberFormat="1" applyFont="1" applyBorder="1" applyAlignment="1">
      <alignment wrapText="1"/>
    </xf>
    <xf numFmtId="3" fontId="0" fillId="0" borderId="41" xfId="0" applyNumberFormat="1" applyFont="1" applyBorder="1" applyAlignment="1">
      <alignment wrapText="1"/>
    </xf>
    <xf numFmtId="3" fontId="0" fillId="0" borderId="59" xfId="0" applyNumberFormat="1" applyFont="1" applyBorder="1" applyAlignment="1">
      <alignment horizontal="right" wrapText="1"/>
    </xf>
    <xf numFmtId="0" fontId="0" fillId="2" borderId="0" xfId="0" applyFont="1" applyFill="1" applyAlignment="1">
      <alignment horizontal="left"/>
    </xf>
    <xf numFmtId="3" fontId="4" fillId="0" borderId="75" xfId="0" applyNumberFormat="1" applyFont="1" applyBorder="1" applyAlignment="1">
      <alignment wrapText="1"/>
    </xf>
    <xf numFmtId="3" fontId="5" fillId="3" borderId="23" xfId="0" applyNumberFormat="1" applyFont="1" applyFill="1" applyBorder="1" applyAlignment="1">
      <alignment/>
    </xf>
    <xf numFmtId="0" fontId="5" fillId="2" borderId="57" xfId="0" applyFont="1" applyFill="1" applyBorder="1" applyAlignment="1">
      <alignment wrapText="1"/>
    </xf>
    <xf numFmtId="0" fontId="0" fillId="2" borderId="67" xfId="0" applyFont="1" applyFill="1" applyBorder="1" applyAlignment="1">
      <alignment wrapText="1"/>
    </xf>
    <xf numFmtId="0" fontId="7" fillId="0" borderId="2" xfId="0" applyFont="1" applyBorder="1" applyAlignment="1">
      <alignment/>
    </xf>
    <xf numFmtId="3" fontId="0" fillId="3" borderId="60" xfId="0" applyNumberFormat="1" applyFont="1" applyFill="1" applyBorder="1" applyAlignment="1">
      <alignment wrapText="1"/>
    </xf>
    <xf numFmtId="0" fontId="0" fillId="0" borderId="57" xfId="0" applyNumberFormat="1" applyFont="1" applyBorder="1" applyAlignment="1">
      <alignment horizontal="left" indent="1"/>
    </xf>
    <xf numFmtId="0" fontId="0" fillId="0" borderId="74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28" fillId="0" borderId="20" xfId="0" applyFont="1" applyBorder="1" applyAlignment="1">
      <alignment/>
    </xf>
    <xf numFmtId="3" fontId="0" fillId="0" borderId="20" xfId="0" applyNumberFormat="1" applyFont="1" applyBorder="1" applyAlignment="1">
      <alignment wrapText="1"/>
    </xf>
    <xf numFmtId="0" fontId="4" fillId="0" borderId="76" xfId="0" applyFont="1" applyBorder="1" applyAlignment="1">
      <alignment wrapText="1"/>
    </xf>
    <xf numFmtId="3" fontId="4" fillId="0" borderId="76" xfId="0" applyNumberFormat="1" applyFont="1" applyBorder="1" applyAlignment="1">
      <alignment horizontal="right" wrapText="1"/>
    </xf>
    <xf numFmtId="1" fontId="5" fillId="0" borderId="77" xfId="0" applyNumberFormat="1" applyFont="1" applyBorder="1" applyAlignment="1">
      <alignment/>
    </xf>
    <xf numFmtId="3" fontId="5" fillId="0" borderId="77" xfId="0" applyNumberFormat="1" applyFont="1" applyBorder="1" applyAlignment="1">
      <alignment wrapText="1"/>
    </xf>
    <xf numFmtId="3" fontId="5" fillId="0" borderId="78" xfId="0" applyNumberFormat="1" applyFont="1" applyBorder="1" applyAlignment="1">
      <alignment wrapText="1"/>
    </xf>
    <xf numFmtId="3" fontId="5" fillId="0" borderId="79" xfId="0" applyNumberFormat="1" applyFont="1" applyBorder="1" applyAlignment="1">
      <alignment wrapText="1"/>
    </xf>
    <xf numFmtId="3" fontId="5" fillId="0" borderId="80" xfId="0" applyNumberFormat="1" applyFont="1" applyBorder="1" applyAlignment="1">
      <alignment wrapText="1"/>
    </xf>
    <xf numFmtId="3" fontId="5" fillId="0" borderId="81" xfId="0" applyNumberFormat="1" applyFont="1" applyBorder="1" applyAlignment="1">
      <alignment wrapText="1"/>
    </xf>
    <xf numFmtId="3" fontId="5" fillId="0" borderId="82" xfId="0" applyNumberFormat="1" applyFont="1" applyBorder="1" applyAlignment="1">
      <alignment wrapText="1"/>
    </xf>
    <xf numFmtId="3" fontId="5" fillId="0" borderId="83" xfId="0" applyNumberFormat="1" applyFont="1" applyBorder="1" applyAlignment="1">
      <alignment wrapText="1"/>
    </xf>
    <xf numFmtId="3" fontId="5" fillId="0" borderId="84" xfId="0" applyNumberFormat="1" applyFont="1" applyBorder="1" applyAlignment="1">
      <alignment wrapText="1"/>
    </xf>
    <xf numFmtId="1" fontId="5" fillId="0" borderId="33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3" fontId="0" fillId="0" borderId="31" xfId="0" applyNumberFormat="1" applyFont="1" applyBorder="1" applyAlignment="1">
      <alignment wrapText="1"/>
    </xf>
    <xf numFmtId="3" fontId="0" fillId="0" borderId="86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87" xfId="0" applyNumberFormat="1" applyFont="1" applyBorder="1" applyAlignment="1">
      <alignment wrapText="1"/>
    </xf>
    <xf numFmtId="0" fontId="29" fillId="0" borderId="0" xfId="0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Continuous"/>
    </xf>
    <xf numFmtId="0" fontId="29" fillId="0" borderId="88" xfId="0" applyFont="1" applyBorder="1" applyAlignment="1">
      <alignment horizontal="center"/>
    </xf>
    <xf numFmtId="0" fontId="29" fillId="0" borderId="88" xfId="0" applyNumberFormat="1" applyFont="1" applyBorder="1" applyAlignment="1">
      <alignment horizontal="center"/>
    </xf>
    <xf numFmtId="0" fontId="29" fillId="0" borderId="88" xfId="0" applyFont="1" applyBorder="1" applyAlignment="1">
      <alignment wrapText="1"/>
    </xf>
    <xf numFmtId="0" fontId="29" fillId="0" borderId="88" xfId="0" applyFont="1" applyBorder="1" applyAlignment="1">
      <alignment/>
    </xf>
    <xf numFmtId="0" fontId="29" fillId="0" borderId="88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right"/>
    </xf>
    <xf numFmtId="0" fontId="31" fillId="0" borderId="6" xfId="0" applyFont="1" applyBorder="1" applyAlignment="1">
      <alignment horizontal="center"/>
    </xf>
    <xf numFmtId="0" fontId="31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wrapText="1"/>
    </xf>
    <xf numFmtId="0" fontId="31" fillId="0" borderId="49" xfId="0" applyFont="1" applyBorder="1" applyAlignment="1">
      <alignment/>
    </xf>
    <xf numFmtId="0" fontId="31" fillId="0" borderId="4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3" fontId="31" fillId="7" borderId="24" xfId="0" applyNumberFormat="1" applyFont="1" applyFill="1" applyBorder="1" applyAlignment="1">
      <alignment horizontal="right"/>
    </xf>
    <xf numFmtId="0" fontId="31" fillId="7" borderId="24" xfId="0" applyNumberFormat="1" applyFont="1" applyFill="1" applyBorder="1" applyAlignment="1">
      <alignment horizontal="right"/>
    </xf>
    <xf numFmtId="0" fontId="33" fillId="7" borderId="68" xfId="0" applyFont="1" applyFill="1" applyBorder="1" applyAlignment="1">
      <alignment horizontal="center" wrapText="1"/>
    </xf>
    <xf numFmtId="3" fontId="33" fillId="7" borderId="24" xfId="0" applyNumberFormat="1" applyFont="1" applyFill="1" applyBorder="1" applyAlignment="1">
      <alignment horizontal="right"/>
    </xf>
    <xf numFmtId="3" fontId="33" fillId="7" borderId="2" xfId="0" applyNumberFormat="1" applyFont="1" applyFill="1" applyBorder="1" applyAlignment="1">
      <alignment horizontal="right"/>
    </xf>
    <xf numFmtId="3" fontId="31" fillId="7" borderId="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9" fillId="0" borderId="57" xfId="0" applyFont="1" applyBorder="1" applyAlignment="1">
      <alignment horizontal="left" wrapText="1"/>
    </xf>
    <xf numFmtId="3" fontId="29" fillId="0" borderId="2" xfId="0" applyNumberFormat="1" applyFont="1" applyBorder="1" applyAlignment="1">
      <alignment/>
    </xf>
    <xf numFmtId="3" fontId="29" fillId="0" borderId="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3" fontId="35" fillId="0" borderId="2" xfId="0" applyNumberFormat="1" applyFont="1" applyBorder="1" applyAlignment="1">
      <alignment/>
    </xf>
    <xf numFmtId="0" fontId="35" fillId="0" borderId="20" xfId="0" applyNumberFormat="1" applyFont="1" applyBorder="1" applyAlignment="1">
      <alignment/>
    </xf>
    <xf numFmtId="0" fontId="29" fillId="0" borderId="2" xfId="0" applyFont="1" applyBorder="1" applyAlignment="1">
      <alignment horizontal="left" wrapText="1"/>
    </xf>
    <xf numFmtId="3" fontId="32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9" fillId="7" borderId="24" xfId="0" applyNumberFormat="1" applyFont="1" applyFill="1" applyBorder="1" applyAlignment="1">
      <alignment vertical="center"/>
    </xf>
    <xf numFmtId="0" fontId="29" fillId="7" borderId="24" xfId="0" applyNumberFormat="1" applyFont="1" applyFill="1" applyBorder="1" applyAlignment="1">
      <alignment vertical="center"/>
    </xf>
    <xf numFmtId="0" fontId="33" fillId="7" borderId="90" xfId="0" applyFont="1" applyFill="1" applyBorder="1" applyAlignment="1">
      <alignment horizontal="center"/>
    </xf>
    <xf numFmtId="3" fontId="34" fillId="7" borderId="24" xfId="0" applyNumberFormat="1" applyFont="1" applyFill="1" applyBorder="1" applyAlignment="1">
      <alignment/>
    </xf>
    <xf numFmtId="3" fontId="34" fillId="7" borderId="24" xfId="0" applyNumberFormat="1" applyFont="1" applyFill="1" applyBorder="1" applyAlignment="1">
      <alignment horizontal="right"/>
    </xf>
    <xf numFmtId="3" fontId="11" fillId="7" borderId="24" xfId="0" applyNumberFormat="1" applyFont="1" applyFill="1" applyBorder="1" applyAlignment="1">
      <alignment horizontal="right"/>
    </xf>
    <xf numFmtId="3" fontId="29" fillId="0" borderId="24" xfId="0" applyNumberFormat="1" applyFont="1" applyBorder="1" applyAlignment="1">
      <alignment/>
    </xf>
    <xf numFmtId="0" fontId="29" fillId="0" borderId="68" xfId="0" applyNumberFormat="1" applyFont="1" applyBorder="1" applyAlignment="1">
      <alignment/>
    </xf>
    <xf numFmtId="0" fontId="29" fillId="0" borderId="24" xfId="0" applyFont="1" applyBorder="1" applyAlignment="1">
      <alignment/>
    </xf>
    <xf numFmtId="3" fontId="29" fillId="0" borderId="24" xfId="0" applyNumberFormat="1" applyFont="1" applyBorder="1" applyAlignment="1">
      <alignment horizontal="right"/>
    </xf>
    <xf numFmtId="3" fontId="31" fillId="0" borderId="24" xfId="0" applyNumberFormat="1" applyFont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3" fontId="27" fillId="0" borderId="2" xfId="0" applyNumberFormat="1" applyFont="1" applyBorder="1" applyAlignment="1">
      <alignment/>
    </xf>
    <xf numFmtId="0" fontId="27" fillId="0" borderId="2" xfId="0" applyNumberFormat="1" applyFont="1" applyBorder="1" applyAlignment="1">
      <alignment/>
    </xf>
    <xf numFmtId="0" fontId="27" fillId="0" borderId="24" xfId="0" applyFont="1" applyBorder="1" applyAlignment="1">
      <alignment horizontal="left" wrapText="1"/>
    </xf>
    <xf numFmtId="3" fontId="27" fillId="0" borderId="24" xfId="0" applyNumberFormat="1" applyFont="1" applyBorder="1" applyAlignment="1">
      <alignment/>
    </xf>
    <xf numFmtId="3" fontId="36" fillId="0" borderId="2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 quotePrefix="1">
      <alignment horizontal="right"/>
    </xf>
    <xf numFmtId="0" fontId="29" fillId="0" borderId="55" xfId="0" applyNumberFormat="1" applyFont="1" applyBorder="1" applyAlignment="1">
      <alignment/>
    </xf>
    <xf numFmtId="0" fontId="29" fillId="0" borderId="55" xfId="0" applyFont="1" applyBorder="1" applyAlignment="1">
      <alignment wrapText="1"/>
    </xf>
    <xf numFmtId="3" fontId="29" fillId="0" borderId="55" xfId="0" applyNumberFormat="1" applyFont="1" applyBorder="1" applyAlignment="1">
      <alignment/>
    </xf>
    <xf numFmtId="3" fontId="32" fillId="0" borderId="55" xfId="0" applyNumberFormat="1" applyFont="1" applyBorder="1" applyAlignment="1">
      <alignment horizontal="center" vertical="center" wrapText="1"/>
    </xf>
    <xf numFmtId="3" fontId="29" fillId="0" borderId="91" xfId="0" applyNumberFormat="1" applyFont="1" applyBorder="1" applyAlignment="1">
      <alignment/>
    </xf>
    <xf numFmtId="0" fontId="29" fillId="0" borderId="53" xfId="0" applyNumberFormat="1" applyFont="1" applyBorder="1" applyAlignment="1">
      <alignment/>
    </xf>
    <xf numFmtId="0" fontId="29" fillId="0" borderId="53" xfId="0" applyFont="1" applyBorder="1" applyAlignment="1">
      <alignment wrapText="1"/>
    </xf>
    <xf numFmtId="3" fontId="29" fillId="0" borderId="53" xfId="0" applyNumberFormat="1" applyFont="1" applyBorder="1" applyAlignment="1">
      <alignment/>
    </xf>
    <xf numFmtId="3" fontId="32" fillId="0" borderId="53" xfId="0" applyNumberFormat="1" applyFont="1" applyBorder="1" applyAlignment="1">
      <alignment horizontal="center" vertical="center" wrapText="1"/>
    </xf>
    <xf numFmtId="3" fontId="29" fillId="0" borderId="92" xfId="0" applyNumberFormat="1" applyFont="1" applyBorder="1" applyAlignment="1">
      <alignment/>
    </xf>
    <xf numFmtId="0" fontId="29" fillId="0" borderId="93" xfId="0" applyFont="1" applyBorder="1" applyAlignment="1">
      <alignment wrapText="1"/>
    </xf>
    <xf numFmtId="0" fontId="29" fillId="0" borderId="94" xfId="0" applyFont="1" applyBorder="1" applyAlignment="1">
      <alignment wrapText="1"/>
    </xf>
    <xf numFmtId="3" fontId="29" fillId="0" borderId="2" xfId="0" applyNumberFormat="1" applyFont="1" applyBorder="1" applyAlignment="1" quotePrefix="1">
      <alignment horizontal="right"/>
    </xf>
    <xf numFmtId="0" fontId="29" fillId="0" borderId="2" xfId="0" applyNumberFormat="1" applyFont="1" applyBorder="1" applyAlignment="1">
      <alignment/>
    </xf>
    <xf numFmtId="0" fontId="29" fillId="0" borderId="57" xfId="0" applyFont="1" applyBorder="1" applyAlignment="1">
      <alignment wrapText="1"/>
    </xf>
    <xf numFmtId="3" fontId="29" fillId="0" borderId="2" xfId="0" applyNumberFormat="1" applyFont="1" applyBorder="1" applyAlignment="1">
      <alignment/>
    </xf>
    <xf numFmtId="3" fontId="29" fillId="0" borderId="64" xfId="0" applyNumberFormat="1" applyFont="1" applyBorder="1" applyAlignment="1">
      <alignment/>
    </xf>
    <xf numFmtId="3" fontId="27" fillId="0" borderId="2" xfId="0" applyNumberFormat="1" applyFont="1" applyBorder="1" applyAlignment="1" quotePrefix="1">
      <alignment horizontal="right"/>
    </xf>
    <xf numFmtId="0" fontId="27" fillId="0" borderId="2" xfId="0" applyNumberFormat="1" applyFont="1" applyBorder="1" applyAlignment="1">
      <alignment/>
    </xf>
    <xf numFmtId="0" fontId="27" fillId="0" borderId="57" xfId="0" applyFont="1" applyBorder="1" applyAlignment="1">
      <alignment wrapText="1"/>
    </xf>
    <xf numFmtId="3" fontId="27" fillId="0" borderId="2" xfId="0" applyNumberFormat="1" applyFont="1" applyBorder="1" applyAlignment="1">
      <alignment/>
    </xf>
    <xf numFmtId="3" fontId="36" fillId="0" borderId="2" xfId="0" applyNumberFormat="1" applyFont="1" applyBorder="1" applyAlignment="1">
      <alignment horizontal="center" vertical="center" wrapText="1"/>
    </xf>
    <xf numFmtId="3" fontId="27" fillId="0" borderId="64" xfId="0" applyNumberFormat="1" applyFont="1" applyBorder="1" applyAlignment="1">
      <alignment/>
    </xf>
    <xf numFmtId="3" fontId="29" fillId="7" borderId="2" xfId="0" applyNumberFormat="1" applyFont="1" applyFill="1" applyBorder="1" applyAlignment="1" quotePrefix="1">
      <alignment horizontal="right"/>
    </xf>
    <xf numFmtId="0" fontId="29" fillId="7" borderId="24" xfId="0" applyNumberFormat="1" applyFont="1" applyFill="1" applyBorder="1" applyAlignment="1">
      <alignment/>
    </xf>
    <xf numFmtId="0" fontId="33" fillId="7" borderId="24" xfId="0" applyFont="1" applyFill="1" applyBorder="1" applyAlignment="1">
      <alignment horizontal="center" vertical="center" wrapText="1"/>
    </xf>
    <xf numFmtId="3" fontId="33" fillId="7" borderId="24" xfId="0" applyNumberFormat="1" applyFont="1" applyFill="1" applyBorder="1" applyAlignment="1">
      <alignment/>
    </xf>
    <xf numFmtId="3" fontId="33" fillId="7" borderId="24" xfId="0" applyNumberFormat="1" applyFont="1" applyFill="1" applyBorder="1" applyAlignment="1">
      <alignment horizontal="center" vertical="center" wrapText="1"/>
    </xf>
    <xf numFmtId="3" fontId="33" fillId="7" borderId="2" xfId="0" applyNumberFormat="1" applyFont="1" applyFill="1" applyBorder="1" applyAlignment="1">
      <alignment/>
    </xf>
    <xf numFmtId="3" fontId="35" fillId="0" borderId="24" xfId="0" applyNumberFormat="1" applyFont="1" applyBorder="1" applyAlignment="1">
      <alignment/>
    </xf>
    <xf numFmtId="0" fontId="35" fillId="0" borderId="24" xfId="0" applyNumberFormat="1" applyFont="1" applyBorder="1" applyAlignment="1">
      <alignment/>
    </xf>
    <xf numFmtId="0" fontId="29" fillId="0" borderId="2" xfId="0" applyNumberFormat="1" applyFont="1" applyBorder="1" applyAlignment="1">
      <alignment/>
    </xf>
    <xf numFmtId="0" fontId="7" fillId="3" borderId="2" xfId="0" applyFont="1" applyFill="1" applyBorder="1" applyAlignment="1">
      <alignment wrapText="1"/>
    </xf>
    <xf numFmtId="3" fontId="7" fillId="3" borderId="2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0" fillId="3" borderId="55" xfId="0" applyNumberFormat="1" applyFont="1" applyFill="1" applyBorder="1" applyAlignment="1">
      <alignment wrapText="1"/>
    </xf>
    <xf numFmtId="0" fontId="0" fillId="3" borderId="21" xfId="0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 wrapText="1"/>
    </xf>
    <xf numFmtId="0" fontId="0" fillId="0" borderId="54" xfId="0" applyFont="1" applyBorder="1" applyAlignment="1">
      <alignment/>
    </xf>
    <xf numFmtId="0" fontId="5" fillId="2" borderId="68" xfId="0" applyFont="1" applyFill="1" applyBorder="1" applyAlignment="1">
      <alignment wrapText="1"/>
    </xf>
    <xf numFmtId="0" fontId="0" fillId="2" borderId="53" xfId="0" applyFont="1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68" xfId="0" applyFont="1" applyFill="1" applyBorder="1" applyAlignment="1">
      <alignment wrapText="1"/>
    </xf>
    <xf numFmtId="0" fontId="5" fillId="2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 wrapText="1"/>
    </xf>
    <xf numFmtId="3" fontId="5" fillId="0" borderId="54" xfId="0" applyNumberFormat="1" applyFont="1" applyFill="1" applyBorder="1" applyAlignment="1">
      <alignment wrapText="1"/>
    </xf>
    <xf numFmtId="3" fontId="0" fillId="0" borderId="54" xfId="0" applyNumberFormat="1" applyFont="1" applyFill="1" applyBorder="1" applyAlignment="1">
      <alignment wrapText="1"/>
    </xf>
    <xf numFmtId="0" fontId="5" fillId="3" borderId="57" xfId="0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wrapText="1"/>
    </xf>
    <xf numFmtId="3" fontId="4" fillId="3" borderId="76" xfId="0" applyNumberFormat="1" applyFont="1" applyFill="1" applyBorder="1" applyAlignment="1">
      <alignment/>
    </xf>
    <xf numFmtId="3" fontId="4" fillId="0" borderId="54" xfId="0" applyNumberFormat="1" applyFont="1" applyBorder="1" applyAlignment="1">
      <alignment horizontal="right" wrapText="1"/>
    </xf>
    <xf numFmtId="3" fontId="4" fillId="3" borderId="54" xfId="0" applyNumberFormat="1" applyFont="1" applyFill="1" applyBorder="1" applyAlignment="1">
      <alignment horizontal="right"/>
    </xf>
    <xf numFmtId="3" fontId="4" fillId="3" borderId="24" xfId="0" applyNumberFormat="1" applyFont="1" applyFill="1" applyBorder="1" applyAlignment="1">
      <alignment horizontal="right"/>
    </xf>
    <xf numFmtId="3" fontId="0" fillId="0" borderId="95" xfId="0" applyNumberFormat="1" applyFont="1" applyBorder="1" applyAlignment="1">
      <alignment horizontal="right" wrapText="1"/>
    </xf>
    <xf numFmtId="3" fontId="0" fillId="3" borderId="95" xfId="0" applyNumberFormat="1" applyFont="1" applyFill="1" applyBorder="1" applyAlignment="1">
      <alignment horizontal="right"/>
    </xf>
    <xf numFmtId="3" fontId="0" fillId="0" borderId="74" xfId="0" applyNumberFormat="1" applyFont="1" applyBorder="1" applyAlignment="1">
      <alignment/>
    </xf>
    <xf numFmtId="0" fontId="0" fillId="0" borderId="30" xfId="0" applyFont="1" applyFill="1" applyBorder="1" applyAlignment="1">
      <alignment wrapText="1"/>
    </xf>
    <xf numFmtId="3" fontId="4" fillId="3" borderId="63" xfId="0" applyNumberFormat="1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0" fillId="0" borderId="96" xfId="0" applyFont="1" applyBorder="1" applyAlignment="1">
      <alignment/>
    </xf>
    <xf numFmtId="0" fontId="4" fillId="0" borderId="96" xfId="0" applyFont="1" applyBorder="1" applyAlignment="1">
      <alignment/>
    </xf>
    <xf numFmtId="0" fontId="4" fillId="0" borderId="96" xfId="0" applyFont="1" applyBorder="1" applyAlignment="1">
      <alignment wrapText="1"/>
    </xf>
    <xf numFmtId="3" fontId="4" fillId="0" borderId="96" xfId="0" applyNumberFormat="1" applyFont="1" applyBorder="1" applyAlignment="1">
      <alignment/>
    </xf>
    <xf numFmtId="0" fontId="0" fillId="0" borderId="55" xfId="0" applyFont="1" applyFill="1" applyBorder="1" applyAlignment="1">
      <alignment wrapText="1"/>
    </xf>
    <xf numFmtId="3" fontId="4" fillId="0" borderId="20" xfId="0" applyNumberFormat="1" applyFont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right"/>
    </xf>
    <xf numFmtId="3" fontId="0" fillId="3" borderId="30" xfId="0" applyNumberFormat="1" applyFont="1" applyFill="1" applyBorder="1" applyAlignment="1">
      <alignment horizontal="right"/>
    </xf>
    <xf numFmtId="3" fontId="0" fillId="3" borderId="21" xfId="0" applyNumberFormat="1" applyFont="1" applyFill="1" applyBorder="1" applyAlignment="1">
      <alignment horizontal="right"/>
    </xf>
    <xf numFmtId="0" fontId="4" fillId="3" borderId="97" xfId="0" applyFont="1" applyFill="1" applyBorder="1" applyAlignment="1">
      <alignment/>
    </xf>
    <xf numFmtId="0" fontId="4" fillId="3" borderId="27" xfId="0" applyFont="1" applyFill="1" applyBorder="1" applyAlignment="1">
      <alignment horizontal="right" vertical="center"/>
    </xf>
    <xf numFmtId="0" fontId="4" fillId="0" borderId="53" xfId="0" applyFont="1" applyBorder="1" applyAlignment="1">
      <alignment wrapText="1"/>
    </xf>
    <xf numFmtId="3" fontId="4" fillId="0" borderId="53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0" fontId="4" fillId="2" borderId="76" xfId="0" applyFont="1" applyFill="1" applyBorder="1" applyAlignment="1">
      <alignment wrapText="1"/>
    </xf>
    <xf numFmtId="0" fontId="7" fillId="0" borderId="96" xfId="0" applyFont="1" applyBorder="1" applyAlignment="1">
      <alignment/>
    </xf>
    <xf numFmtId="0" fontId="4" fillId="2" borderId="96" xfId="0" applyFont="1" applyFill="1" applyBorder="1" applyAlignment="1">
      <alignment/>
    </xf>
    <xf numFmtId="0" fontId="4" fillId="2" borderId="96" xfId="0" applyFont="1" applyFill="1" applyBorder="1" applyAlignment="1">
      <alignment wrapText="1"/>
    </xf>
    <xf numFmtId="3" fontId="4" fillId="0" borderId="96" xfId="0" applyNumberFormat="1" applyFont="1" applyBorder="1" applyAlignment="1">
      <alignment horizontal="right" wrapText="1"/>
    </xf>
    <xf numFmtId="3" fontId="4" fillId="3" borderId="20" xfId="0" applyNumberFormat="1" applyFont="1" applyFill="1" applyBorder="1" applyAlignment="1">
      <alignment/>
    </xf>
    <xf numFmtId="0" fontId="4" fillId="3" borderId="96" xfId="0" applyFont="1" applyFill="1" applyBorder="1" applyAlignment="1">
      <alignment/>
    </xf>
    <xf numFmtId="3" fontId="4" fillId="3" borderId="96" xfId="0" applyNumberFormat="1" applyFont="1" applyFill="1" applyBorder="1" applyAlignment="1">
      <alignment/>
    </xf>
    <xf numFmtId="3" fontId="4" fillId="0" borderId="9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98" xfId="0" applyFont="1" applyBorder="1" applyAlignment="1">
      <alignment horizontal="left"/>
    </xf>
    <xf numFmtId="3" fontId="4" fillId="0" borderId="99" xfId="0" applyNumberFormat="1" applyFont="1" applyBorder="1" applyAlignment="1">
      <alignment horizontal="right"/>
    </xf>
    <xf numFmtId="0" fontId="4" fillId="0" borderId="9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9" fillId="0" borderId="2" xfId="0" applyNumberFormat="1" applyFont="1" applyBorder="1" applyAlignment="1">
      <alignment horizontal="center" wrapText="1"/>
    </xf>
    <xf numFmtId="3" fontId="37" fillId="0" borderId="2" xfId="0" applyNumberFormat="1" applyFont="1" applyBorder="1" applyAlignment="1">
      <alignment horizontal="center" wrapText="1"/>
    </xf>
    <xf numFmtId="3" fontId="31" fillId="7" borderId="74" xfId="0" applyNumberFormat="1" applyFont="1" applyFill="1" applyBorder="1" applyAlignment="1">
      <alignment horizontal="center" wrapText="1"/>
    </xf>
    <xf numFmtId="3" fontId="32" fillId="0" borderId="2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center"/>
    </xf>
    <xf numFmtId="0" fontId="4" fillId="2" borderId="20" xfId="0" applyFont="1" applyFill="1" applyBorder="1" applyAlignment="1">
      <alignment/>
    </xf>
    <xf numFmtId="0" fontId="4" fillId="0" borderId="2" xfId="0" applyFont="1" applyBorder="1" applyAlignment="1">
      <alignment horizontal="left" wrapText="1"/>
    </xf>
    <xf numFmtId="0" fontId="0" fillId="3" borderId="30" xfId="0" applyFont="1" applyFill="1" applyBorder="1" applyAlignment="1">
      <alignment wrapText="1"/>
    </xf>
    <xf numFmtId="0" fontId="0" fillId="2" borderId="76" xfId="0" applyFont="1" applyFill="1" applyBorder="1" applyAlignment="1">
      <alignment wrapText="1"/>
    </xf>
    <xf numFmtId="3" fontId="0" fillId="0" borderId="76" xfId="0" applyNumberFormat="1" applyFont="1" applyBorder="1" applyAlignment="1">
      <alignment horizontal="right"/>
    </xf>
    <xf numFmtId="0" fontId="7" fillId="3" borderId="20" xfId="0" applyFont="1" applyFill="1" applyBorder="1" applyAlignment="1">
      <alignment wrapText="1"/>
    </xf>
    <xf numFmtId="3" fontId="7" fillId="3" borderId="20" xfId="0" applyNumberFormat="1" applyFont="1" applyFill="1" applyBorder="1" applyAlignment="1">
      <alignment wrapText="1"/>
    </xf>
    <xf numFmtId="0" fontId="0" fillId="3" borderId="96" xfId="0" applyFont="1" applyFill="1" applyBorder="1" applyAlignment="1">
      <alignment/>
    </xf>
    <xf numFmtId="0" fontId="7" fillId="3" borderId="96" xfId="0" applyFont="1" applyFill="1" applyBorder="1" applyAlignment="1">
      <alignment wrapText="1"/>
    </xf>
    <xf numFmtId="3" fontId="7" fillId="3" borderId="96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wrapText="1"/>
    </xf>
    <xf numFmtId="3" fontId="7" fillId="3" borderId="0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31" fillId="0" borderId="10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3" fontId="5" fillId="2" borderId="10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3" fontId="1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9-r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050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050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" name="AutoShape 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" name="AutoShape 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" name="AutoShape 1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" name="AutoShape 1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3" name="AutoShape 1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5" name="AutoShape 1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6" name="AutoShape 1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7" name="AutoShape 1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0" name="AutoShape 2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1" name="AutoShape 2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7" name="AutoShape 2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8" name="AutoShape 2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9" name="AutoShape 2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1" name="AutoShape 3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5" name="AutoShape 3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6" name="AutoShape 3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7" name="AutoShape 3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9" name="AutoShape 3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0" name="AutoShape 4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1" name="AutoShape 4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0" name="AutoShape 6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1" name="AutoShape 6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5" name="AutoShape 6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7" name="AutoShape 6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8" name="AutoShape 6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9" name="AutoShape 6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1" name="AutoShape 7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2" name="AutoShape 7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3" name="AutoShape 7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5" name="AutoShape 7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6" name="AutoShape 7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7" name="AutoShape 7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9" name="AutoShape 7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0" name="AutoShape 8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1" name="AutoShape 8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3" name="AutoShape 8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4" name="AutoShape 8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5" name="AutoShape 8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7" name="AutoShape 8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8" name="AutoShape 8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9" name="AutoShape 8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1" name="AutoShape 9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2" name="AutoShape 9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3" name="AutoShape 9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5" name="AutoShape 9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6" name="AutoShape 9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7" name="AutoShape 9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9" name="AutoShape 9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0" name="AutoShape 10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1" name="AutoShape 10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3" name="AutoShape 10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4" name="AutoShape 10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5" name="AutoShape 10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7" name="AutoShape 10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8" name="AutoShape 10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9" name="AutoShape 10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1" name="AutoShape 11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2" name="AutoShape 11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3" name="AutoShape 11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5" name="AutoShape 11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6" name="AutoShape 11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7" name="AutoShape 11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9" name="AutoShape 11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0" name="AutoShape 12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1" name="AutoShape 12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3" name="AutoShape 12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4" name="AutoShape 12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5" name="AutoShape 12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7" name="AutoShape 12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8" name="AutoShape 12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9" name="AutoShape 12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0" name="Arc 131"/>
        <xdr:cNvSpPr>
          <a:spLocks/>
        </xdr:cNvSpPr>
      </xdr:nvSpPr>
      <xdr:spPr>
        <a:xfrm>
          <a:off x="1009650" y="25241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1" name="Rysowanie 11"/>
        <xdr:cNvSpPr>
          <a:spLocks/>
        </xdr:cNvSpPr>
      </xdr:nvSpPr>
      <xdr:spPr>
        <a:xfrm>
          <a:off x="1104900" y="2524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2" name="Arc 133"/>
        <xdr:cNvSpPr>
          <a:spLocks/>
        </xdr:cNvSpPr>
      </xdr:nvSpPr>
      <xdr:spPr>
        <a:xfrm>
          <a:off x="1009650" y="25241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3" name="Rysowanie 11"/>
        <xdr:cNvSpPr>
          <a:spLocks/>
        </xdr:cNvSpPr>
      </xdr:nvSpPr>
      <xdr:spPr>
        <a:xfrm>
          <a:off x="1104900" y="2524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524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1"/>
  <dimension ref="A1:I29"/>
  <sheetViews>
    <sheetView tabSelected="1" zoomScaleSheetLayoutView="75" workbookViewId="0" topLeftCell="A1">
      <selection activeCell="B2" sqref="B2"/>
    </sheetView>
  </sheetViews>
  <sheetFormatPr defaultColWidth="9.00390625" defaultRowHeight="12.75"/>
  <cols>
    <col min="1" max="1" width="5.375" style="1" customWidth="1"/>
    <col min="2" max="2" width="8.625" style="1" customWidth="1"/>
    <col min="3" max="3" width="67.25390625" style="1" customWidth="1"/>
    <col min="4" max="4" width="23.875" style="1" customWidth="1"/>
    <col min="5" max="5" width="21.75390625" style="1" customWidth="1"/>
    <col min="6" max="6" width="24.125" style="1" customWidth="1"/>
    <col min="7" max="7" width="12.00390625" style="1" customWidth="1"/>
    <col min="8" max="8" width="11.125" style="1" customWidth="1"/>
    <col min="9" max="9" width="15.25390625" style="1" customWidth="1"/>
    <col min="10" max="16384" width="9.125" style="1" customWidth="1"/>
  </cols>
  <sheetData>
    <row r="1" spans="2:5" ht="15" customHeight="1">
      <c r="B1" s="17"/>
      <c r="E1" s="1" t="s">
        <v>219</v>
      </c>
    </row>
    <row r="2" ht="15" customHeight="1">
      <c r="E2" s="1" t="s">
        <v>239</v>
      </c>
    </row>
    <row r="3" spans="3:5" ht="15" customHeight="1">
      <c r="C3" s="18" t="s">
        <v>81</v>
      </c>
      <c r="E3" s="1" t="s">
        <v>33</v>
      </c>
    </row>
    <row r="4" ht="15" customHeight="1">
      <c r="E4" s="1" t="s">
        <v>196</v>
      </c>
    </row>
    <row r="5" ht="17.25" customHeight="1" thickBot="1">
      <c r="F5" s="3" t="s">
        <v>35</v>
      </c>
    </row>
    <row r="6" spans="1:6" ht="67.5" customHeight="1" thickBot="1" thickTop="1">
      <c r="A6" s="213" t="s">
        <v>36</v>
      </c>
      <c r="B6" s="213" t="s">
        <v>37</v>
      </c>
      <c r="C6" s="83" t="s">
        <v>56</v>
      </c>
      <c r="D6" s="83" t="s">
        <v>90</v>
      </c>
      <c r="E6" s="5" t="s">
        <v>67</v>
      </c>
      <c r="F6" s="5" t="s">
        <v>41</v>
      </c>
    </row>
    <row r="7" spans="1:6" s="20" customFormat="1" ht="15.75" customHeight="1" thickBot="1" thickTop="1">
      <c r="A7" s="212">
        <v>1</v>
      </c>
      <c r="B7" s="212">
        <v>2</v>
      </c>
      <c r="C7" s="212">
        <v>3</v>
      </c>
      <c r="D7" s="212">
        <v>4</v>
      </c>
      <c r="E7" s="19">
        <v>5</v>
      </c>
      <c r="F7" s="19">
        <v>6</v>
      </c>
    </row>
    <row r="8" spans="1:9" ht="24" customHeight="1" thickBot="1" thickTop="1">
      <c r="A8" s="169"/>
      <c r="B8" s="169"/>
      <c r="C8" s="170" t="s">
        <v>58</v>
      </c>
      <c r="D8" s="166">
        <v>782709250</v>
      </c>
      <c r="E8" s="166">
        <f>E10+E19</f>
        <v>749133</v>
      </c>
      <c r="F8" s="166">
        <f>D8-E8</f>
        <v>781960117</v>
      </c>
      <c r="G8" s="8"/>
      <c r="H8" s="8"/>
      <c r="I8" s="8"/>
    </row>
    <row r="9" spans="1:6" ht="13.5" customHeight="1" thickTop="1">
      <c r="A9" s="91"/>
      <c r="B9" s="91"/>
      <c r="C9" s="91" t="s">
        <v>43</v>
      </c>
      <c r="D9" s="108"/>
      <c r="E9" s="108"/>
      <c r="F9" s="108"/>
    </row>
    <row r="10" spans="1:9" ht="19.5" customHeight="1" thickBot="1">
      <c r="A10" s="91"/>
      <c r="B10" s="91"/>
      <c r="C10" s="171" t="s">
        <v>91</v>
      </c>
      <c r="D10" s="167">
        <v>549499509</v>
      </c>
      <c r="E10" s="167">
        <f>E11+E12+E13+E15</f>
        <v>749133</v>
      </c>
      <c r="F10" s="167">
        <f aca="true" t="shared" si="0" ref="F10:F24">D10-E10</f>
        <v>548750376</v>
      </c>
      <c r="G10" s="8"/>
      <c r="I10" s="8"/>
    </row>
    <row r="11" spans="1:6" s="17" customFormat="1" ht="19.5" customHeight="1" thickBot="1">
      <c r="A11" s="143"/>
      <c r="B11" s="143"/>
      <c r="C11" s="172" t="s">
        <v>59</v>
      </c>
      <c r="D11" s="118">
        <v>375445074</v>
      </c>
      <c r="E11" s="172"/>
      <c r="F11" s="168">
        <f t="shared" si="0"/>
        <v>375445074</v>
      </c>
    </row>
    <row r="12" spans="1:6" s="17" customFormat="1" ht="19.5" customHeight="1" thickBot="1" thickTop="1">
      <c r="A12" s="143"/>
      <c r="B12" s="143"/>
      <c r="C12" s="117" t="s">
        <v>0</v>
      </c>
      <c r="D12" s="270">
        <v>101484534</v>
      </c>
      <c r="E12" s="118"/>
      <c r="F12" s="118">
        <f t="shared" si="0"/>
        <v>101484534</v>
      </c>
    </row>
    <row r="13" spans="1:6" s="17" customFormat="1" ht="19.5" customHeight="1" thickBot="1" thickTop="1">
      <c r="A13" s="143"/>
      <c r="B13" s="143"/>
      <c r="C13" s="117" t="s">
        <v>61</v>
      </c>
      <c r="D13" s="118">
        <v>11290404</v>
      </c>
      <c r="E13" s="118"/>
      <c r="F13" s="118">
        <f t="shared" si="0"/>
        <v>11290404</v>
      </c>
    </row>
    <row r="14" spans="1:6" s="17" customFormat="1" ht="27" customHeight="1" thickBot="1" thickTop="1">
      <c r="A14" s="143"/>
      <c r="B14" s="143"/>
      <c r="C14" s="117" t="s">
        <v>110</v>
      </c>
      <c r="D14" s="103">
        <v>539300</v>
      </c>
      <c r="E14" s="103"/>
      <c r="F14" s="103">
        <f t="shared" si="0"/>
        <v>539300</v>
      </c>
    </row>
    <row r="15" spans="1:6" s="17" customFormat="1" ht="30.75" customHeight="1" thickBot="1" thickTop="1">
      <c r="A15" s="148"/>
      <c r="B15" s="148"/>
      <c r="C15" s="117" t="s">
        <v>62</v>
      </c>
      <c r="D15" s="118">
        <v>60740197</v>
      </c>
      <c r="E15" s="118">
        <f>E16</f>
        <v>749133</v>
      </c>
      <c r="F15" s="118">
        <f t="shared" si="0"/>
        <v>59991064</v>
      </c>
    </row>
    <row r="16" spans="1:6" s="17" customFormat="1" ht="19.5" customHeight="1" thickTop="1">
      <c r="A16" s="284">
        <v>852</v>
      </c>
      <c r="B16" s="284"/>
      <c r="C16" s="284" t="s">
        <v>32</v>
      </c>
      <c r="D16" s="295">
        <v>57777889</v>
      </c>
      <c r="E16" s="295">
        <f>E17</f>
        <v>749133</v>
      </c>
      <c r="F16" s="295">
        <f t="shared" si="0"/>
        <v>57028756</v>
      </c>
    </row>
    <row r="17" spans="1:6" s="17" customFormat="1" ht="25.5" customHeight="1">
      <c r="A17" s="368"/>
      <c r="B17" s="274">
        <v>85212</v>
      </c>
      <c r="C17" s="442" t="s">
        <v>125</v>
      </c>
      <c r="D17" s="367">
        <v>48430864</v>
      </c>
      <c r="E17" s="367">
        <f>E18</f>
        <v>749133</v>
      </c>
      <c r="F17" s="367">
        <f t="shared" si="0"/>
        <v>47681731</v>
      </c>
    </row>
    <row r="18" spans="1:6" s="17" customFormat="1" ht="27" customHeight="1">
      <c r="A18" s="370"/>
      <c r="B18" s="371"/>
      <c r="C18" s="580" t="s">
        <v>126</v>
      </c>
      <c r="D18" s="299">
        <v>48430864</v>
      </c>
      <c r="E18" s="299">
        <v>749133</v>
      </c>
      <c r="F18" s="299">
        <f t="shared" si="0"/>
        <v>47681731</v>
      </c>
    </row>
    <row r="19" spans="1:7" ht="20.25" customHeight="1" thickBot="1">
      <c r="A19" s="91"/>
      <c r="B19" s="91"/>
      <c r="C19" s="171" t="s">
        <v>92</v>
      </c>
      <c r="D19" s="167">
        <v>233209741</v>
      </c>
      <c r="E19" s="167"/>
      <c r="F19" s="167">
        <f t="shared" si="0"/>
        <v>233209741</v>
      </c>
      <c r="G19" s="8"/>
    </row>
    <row r="20" spans="1:6" s="144" customFormat="1" ht="21" customHeight="1" thickBot="1">
      <c r="A20" s="143"/>
      <c r="B20" s="143"/>
      <c r="C20" s="173" t="s">
        <v>59</v>
      </c>
      <c r="D20" s="269">
        <v>63095330</v>
      </c>
      <c r="E20" s="168"/>
      <c r="F20" s="168">
        <f t="shared" si="0"/>
        <v>63095330</v>
      </c>
    </row>
    <row r="21" spans="1:6" s="17" customFormat="1" ht="21" customHeight="1" thickBot="1" thickTop="1">
      <c r="A21" s="143"/>
      <c r="B21" s="143"/>
      <c r="C21" s="117" t="s">
        <v>60</v>
      </c>
      <c r="D21" s="103">
        <v>133273225</v>
      </c>
      <c r="E21" s="103"/>
      <c r="F21" s="103">
        <f t="shared" si="0"/>
        <v>133273225</v>
      </c>
    </row>
    <row r="22" spans="1:6" s="17" customFormat="1" ht="21" customHeight="1" thickBot="1" thickTop="1">
      <c r="A22" s="143"/>
      <c r="B22" s="143"/>
      <c r="C22" s="263" t="s">
        <v>61</v>
      </c>
      <c r="D22" s="264">
        <v>9401401</v>
      </c>
      <c r="E22" s="264"/>
      <c r="F22" s="264">
        <f t="shared" si="0"/>
        <v>9401401</v>
      </c>
    </row>
    <row r="23" spans="1:6" s="17" customFormat="1" ht="27" customHeight="1" thickBot="1" thickTop="1">
      <c r="A23" s="143"/>
      <c r="B23" s="143"/>
      <c r="C23" s="117" t="s">
        <v>110</v>
      </c>
      <c r="D23" s="103">
        <v>5460423</v>
      </c>
      <c r="E23" s="103"/>
      <c r="F23" s="103">
        <f t="shared" si="0"/>
        <v>5460423</v>
      </c>
    </row>
    <row r="24" spans="1:6" s="17" customFormat="1" ht="24.75" customHeight="1" thickTop="1">
      <c r="A24" s="148"/>
      <c r="B24" s="148"/>
      <c r="C24" s="569" t="s">
        <v>63</v>
      </c>
      <c r="D24" s="570">
        <v>21979362</v>
      </c>
      <c r="E24" s="570"/>
      <c r="F24" s="570">
        <f t="shared" si="0"/>
        <v>21979362</v>
      </c>
    </row>
    <row r="25" ht="12.75">
      <c r="C25" s="16"/>
    </row>
    <row r="26" ht="12.75">
      <c r="C26" s="413"/>
    </row>
    <row r="27" ht="12.75">
      <c r="C27" s="1" t="s">
        <v>254</v>
      </c>
    </row>
    <row r="28" ht="12.75">
      <c r="C28" s="1" t="s">
        <v>255</v>
      </c>
    </row>
    <row r="29" ht="12.75">
      <c r="C29" s="1" t="s">
        <v>256</v>
      </c>
    </row>
  </sheetData>
  <printOptions horizontalCentered="1"/>
  <pageMargins left="0.38" right="0.35" top="0.6692913385826772" bottom="0.5905511811023623" header="0.5118110236220472" footer="0.3937007874015748"/>
  <pageSetup firstPageNumber="6" useFirstPageNumber="1" horizontalDpi="300" verticalDpi="3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J145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6.375" style="0" customWidth="1"/>
    <col min="4" max="4" width="74.00390625" style="0" customWidth="1"/>
    <col min="5" max="7" width="20.75390625" style="0" customWidth="1"/>
    <col min="8" max="8" width="11.125" style="0" customWidth="1"/>
    <col min="9" max="9" width="12.125" style="0" customWidth="1"/>
  </cols>
  <sheetData>
    <row r="1" ht="19.5" customHeight="1">
      <c r="F1" s="8" t="s">
        <v>7</v>
      </c>
    </row>
    <row r="2" spans="1:6" ht="19.5" customHeight="1">
      <c r="A2" s="17"/>
      <c r="F2" s="1" t="s">
        <v>239</v>
      </c>
    </row>
    <row r="3" spans="1:6" ht="19.5" customHeight="1">
      <c r="A3" s="17"/>
      <c r="C3" s="123"/>
      <c r="D3" s="2" t="s">
        <v>75</v>
      </c>
      <c r="F3" s="1" t="s">
        <v>33</v>
      </c>
    </row>
    <row r="4" spans="3:6" ht="19.5" customHeight="1">
      <c r="C4" s="123"/>
      <c r="D4" s="2" t="s">
        <v>80</v>
      </c>
      <c r="F4" s="1" t="s">
        <v>196</v>
      </c>
    </row>
    <row r="5" ht="9" customHeight="1"/>
    <row r="6" ht="18.75" customHeight="1" thickBot="1">
      <c r="G6" s="3" t="s">
        <v>35</v>
      </c>
    </row>
    <row r="7" spans="1:7" ht="21" customHeight="1" thickTop="1">
      <c r="A7" s="662" t="s">
        <v>64</v>
      </c>
      <c r="B7" s="665" t="s">
        <v>65</v>
      </c>
      <c r="C7" s="665" t="s">
        <v>38</v>
      </c>
      <c r="D7" s="662" t="s">
        <v>66</v>
      </c>
      <c r="E7" s="428" t="s">
        <v>55</v>
      </c>
      <c r="F7" s="660" t="s">
        <v>34</v>
      </c>
      <c r="G7" s="661"/>
    </row>
    <row r="8" spans="1:7" ht="21" customHeight="1" thickBot="1">
      <c r="A8" s="664"/>
      <c r="B8" s="664"/>
      <c r="C8" s="664"/>
      <c r="D8" s="663"/>
      <c r="E8" s="22" t="s">
        <v>67</v>
      </c>
      <c r="F8" s="21" t="s">
        <v>67</v>
      </c>
      <c r="G8" s="22" t="s">
        <v>57</v>
      </c>
    </row>
    <row r="9" spans="1:7" ht="15.75" customHeight="1" thickBot="1" thickTop="1">
      <c r="A9" s="23">
        <v>1</v>
      </c>
      <c r="B9" s="23">
        <v>2</v>
      </c>
      <c r="C9" s="23">
        <v>3</v>
      </c>
      <c r="D9" s="23">
        <v>4</v>
      </c>
      <c r="E9" s="24">
        <v>5</v>
      </c>
      <c r="F9" s="24">
        <v>6</v>
      </c>
      <c r="G9" s="24">
        <v>7</v>
      </c>
    </row>
    <row r="10" spans="1:10" ht="21" customHeight="1" thickBot="1" thickTop="1">
      <c r="A10" s="183"/>
      <c r="B10" s="183"/>
      <c r="C10" s="183"/>
      <c r="D10" s="184" t="s">
        <v>68</v>
      </c>
      <c r="E10" s="185">
        <f>E11+E98+E107+E117</f>
        <v>749133</v>
      </c>
      <c r="F10" s="185">
        <f>F11+F98+F107+F117</f>
        <v>1361421</v>
      </c>
      <c r="G10" s="185">
        <f>G11+G98+G107+G117</f>
        <v>612288</v>
      </c>
      <c r="H10" s="25">
        <f>E10</f>
        <v>749133</v>
      </c>
      <c r="I10" s="25">
        <f>G10-F10</f>
        <v>-749133</v>
      </c>
      <c r="J10" s="25"/>
    </row>
    <row r="11" spans="1:8" ht="18" customHeight="1">
      <c r="A11" s="186"/>
      <c r="B11" s="186"/>
      <c r="C11" s="186"/>
      <c r="D11" s="155" t="s">
        <v>69</v>
      </c>
      <c r="E11" s="156">
        <f>E12+E20+E32+E40+E46</f>
        <v>749133</v>
      </c>
      <c r="F11" s="156">
        <f>F12+F20+F32+F40+F46</f>
        <v>560575</v>
      </c>
      <c r="G11" s="156">
        <f>G12+G20+G32+G40+G46</f>
        <v>560575</v>
      </c>
      <c r="H11" s="25"/>
    </row>
    <row r="12" spans="1:8" ht="18" customHeight="1">
      <c r="A12" s="91"/>
      <c r="B12" s="91"/>
      <c r="C12" s="105"/>
      <c r="D12" s="155" t="s">
        <v>194</v>
      </c>
      <c r="E12" s="156"/>
      <c r="F12" s="156">
        <f aca="true" t="shared" si="0" ref="F12:G15">F13</f>
        <v>38539</v>
      </c>
      <c r="G12" s="156">
        <f t="shared" si="0"/>
        <v>38539</v>
      </c>
      <c r="H12" s="25"/>
    </row>
    <row r="13" spans="1:8" ht="19.5" customHeight="1" thickBot="1">
      <c r="A13" s="152"/>
      <c r="B13" s="152"/>
      <c r="C13" s="152"/>
      <c r="D13" s="102" t="s">
        <v>44</v>
      </c>
      <c r="E13" s="103"/>
      <c r="F13" s="103">
        <f t="shared" si="0"/>
        <v>38539</v>
      </c>
      <c r="G13" s="103">
        <f t="shared" si="0"/>
        <v>38539</v>
      </c>
      <c r="H13" s="25"/>
    </row>
    <row r="14" spans="1:8" ht="18.75" customHeight="1" thickTop="1">
      <c r="A14" s="240">
        <v>754</v>
      </c>
      <c r="B14" s="240"/>
      <c r="C14" s="240"/>
      <c r="D14" s="240" t="s">
        <v>118</v>
      </c>
      <c r="E14" s="312"/>
      <c r="F14" s="312">
        <f t="shared" si="0"/>
        <v>38539</v>
      </c>
      <c r="G14" s="312">
        <f t="shared" si="0"/>
        <v>38539</v>
      </c>
      <c r="H14" s="25"/>
    </row>
    <row r="15" spans="1:8" ht="18.75" customHeight="1">
      <c r="A15" s="239"/>
      <c r="B15" s="241">
        <v>75495</v>
      </c>
      <c r="C15" s="241"/>
      <c r="D15" s="281" t="s">
        <v>50</v>
      </c>
      <c r="E15" s="244"/>
      <c r="F15" s="244">
        <f t="shared" si="0"/>
        <v>38539</v>
      </c>
      <c r="G15" s="244">
        <f t="shared" si="0"/>
        <v>38539</v>
      </c>
      <c r="H15" s="25"/>
    </row>
    <row r="16" spans="1:8" ht="18.75" customHeight="1">
      <c r="A16" s="239"/>
      <c r="B16" s="242"/>
      <c r="C16" s="242"/>
      <c r="D16" s="289" t="s">
        <v>193</v>
      </c>
      <c r="E16" s="245"/>
      <c r="F16" s="245">
        <f>F17+F18</f>
        <v>38539</v>
      </c>
      <c r="G16" s="245">
        <f>G17+G18</f>
        <v>38539</v>
      </c>
      <c r="H16" s="25"/>
    </row>
    <row r="17" spans="1:8" ht="18.75" customHeight="1">
      <c r="A17" s="239"/>
      <c r="B17" s="239"/>
      <c r="C17" s="237">
        <v>4210</v>
      </c>
      <c r="D17" s="304" t="s">
        <v>46</v>
      </c>
      <c r="E17" s="246"/>
      <c r="F17" s="305"/>
      <c r="G17" s="246">
        <v>38539</v>
      </c>
      <c r="H17" s="25"/>
    </row>
    <row r="18" spans="1:8" ht="18.75" customHeight="1">
      <c r="A18" s="239"/>
      <c r="B18" s="239"/>
      <c r="C18" s="302"/>
      <c r="D18" s="282" t="s">
        <v>243</v>
      </c>
      <c r="E18" s="415"/>
      <c r="F18" s="415">
        <f>F19</f>
        <v>38539</v>
      </c>
      <c r="G18" s="415"/>
      <c r="H18" s="25"/>
    </row>
    <row r="19" spans="1:8" ht="18.75" customHeight="1">
      <c r="A19" s="239"/>
      <c r="B19" s="239"/>
      <c r="C19" s="237">
        <v>6060</v>
      </c>
      <c r="D19" s="10" t="s">
        <v>233</v>
      </c>
      <c r="E19" s="246"/>
      <c r="F19" s="246">
        <v>38539</v>
      </c>
      <c r="G19" s="246"/>
      <c r="H19" s="25"/>
    </row>
    <row r="20" spans="1:8" ht="18" customHeight="1">
      <c r="A20" s="91"/>
      <c r="B20" s="91"/>
      <c r="C20" s="105"/>
      <c r="D20" s="155" t="s">
        <v>195</v>
      </c>
      <c r="E20" s="156">
        <f aca="true" t="shared" si="1" ref="E20:E25">E21</f>
        <v>749133</v>
      </c>
      <c r="F20" s="156">
        <f>F27</f>
        <v>30</v>
      </c>
      <c r="G20" s="156"/>
      <c r="H20" s="25"/>
    </row>
    <row r="21" spans="1:8" ht="18.75" customHeight="1" thickBot="1">
      <c r="A21" s="159"/>
      <c r="B21" s="160"/>
      <c r="C21" s="187"/>
      <c r="D21" s="352" t="s">
        <v>111</v>
      </c>
      <c r="E21" s="354">
        <f t="shared" si="1"/>
        <v>749133</v>
      </c>
      <c r="F21" s="354"/>
      <c r="G21" s="354"/>
      <c r="H21" s="25"/>
    </row>
    <row r="22" spans="1:8" ht="26.25" customHeight="1" thickBot="1">
      <c r="A22" s="101"/>
      <c r="B22" s="101"/>
      <c r="C22" s="101"/>
      <c r="D22" s="117" t="s">
        <v>62</v>
      </c>
      <c r="E22" s="118">
        <f t="shared" si="1"/>
        <v>749133</v>
      </c>
      <c r="F22" s="118"/>
      <c r="G22" s="118"/>
      <c r="H22" s="25"/>
    </row>
    <row r="23" spans="1:8" ht="19.5" customHeight="1" thickTop="1">
      <c r="A23" s="284">
        <v>852</v>
      </c>
      <c r="B23" s="284"/>
      <c r="C23" s="284"/>
      <c r="D23" s="284" t="s">
        <v>32</v>
      </c>
      <c r="E23" s="120">
        <f t="shared" si="1"/>
        <v>749133</v>
      </c>
      <c r="F23" s="120"/>
      <c r="G23" s="120"/>
      <c r="H23" s="25"/>
    </row>
    <row r="24" spans="1:8" ht="25.5" customHeight="1">
      <c r="A24" s="368"/>
      <c r="B24" s="274">
        <v>85212</v>
      </c>
      <c r="C24" s="369"/>
      <c r="D24" s="442" t="s">
        <v>125</v>
      </c>
      <c r="E24" s="151">
        <f t="shared" si="1"/>
        <v>749133</v>
      </c>
      <c r="F24" s="151"/>
      <c r="G24" s="151"/>
      <c r="H24" s="25"/>
    </row>
    <row r="25" spans="1:8" ht="25.5" customHeight="1">
      <c r="A25" s="370"/>
      <c r="B25" s="371"/>
      <c r="C25" s="372"/>
      <c r="D25" s="443" t="s">
        <v>126</v>
      </c>
      <c r="E25" s="346">
        <f t="shared" si="1"/>
        <v>749133</v>
      </c>
      <c r="F25" s="346"/>
      <c r="G25" s="348"/>
      <c r="H25" s="25"/>
    </row>
    <row r="26" spans="1:8" ht="25.5" customHeight="1">
      <c r="A26" s="236"/>
      <c r="B26" s="236"/>
      <c r="C26" s="279">
        <v>2010</v>
      </c>
      <c r="D26" s="280" t="s">
        <v>236</v>
      </c>
      <c r="E26" s="347">
        <v>749133</v>
      </c>
      <c r="F26" s="347"/>
      <c r="G26" s="349"/>
      <c r="H26" s="25"/>
    </row>
    <row r="27" spans="1:8" ht="19.5" customHeight="1" thickBot="1">
      <c r="A27" s="152"/>
      <c r="B27" s="152"/>
      <c r="C27" s="152"/>
      <c r="D27" s="102" t="s">
        <v>44</v>
      </c>
      <c r="E27" s="103"/>
      <c r="F27" s="103">
        <f>F28</f>
        <v>30</v>
      </c>
      <c r="G27" s="103"/>
      <c r="H27" s="25"/>
    </row>
    <row r="28" spans="1:8" ht="18" customHeight="1" thickTop="1">
      <c r="A28" s="240">
        <v>758</v>
      </c>
      <c r="B28" s="240"/>
      <c r="C28" s="240"/>
      <c r="D28" s="240" t="s">
        <v>106</v>
      </c>
      <c r="E28" s="312"/>
      <c r="F28" s="312">
        <f>F29</f>
        <v>30</v>
      </c>
      <c r="G28" s="312"/>
      <c r="H28" s="25"/>
    </row>
    <row r="29" spans="1:8" ht="18" customHeight="1">
      <c r="A29" s="239"/>
      <c r="B29" s="241">
        <v>75818</v>
      </c>
      <c r="C29" s="241"/>
      <c r="D29" s="241" t="s">
        <v>107</v>
      </c>
      <c r="E29" s="244"/>
      <c r="F29" s="244">
        <f>F30</f>
        <v>30</v>
      </c>
      <c r="G29" s="244"/>
      <c r="H29" s="25"/>
    </row>
    <row r="30" spans="1:8" ht="18" customHeight="1">
      <c r="A30" s="239"/>
      <c r="B30" s="242"/>
      <c r="C30" s="242"/>
      <c r="D30" s="243" t="s">
        <v>108</v>
      </c>
      <c r="E30" s="245"/>
      <c r="F30" s="245">
        <f>F31</f>
        <v>30</v>
      </c>
      <c r="G30" s="245"/>
      <c r="H30" s="25"/>
    </row>
    <row r="31" spans="1:8" ht="18" customHeight="1">
      <c r="A31" s="251"/>
      <c r="B31" s="251"/>
      <c r="C31" s="237">
        <v>4810</v>
      </c>
      <c r="D31" s="237" t="s">
        <v>109</v>
      </c>
      <c r="E31" s="246"/>
      <c r="F31" s="305">
        <v>30</v>
      </c>
      <c r="G31" s="246"/>
      <c r="H31" s="25"/>
    </row>
    <row r="32" spans="1:8" ht="18" customHeight="1">
      <c r="A32" s="91"/>
      <c r="B32" s="91"/>
      <c r="C32" s="105"/>
      <c r="D32" s="155" t="s">
        <v>113</v>
      </c>
      <c r="E32" s="156"/>
      <c r="F32" s="156"/>
      <c r="G32" s="156">
        <f>G33</f>
        <v>400000</v>
      </c>
      <c r="H32" s="25"/>
    </row>
    <row r="33" spans="1:8" s="1" customFormat="1" ht="18" customHeight="1" thickBot="1">
      <c r="A33" s="101"/>
      <c r="B33" s="101"/>
      <c r="C33" s="101"/>
      <c r="D33" s="102" t="s">
        <v>44</v>
      </c>
      <c r="E33" s="103"/>
      <c r="F33" s="103"/>
      <c r="G33" s="103">
        <f>G34</f>
        <v>400000</v>
      </c>
      <c r="H33" s="8"/>
    </row>
    <row r="34" spans="1:8" s="1" customFormat="1" ht="18" customHeight="1" thickTop="1">
      <c r="A34" s="265">
        <v>851</v>
      </c>
      <c r="B34" s="240"/>
      <c r="C34" s="240"/>
      <c r="D34" s="240" t="s">
        <v>103</v>
      </c>
      <c r="E34" s="295"/>
      <c r="F34" s="295"/>
      <c r="G34" s="295">
        <f>G35</f>
        <v>400000</v>
      </c>
      <c r="H34" s="8"/>
    </row>
    <row r="35" spans="1:8" s="1" customFormat="1" ht="18" customHeight="1">
      <c r="A35" s="300"/>
      <c r="B35" s="241">
        <v>85154</v>
      </c>
      <c r="C35" s="241"/>
      <c r="D35" s="146" t="s">
        <v>104</v>
      </c>
      <c r="E35" s="324"/>
      <c r="F35" s="324"/>
      <c r="G35" s="324">
        <f>G36</f>
        <v>400000</v>
      </c>
      <c r="H35" s="8"/>
    </row>
    <row r="36" spans="1:8" s="1" customFormat="1" ht="25.5" customHeight="1">
      <c r="A36" s="239"/>
      <c r="B36" s="239"/>
      <c r="C36" s="239"/>
      <c r="D36" s="306" t="s">
        <v>1</v>
      </c>
      <c r="E36" s="438"/>
      <c r="F36" s="438"/>
      <c r="G36" s="438">
        <f>G37</f>
        <v>400000</v>
      </c>
      <c r="H36" s="8"/>
    </row>
    <row r="37" spans="1:8" s="1" customFormat="1" ht="25.5" customHeight="1">
      <c r="A37" s="239"/>
      <c r="B37" s="239"/>
      <c r="C37" s="236"/>
      <c r="D37" s="397" t="s">
        <v>138</v>
      </c>
      <c r="E37" s="327"/>
      <c r="F37" s="327"/>
      <c r="G37" s="327">
        <f>G39</f>
        <v>400000</v>
      </c>
      <c r="H37" s="8"/>
    </row>
    <row r="38" spans="1:8" s="1" customFormat="1" ht="18" customHeight="1">
      <c r="A38" s="239"/>
      <c r="B38" s="239"/>
      <c r="C38" s="236"/>
      <c r="D38" s="384" t="s">
        <v>199</v>
      </c>
      <c r="E38" s="414"/>
      <c r="F38" s="414"/>
      <c r="G38" s="414">
        <v>400000</v>
      </c>
      <c r="H38" s="8"/>
    </row>
    <row r="39" spans="1:8" s="1" customFormat="1" ht="18" customHeight="1">
      <c r="A39" s="239"/>
      <c r="B39" s="239"/>
      <c r="C39" s="237">
        <v>6050</v>
      </c>
      <c r="D39" s="10" t="s">
        <v>96</v>
      </c>
      <c r="E39" s="262"/>
      <c r="F39" s="262"/>
      <c r="G39" s="262">
        <f>G38</f>
        <v>400000</v>
      </c>
      <c r="H39" s="8"/>
    </row>
    <row r="40" spans="1:8" s="1" customFormat="1" ht="18" customHeight="1">
      <c r="A40" s="91"/>
      <c r="B40" s="91"/>
      <c r="C40" s="105"/>
      <c r="D40" s="155" t="s">
        <v>189</v>
      </c>
      <c r="E40" s="156"/>
      <c r="F40" s="156"/>
      <c r="G40" s="156">
        <f>G41</f>
        <v>30</v>
      </c>
      <c r="H40" s="8"/>
    </row>
    <row r="41" spans="1:8" s="1" customFormat="1" ht="17.25" customHeight="1" thickBot="1">
      <c r="A41" s="101"/>
      <c r="B41" s="101"/>
      <c r="C41" s="101"/>
      <c r="D41" s="102" t="s">
        <v>44</v>
      </c>
      <c r="E41" s="103"/>
      <c r="F41" s="103"/>
      <c r="G41" s="103">
        <f>G42</f>
        <v>30</v>
      </c>
      <c r="H41" s="8"/>
    </row>
    <row r="42" spans="1:8" s="1" customFormat="1" ht="18" customHeight="1" thickTop="1">
      <c r="A42" s="240">
        <v>500</v>
      </c>
      <c r="B42" s="240"/>
      <c r="C42" s="240"/>
      <c r="D42" s="240" t="s">
        <v>117</v>
      </c>
      <c r="E42" s="312"/>
      <c r="F42" s="312"/>
      <c r="G42" s="312">
        <f>G43</f>
        <v>30</v>
      </c>
      <c r="H42" s="8"/>
    </row>
    <row r="43" spans="1:8" s="1" customFormat="1" ht="18" customHeight="1">
      <c r="A43" s="239"/>
      <c r="B43" s="257">
        <v>50095</v>
      </c>
      <c r="C43" s="257"/>
      <c r="D43" s="257" t="s">
        <v>50</v>
      </c>
      <c r="E43" s="297"/>
      <c r="F43" s="297"/>
      <c r="G43" s="297">
        <f>G44</f>
        <v>30</v>
      </c>
      <c r="H43" s="8"/>
    </row>
    <row r="44" spans="1:8" s="1" customFormat="1" ht="18" customHeight="1">
      <c r="A44" s="239"/>
      <c r="B44" s="239"/>
      <c r="C44" s="242"/>
      <c r="D44" s="243" t="s">
        <v>197</v>
      </c>
      <c r="E44" s="272"/>
      <c r="F44" s="272"/>
      <c r="G44" s="272">
        <f>G45</f>
        <v>30</v>
      </c>
      <c r="H44" s="8"/>
    </row>
    <row r="45" spans="1:8" s="1" customFormat="1" ht="18" customHeight="1">
      <c r="A45" s="239"/>
      <c r="B45" s="239"/>
      <c r="C45" s="237">
        <v>4170</v>
      </c>
      <c r="D45" s="403" t="s">
        <v>98</v>
      </c>
      <c r="E45" s="246"/>
      <c r="F45" s="246"/>
      <c r="G45" s="246">
        <v>30</v>
      </c>
      <c r="H45" s="8"/>
    </row>
    <row r="46" spans="1:8" ht="23.25" customHeight="1">
      <c r="A46" s="91"/>
      <c r="B46" s="91"/>
      <c r="C46" s="105"/>
      <c r="D46" s="155" t="s">
        <v>114</v>
      </c>
      <c r="E46" s="156"/>
      <c r="F46" s="156">
        <f>F47+F87</f>
        <v>522006</v>
      </c>
      <c r="G46" s="156">
        <f>G47+G87</f>
        <v>122006</v>
      </c>
      <c r="H46" s="25"/>
    </row>
    <row r="47" spans="1:7" ht="18.75" customHeight="1" thickBot="1">
      <c r="A47" s="152"/>
      <c r="B47" s="152"/>
      <c r="C47" s="152"/>
      <c r="D47" s="102" t="s">
        <v>44</v>
      </c>
      <c r="E47" s="103"/>
      <c r="F47" s="441">
        <f>F48+F55+F72+F77</f>
        <v>516755</v>
      </c>
      <c r="G47" s="441">
        <f>G48+G55+G72+G77</f>
        <v>116755</v>
      </c>
    </row>
    <row r="48" spans="1:8" s="1" customFormat="1" ht="18" customHeight="1" thickTop="1">
      <c r="A48" s="240">
        <v>700</v>
      </c>
      <c r="B48" s="240"/>
      <c r="C48" s="240"/>
      <c r="D48" s="240" t="s">
        <v>95</v>
      </c>
      <c r="E48" s="301"/>
      <c r="F48" s="301">
        <f>F49</f>
        <v>100000</v>
      </c>
      <c r="G48" s="301">
        <f>G49</f>
        <v>100000</v>
      </c>
      <c r="H48" s="8"/>
    </row>
    <row r="49" spans="1:8" s="1" customFormat="1" ht="18" customHeight="1">
      <c r="A49" s="239"/>
      <c r="B49" s="257">
        <v>70001</v>
      </c>
      <c r="C49" s="257"/>
      <c r="D49" s="257" t="s">
        <v>147</v>
      </c>
      <c r="E49" s="324"/>
      <c r="F49" s="324">
        <f>F50</f>
        <v>100000</v>
      </c>
      <c r="G49" s="324">
        <f>G50</f>
        <v>100000</v>
      </c>
      <c r="H49" s="8"/>
    </row>
    <row r="50" spans="1:8" s="1" customFormat="1" ht="18" customHeight="1">
      <c r="A50" s="239"/>
      <c r="B50" s="239"/>
      <c r="C50" s="242"/>
      <c r="D50" s="243" t="s">
        <v>145</v>
      </c>
      <c r="E50" s="325"/>
      <c r="F50" s="325">
        <f>F52+F54</f>
        <v>100000</v>
      </c>
      <c r="G50" s="325">
        <f>G52+G54</f>
        <v>100000</v>
      </c>
      <c r="H50" s="8"/>
    </row>
    <row r="51" spans="1:8" s="1" customFormat="1" ht="18" customHeight="1">
      <c r="A51" s="236"/>
      <c r="B51" s="236"/>
      <c r="C51" s="236"/>
      <c r="D51" s="384" t="s">
        <v>148</v>
      </c>
      <c r="E51" s="332"/>
      <c r="F51" s="332">
        <v>100000</v>
      </c>
      <c r="G51" s="332"/>
      <c r="H51" s="8"/>
    </row>
    <row r="52" spans="1:8" s="1" customFormat="1" ht="18" customHeight="1">
      <c r="A52" s="236"/>
      <c r="B52" s="236"/>
      <c r="C52" s="237">
        <v>2650</v>
      </c>
      <c r="D52" s="10" t="s">
        <v>146</v>
      </c>
      <c r="E52" s="326"/>
      <c r="F52" s="326">
        <f>F51</f>
        <v>100000</v>
      </c>
      <c r="G52" s="326"/>
      <c r="H52" s="8"/>
    </row>
    <row r="53" spans="1:7" s="11" customFormat="1" ht="18.75" customHeight="1">
      <c r="A53" s="105"/>
      <c r="B53" s="105"/>
      <c r="C53" s="105"/>
      <c r="D53" s="451" t="s">
        <v>150</v>
      </c>
      <c r="E53" s="587"/>
      <c r="F53" s="587"/>
      <c r="G53" s="587">
        <v>100000</v>
      </c>
    </row>
    <row r="54" spans="1:7" s="11" customFormat="1" ht="26.25" customHeight="1">
      <c r="A54" s="106"/>
      <c r="B54" s="106"/>
      <c r="C54" s="106">
        <v>6210</v>
      </c>
      <c r="D54" s="288" t="s">
        <v>151</v>
      </c>
      <c r="E54" s="107"/>
      <c r="F54" s="107"/>
      <c r="G54" s="107">
        <f>G53</f>
        <v>100000</v>
      </c>
    </row>
    <row r="55" spans="1:8" s="1" customFormat="1" ht="18" customHeight="1">
      <c r="A55" s="240">
        <v>851</v>
      </c>
      <c r="B55" s="240"/>
      <c r="C55" s="240"/>
      <c r="D55" s="240" t="s">
        <v>103</v>
      </c>
      <c r="E55" s="312"/>
      <c r="F55" s="312">
        <f>F56</f>
        <v>400000</v>
      </c>
      <c r="G55" s="312"/>
      <c r="H55" s="8"/>
    </row>
    <row r="56" spans="1:7" ht="19.5" customHeight="1">
      <c r="A56" s="91"/>
      <c r="B56" s="145">
        <v>85154</v>
      </c>
      <c r="C56" s="148"/>
      <c r="D56" s="146" t="s">
        <v>104</v>
      </c>
      <c r="E56" s="147"/>
      <c r="F56" s="147">
        <f>F57</f>
        <v>400000</v>
      </c>
      <c r="G56" s="147"/>
    </row>
    <row r="57" spans="1:7" ht="27.75" customHeight="1">
      <c r="A57" s="91"/>
      <c r="B57" s="91"/>
      <c r="C57" s="91"/>
      <c r="D57" s="306" t="s">
        <v>1</v>
      </c>
      <c r="E57" s="308"/>
      <c r="F57" s="308">
        <f>F58+F61+F64+F66+F69</f>
        <v>400000</v>
      </c>
      <c r="G57" s="308"/>
    </row>
    <row r="58" spans="1:7" ht="23.25" customHeight="1">
      <c r="A58" s="239"/>
      <c r="B58" s="239"/>
      <c r="C58" s="239"/>
      <c r="D58" s="307" t="s">
        <v>202</v>
      </c>
      <c r="E58" s="309"/>
      <c r="F58" s="309">
        <f>SUM(F59:F60)</f>
        <v>90900</v>
      </c>
      <c r="G58" s="309"/>
    </row>
    <row r="59" spans="1:7" s="11" customFormat="1" ht="19.5" customHeight="1">
      <c r="A59" s="236"/>
      <c r="B59" s="236"/>
      <c r="C59" s="237">
        <v>4280</v>
      </c>
      <c r="D59" s="111" t="s">
        <v>235</v>
      </c>
      <c r="E59" s="238"/>
      <c r="F59" s="238">
        <v>76900</v>
      </c>
      <c r="G59" s="238"/>
    </row>
    <row r="60" spans="1:7" s="11" customFormat="1" ht="19.5" customHeight="1">
      <c r="A60" s="106"/>
      <c r="B60" s="106"/>
      <c r="C60" s="417">
        <v>4300</v>
      </c>
      <c r="D60" s="432" t="s">
        <v>45</v>
      </c>
      <c r="E60" s="398"/>
      <c r="F60" s="398">
        <v>14000</v>
      </c>
      <c r="G60" s="398"/>
    </row>
    <row r="61" spans="1:7" ht="27.75" customHeight="1">
      <c r="A61" s="91"/>
      <c r="B61" s="91"/>
      <c r="C61" s="91"/>
      <c r="D61" s="601" t="s">
        <v>246</v>
      </c>
      <c r="E61" s="572"/>
      <c r="F61" s="572">
        <f>SUM(F62:F63)</f>
        <v>50500</v>
      </c>
      <c r="G61" s="572"/>
    </row>
    <row r="62" spans="1:7" s="11" customFormat="1" ht="19.5" customHeight="1">
      <c r="A62" s="105"/>
      <c r="B62" s="105"/>
      <c r="C62" s="105">
        <v>4170</v>
      </c>
      <c r="D62" s="391" t="s">
        <v>98</v>
      </c>
      <c r="E62" s="400"/>
      <c r="F62" s="400">
        <v>25000</v>
      </c>
      <c r="G62" s="400"/>
    </row>
    <row r="63" spans="1:7" s="11" customFormat="1" ht="19.5" customHeight="1">
      <c r="A63" s="105"/>
      <c r="B63" s="105"/>
      <c r="C63" s="417">
        <v>4300</v>
      </c>
      <c r="D63" s="432" t="s">
        <v>45</v>
      </c>
      <c r="E63" s="398"/>
      <c r="F63" s="398">
        <v>25500</v>
      </c>
      <c r="G63" s="398"/>
    </row>
    <row r="64" spans="1:7" ht="62.25" customHeight="1">
      <c r="A64" s="239"/>
      <c r="B64" s="239"/>
      <c r="C64" s="239"/>
      <c r="D64" s="307" t="s">
        <v>245</v>
      </c>
      <c r="E64" s="309"/>
      <c r="F64" s="309">
        <f>F65</f>
        <v>15100</v>
      </c>
      <c r="G64" s="309"/>
    </row>
    <row r="65" spans="1:7" ht="19.5" customHeight="1">
      <c r="A65" s="239"/>
      <c r="B65" s="239"/>
      <c r="C65" s="237">
        <v>4300</v>
      </c>
      <c r="D65" s="10" t="s">
        <v>45</v>
      </c>
      <c r="E65" s="238"/>
      <c r="F65" s="238">
        <v>15100</v>
      </c>
      <c r="G65" s="238"/>
    </row>
    <row r="66" spans="1:7" s="1" customFormat="1" ht="25.5" customHeight="1">
      <c r="A66" s="239"/>
      <c r="B66" s="239"/>
      <c r="C66" s="239"/>
      <c r="D66" s="243" t="s">
        <v>139</v>
      </c>
      <c r="E66" s="450"/>
      <c r="F66" s="450">
        <f>SUM(F67:F68)</f>
        <v>100000</v>
      </c>
      <c r="G66" s="450"/>
    </row>
    <row r="67" spans="1:7" ht="18.75" customHeight="1">
      <c r="A67" s="239"/>
      <c r="B67" s="239"/>
      <c r="C67" s="237">
        <v>4170</v>
      </c>
      <c r="D67" s="111" t="s">
        <v>98</v>
      </c>
      <c r="E67" s="256"/>
      <c r="F67" s="256">
        <v>41000</v>
      </c>
      <c r="G67" s="256"/>
    </row>
    <row r="68" spans="1:7" ht="18.75" customHeight="1">
      <c r="A68" s="239"/>
      <c r="B68" s="239"/>
      <c r="C68" s="237">
        <v>4300</v>
      </c>
      <c r="D68" s="111" t="s">
        <v>45</v>
      </c>
      <c r="E68" s="238"/>
      <c r="F68" s="238">
        <v>59000</v>
      </c>
      <c r="G68" s="238"/>
    </row>
    <row r="69" spans="1:7" s="1" customFormat="1" ht="18.75" customHeight="1">
      <c r="A69" s="239"/>
      <c r="B69" s="239"/>
      <c r="C69" s="239"/>
      <c r="D69" s="397" t="s">
        <v>141</v>
      </c>
      <c r="E69" s="254"/>
      <c r="F69" s="254">
        <f>SUM(F70:F71)</f>
        <v>143500</v>
      </c>
      <c r="G69" s="254"/>
    </row>
    <row r="70" spans="1:7" ht="18.75" customHeight="1">
      <c r="A70" s="239"/>
      <c r="B70" s="239"/>
      <c r="C70" s="237">
        <v>4170</v>
      </c>
      <c r="D70" s="111" t="s">
        <v>98</v>
      </c>
      <c r="E70" s="238"/>
      <c r="F70" s="238">
        <v>6000</v>
      </c>
      <c r="G70" s="238"/>
    </row>
    <row r="71" spans="1:7" ht="18.75" customHeight="1">
      <c r="A71" s="251"/>
      <c r="B71" s="251"/>
      <c r="C71" s="237">
        <v>4300</v>
      </c>
      <c r="D71" s="432" t="s">
        <v>45</v>
      </c>
      <c r="E71" s="238"/>
      <c r="F71" s="238">
        <v>137500</v>
      </c>
      <c r="G71" s="238"/>
    </row>
    <row r="72" spans="1:7" ht="18.75" customHeight="1">
      <c r="A72" s="240">
        <v>921</v>
      </c>
      <c r="B72" s="240"/>
      <c r="C72" s="240"/>
      <c r="D72" s="284" t="s">
        <v>105</v>
      </c>
      <c r="E72" s="284"/>
      <c r="F72" s="345">
        <f>F73</f>
        <v>14305</v>
      </c>
      <c r="G72" s="390">
        <f>G73</f>
        <v>14305</v>
      </c>
    </row>
    <row r="73" spans="1:7" ht="18.75" customHeight="1">
      <c r="A73" s="239"/>
      <c r="B73" s="257">
        <v>92116</v>
      </c>
      <c r="C73" s="257"/>
      <c r="D73" s="257" t="s">
        <v>225</v>
      </c>
      <c r="E73" s="324"/>
      <c r="F73" s="324">
        <f>F74</f>
        <v>14305</v>
      </c>
      <c r="G73" s="324">
        <f>G74</f>
        <v>14305</v>
      </c>
    </row>
    <row r="74" spans="1:7" ht="39" customHeight="1">
      <c r="A74" s="239"/>
      <c r="B74" s="300"/>
      <c r="C74" s="300"/>
      <c r="D74" s="285" t="s">
        <v>143</v>
      </c>
      <c r="E74" s="261"/>
      <c r="F74" s="261">
        <f>SUM(F75:F76)</f>
        <v>14305</v>
      </c>
      <c r="G74" s="261">
        <f>SUM(G75:G76)</f>
        <v>14305</v>
      </c>
    </row>
    <row r="75" spans="1:7" s="11" customFormat="1" ht="27" customHeight="1">
      <c r="A75" s="236"/>
      <c r="B75" s="236"/>
      <c r="C75" s="236">
        <v>2800</v>
      </c>
      <c r="D75" s="596" t="s">
        <v>200</v>
      </c>
      <c r="E75" s="602"/>
      <c r="F75" s="602"/>
      <c r="G75" s="602">
        <v>14305</v>
      </c>
    </row>
    <row r="76" spans="1:7" ht="27" customHeight="1">
      <c r="A76" s="237"/>
      <c r="B76" s="237"/>
      <c r="C76" s="273">
        <v>6220</v>
      </c>
      <c r="D76" s="375" t="s">
        <v>244</v>
      </c>
      <c r="E76" s="328"/>
      <c r="F76" s="328">
        <v>14305</v>
      </c>
      <c r="G76" s="328"/>
    </row>
    <row r="77" spans="1:7" ht="18.75" customHeight="1">
      <c r="A77" s="240">
        <v>926</v>
      </c>
      <c r="B77" s="240"/>
      <c r="C77" s="240"/>
      <c r="D77" s="240" t="s">
        <v>216</v>
      </c>
      <c r="E77" s="284"/>
      <c r="F77" s="345">
        <f>F78</f>
        <v>2450</v>
      </c>
      <c r="G77" s="390">
        <f>G78</f>
        <v>2450</v>
      </c>
    </row>
    <row r="78" spans="1:7" ht="18.75" customHeight="1">
      <c r="A78" s="239"/>
      <c r="B78" s="257">
        <v>92605</v>
      </c>
      <c r="C78" s="257"/>
      <c r="D78" s="330" t="s">
        <v>217</v>
      </c>
      <c r="E78" s="324"/>
      <c r="F78" s="324">
        <f>F79+F82</f>
        <v>2450</v>
      </c>
      <c r="G78" s="324">
        <f>G79+G82</f>
        <v>2450</v>
      </c>
    </row>
    <row r="79" spans="1:7" ht="18.75" customHeight="1">
      <c r="A79" s="239"/>
      <c r="B79" s="300"/>
      <c r="C79" s="300"/>
      <c r="D79" s="243" t="s">
        <v>132</v>
      </c>
      <c r="E79" s="261"/>
      <c r="F79" s="261">
        <f>SUM(F80:F81)</f>
        <v>2090</v>
      </c>
      <c r="G79" s="261">
        <f>SUM(G80:G81)</f>
        <v>2450</v>
      </c>
    </row>
    <row r="80" spans="1:7" s="11" customFormat="1" ht="18.75" customHeight="1">
      <c r="A80" s="236"/>
      <c r="B80" s="236"/>
      <c r="C80" s="236">
        <v>4210</v>
      </c>
      <c r="D80" s="236" t="s">
        <v>46</v>
      </c>
      <c r="E80" s="602"/>
      <c r="F80" s="602">
        <v>2090</v>
      </c>
      <c r="G80" s="602"/>
    </row>
    <row r="81" spans="1:7" s="11" customFormat="1" ht="18.75" customHeight="1">
      <c r="A81" s="236"/>
      <c r="B81" s="236"/>
      <c r="C81" s="273">
        <v>4300</v>
      </c>
      <c r="D81" s="273" t="s">
        <v>45</v>
      </c>
      <c r="E81" s="571"/>
      <c r="F81" s="571"/>
      <c r="G81" s="571">
        <v>2450</v>
      </c>
    </row>
    <row r="82" spans="1:7" ht="18.75" customHeight="1">
      <c r="A82" s="239"/>
      <c r="B82" s="300"/>
      <c r="C82" s="300"/>
      <c r="D82" s="397" t="s">
        <v>133</v>
      </c>
      <c r="E82" s="261"/>
      <c r="F82" s="261">
        <f>F83</f>
        <v>360</v>
      </c>
      <c r="G82" s="261"/>
    </row>
    <row r="83" spans="1:7" ht="18.75" customHeight="1">
      <c r="A83" s="236"/>
      <c r="B83" s="236"/>
      <c r="C83" s="236">
        <v>3040</v>
      </c>
      <c r="D83" s="248" t="s">
        <v>134</v>
      </c>
      <c r="E83" s="327"/>
      <c r="F83" s="327">
        <v>360</v>
      </c>
      <c r="G83" s="327"/>
    </row>
    <row r="84" spans="1:7" ht="18.75" customHeight="1">
      <c r="A84" s="598"/>
      <c r="B84" s="598"/>
      <c r="C84" s="598"/>
      <c r="D84" s="599"/>
      <c r="E84" s="619"/>
      <c r="F84" s="619"/>
      <c r="G84" s="619"/>
    </row>
    <row r="85" spans="1:7" ht="18.75" customHeight="1">
      <c r="A85" s="392"/>
      <c r="B85" s="392"/>
      <c r="C85" s="392"/>
      <c r="D85" s="413"/>
      <c r="E85" s="620"/>
      <c r="F85" s="620"/>
      <c r="G85" s="620"/>
    </row>
    <row r="86" spans="1:7" ht="18.75" customHeight="1">
      <c r="A86" s="392"/>
      <c r="B86" s="392"/>
      <c r="C86" s="392"/>
      <c r="D86" s="413"/>
      <c r="E86" s="620"/>
      <c r="F86" s="620"/>
      <c r="G86" s="620"/>
    </row>
    <row r="87" spans="1:7" ht="18" customHeight="1" thickBot="1">
      <c r="A87" s="152"/>
      <c r="B87" s="152"/>
      <c r="C87" s="152"/>
      <c r="D87" s="118" t="s">
        <v>54</v>
      </c>
      <c r="E87" s="103"/>
      <c r="F87" s="103">
        <f>F88</f>
        <v>5251</v>
      </c>
      <c r="G87" s="103">
        <f>G88</f>
        <v>5251</v>
      </c>
    </row>
    <row r="88" spans="1:7" ht="18" customHeight="1" thickTop="1">
      <c r="A88" s="240">
        <v>853</v>
      </c>
      <c r="B88" s="240"/>
      <c r="C88" s="240"/>
      <c r="D88" s="240" t="s">
        <v>130</v>
      </c>
      <c r="E88" s="301"/>
      <c r="F88" s="301">
        <f>F89</f>
        <v>5251</v>
      </c>
      <c r="G88" s="301">
        <f>G89</f>
        <v>5251</v>
      </c>
    </row>
    <row r="89" spans="1:7" ht="18" customHeight="1">
      <c r="A89" s="239"/>
      <c r="B89" s="257">
        <v>85321</v>
      </c>
      <c r="C89" s="257"/>
      <c r="D89" s="241" t="s">
        <v>131</v>
      </c>
      <c r="E89" s="324"/>
      <c r="F89" s="324">
        <f>F90+F92+F95</f>
        <v>5251</v>
      </c>
      <c r="G89" s="324">
        <f>G90+G92+G95</f>
        <v>5251</v>
      </c>
    </row>
    <row r="90" spans="1:7" ht="19.5" customHeight="1">
      <c r="A90" s="239"/>
      <c r="B90" s="239"/>
      <c r="C90" s="239"/>
      <c r="D90" s="406" t="s">
        <v>234</v>
      </c>
      <c r="E90" s="261"/>
      <c r="F90" s="261">
        <f>F91</f>
        <v>4000</v>
      </c>
      <c r="G90" s="261"/>
    </row>
    <row r="91" spans="1:7" ht="19.5" customHeight="1">
      <c r="A91" s="105"/>
      <c r="B91" s="105"/>
      <c r="C91" s="106">
        <v>4170</v>
      </c>
      <c r="D91" s="237" t="s">
        <v>98</v>
      </c>
      <c r="E91" s="262"/>
      <c r="F91" s="426">
        <v>4000</v>
      </c>
      <c r="G91" s="426"/>
    </row>
    <row r="92" spans="1:7" s="1" customFormat="1" ht="19.5" customHeight="1">
      <c r="A92" s="91"/>
      <c r="B92" s="91"/>
      <c r="C92" s="104"/>
      <c r="D92" s="406" t="s">
        <v>47</v>
      </c>
      <c r="E92" s="382"/>
      <c r="F92" s="605"/>
      <c r="G92" s="605">
        <f>SUM(G93:G94)</f>
        <v>4219</v>
      </c>
    </row>
    <row r="93" spans="1:7" s="11" customFormat="1" ht="19.5" customHeight="1">
      <c r="A93" s="105"/>
      <c r="B93" s="105"/>
      <c r="C93" s="106">
        <v>4210</v>
      </c>
      <c r="D93" s="237" t="s">
        <v>46</v>
      </c>
      <c r="E93" s="588"/>
      <c r="F93" s="589"/>
      <c r="G93" s="589">
        <v>219</v>
      </c>
    </row>
    <row r="94" spans="1:7" ht="19.5" customHeight="1">
      <c r="A94" s="105"/>
      <c r="B94" s="105"/>
      <c r="C94" s="106">
        <v>4300</v>
      </c>
      <c r="D94" s="237" t="s">
        <v>45</v>
      </c>
      <c r="E94" s="590"/>
      <c r="F94" s="590"/>
      <c r="G94" s="590">
        <v>4000</v>
      </c>
    </row>
    <row r="95" spans="1:7" s="1" customFormat="1" ht="19.5" customHeight="1">
      <c r="A95" s="91"/>
      <c r="B95" s="91"/>
      <c r="C95" s="91"/>
      <c r="D95" s="282" t="s">
        <v>237</v>
      </c>
      <c r="E95" s="604"/>
      <c r="F95" s="604">
        <f>SUM(F96:F97)</f>
        <v>1251</v>
      </c>
      <c r="G95" s="604">
        <f>SUM(G96:G97)</f>
        <v>1032</v>
      </c>
    </row>
    <row r="96" spans="1:7" ht="19.5" customHeight="1">
      <c r="A96" s="105"/>
      <c r="B96" s="105"/>
      <c r="C96" s="105">
        <v>4110</v>
      </c>
      <c r="D96" s="248" t="s">
        <v>49</v>
      </c>
      <c r="E96" s="603"/>
      <c r="F96" s="603"/>
      <c r="G96" s="603">
        <v>1032</v>
      </c>
    </row>
    <row r="97" spans="1:7" ht="19.5" customHeight="1">
      <c r="A97" s="105"/>
      <c r="B97" s="105"/>
      <c r="C97" s="417">
        <v>4120</v>
      </c>
      <c r="D97" s="249" t="s">
        <v>215</v>
      </c>
      <c r="E97" s="590"/>
      <c r="F97" s="590">
        <v>1251</v>
      </c>
      <c r="G97" s="590"/>
    </row>
    <row r="98" spans="1:8" ht="21" customHeight="1">
      <c r="A98" s="91"/>
      <c r="B98" s="91"/>
      <c r="C98" s="105"/>
      <c r="D98" s="155" t="s">
        <v>192</v>
      </c>
      <c r="E98" s="156"/>
      <c r="F98" s="156">
        <f aca="true" t="shared" si="2" ref="F98:G100">F99</f>
        <v>6500</v>
      </c>
      <c r="G98" s="156">
        <f t="shared" si="2"/>
        <v>6500</v>
      </c>
      <c r="H98" s="25"/>
    </row>
    <row r="99" spans="1:7" ht="16.5" customHeight="1" thickBot="1">
      <c r="A99" s="152"/>
      <c r="B99" s="152"/>
      <c r="C99" s="152"/>
      <c r="D99" s="102" t="s">
        <v>44</v>
      </c>
      <c r="E99" s="103"/>
      <c r="F99" s="103">
        <f t="shared" si="2"/>
        <v>6500</v>
      </c>
      <c r="G99" s="103">
        <f t="shared" si="2"/>
        <v>6500</v>
      </c>
    </row>
    <row r="100" spans="1:7" ht="18" customHeight="1" thickTop="1">
      <c r="A100" s="240">
        <v>754</v>
      </c>
      <c r="B100" s="240"/>
      <c r="C100" s="240"/>
      <c r="D100" s="240" t="s">
        <v>118</v>
      </c>
      <c r="E100" s="301"/>
      <c r="F100" s="301">
        <f t="shared" si="2"/>
        <v>6500</v>
      </c>
      <c r="G100" s="301">
        <f t="shared" si="2"/>
        <v>6500</v>
      </c>
    </row>
    <row r="101" spans="1:7" ht="18" customHeight="1">
      <c r="A101" s="239"/>
      <c r="B101" s="257">
        <v>75416</v>
      </c>
      <c r="C101" s="257"/>
      <c r="D101" s="281" t="s">
        <v>119</v>
      </c>
      <c r="E101" s="324"/>
      <c r="F101" s="324">
        <f>F102+F105</f>
        <v>6500</v>
      </c>
      <c r="G101" s="324">
        <f>G102+G105</f>
        <v>6500</v>
      </c>
    </row>
    <row r="102" spans="1:7" ht="18" customHeight="1">
      <c r="A102" s="239"/>
      <c r="B102" s="239"/>
      <c r="C102" s="239"/>
      <c r="D102" s="289" t="s">
        <v>47</v>
      </c>
      <c r="E102" s="261"/>
      <c r="F102" s="261"/>
      <c r="G102" s="261">
        <f>SUM(G103:G104)</f>
        <v>6500</v>
      </c>
    </row>
    <row r="103" spans="1:7" ht="19.5" customHeight="1">
      <c r="A103" s="105"/>
      <c r="B103" s="105"/>
      <c r="C103" s="106">
        <v>4210</v>
      </c>
      <c r="D103" s="304" t="s">
        <v>46</v>
      </c>
      <c r="E103" s="588"/>
      <c r="F103" s="589"/>
      <c r="G103" s="589">
        <v>3500</v>
      </c>
    </row>
    <row r="104" spans="1:7" ht="20.25" customHeight="1">
      <c r="A104" s="105"/>
      <c r="B104" s="105"/>
      <c r="C104" s="417">
        <v>4300</v>
      </c>
      <c r="D104" s="249" t="s">
        <v>45</v>
      </c>
      <c r="E104" s="571"/>
      <c r="F104" s="590"/>
      <c r="G104" s="590">
        <v>3000</v>
      </c>
    </row>
    <row r="105" spans="1:7" s="1" customFormat="1" ht="16.5" customHeight="1">
      <c r="A105" s="91"/>
      <c r="B105" s="91"/>
      <c r="C105" s="91"/>
      <c r="D105" s="267" t="s">
        <v>185</v>
      </c>
      <c r="E105" s="591"/>
      <c r="F105" s="592">
        <f>F106</f>
        <v>6500</v>
      </c>
      <c r="G105" s="592"/>
    </row>
    <row r="106" spans="1:7" ht="16.5" customHeight="1">
      <c r="A106" s="105"/>
      <c r="B106" s="105"/>
      <c r="C106" s="106">
        <v>6060</v>
      </c>
      <c r="D106" s="250" t="s">
        <v>233</v>
      </c>
      <c r="E106" s="426"/>
      <c r="F106" s="425">
        <v>6500</v>
      </c>
      <c r="G106" s="425"/>
    </row>
    <row r="107" spans="1:7" ht="24.75" customHeight="1">
      <c r="A107" s="91"/>
      <c r="B107" s="91"/>
      <c r="C107" s="105"/>
      <c r="D107" s="155" t="s">
        <v>191</v>
      </c>
      <c r="E107" s="156"/>
      <c r="F107" s="156">
        <f aca="true" t="shared" si="3" ref="F107:G109">F108</f>
        <v>7600</v>
      </c>
      <c r="G107" s="156">
        <f t="shared" si="3"/>
        <v>7600</v>
      </c>
    </row>
    <row r="108" spans="1:7" ht="15" customHeight="1" thickBot="1">
      <c r="A108" s="152"/>
      <c r="B108" s="152"/>
      <c r="C108" s="152"/>
      <c r="D108" s="102" t="s">
        <v>44</v>
      </c>
      <c r="E108" s="103"/>
      <c r="F108" s="103">
        <f t="shared" si="3"/>
        <v>7600</v>
      </c>
      <c r="G108" s="103">
        <f t="shared" si="3"/>
        <v>7600</v>
      </c>
    </row>
    <row r="109" spans="1:7" ht="19.5" customHeight="1" thickTop="1">
      <c r="A109" s="110">
        <v>852</v>
      </c>
      <c r="B109" s="110"/>
      <c r="C109" s="150"/>
      <c r="D109" s="110" t="s">
        <v>32</v>
      </c>
      <c r="E109" s="113"/>
      <c r="F109" s="120">
        <f t="shared" si="3"/>
        <v>7600</v>
      </c>
      <c r="G109" s="120">
        <f t="shared" si="3"/>
        <v>7600</v>
      </c>
    </row>
    <row r="110" spans="1:7" ht="19.5" customHeight="1">
      <c r="A110" s="91"/>
      <c r="B110" s="148">
        <v>85202</v>
      </c>
      <c r="C110" s="148"/>
      <c r="D110" s="146" t="s">
        <v>2</v>
      </c>
      <c r="E110" s="297"/>
      <c r="F110" s="297">
        <f>F111+F113</f>
        <v>7600</v>
      </c>
      <c r="G110" s="297">
        <f>G111+G113</f>
        <v>7600</v>
      </c>
    </row>
    <row r="111" spans="1:7" ht="19.5" customHeight="1">
      <c r="A111" s="239"/>
      <c r="B111" s="239"/>
      <c r="C111" s="239"/>
      <c r="D111" s="282" t="s">
        <v>234</v>
      </c>
      <c r="E111" s="245"/>
      <c r="F111" s="245">
        <f>F112</f>
        <v>7600</v>
      </c>
      <c r="G111" s="245"/>
    </row>
    <row r="112" spans="1:7" s="11" customFormat="1" ht="19.5" customHeight="1">
      <c r="A112" s="236"/>
      <c r="B112" s="236"/>
      <c r="C112" s="237">
        <v>4170</v>
      </c>
      <c r="D112" s="10" t="s">
        <v>98</v>
      </c>
      <c r="E112" s="256"/>
      <c r="F112" s="256">
        <v>7600</v>
      </c>
      <c r="G112" s="256"/>
    </row>
    <row r="113" spans="1:7" s="1" customFormat="1" ht="19.5" customHeight="1">
      <c r="A113" s="239"/>
      <c r="B113" s="239"/>
      <c r="C113" s="239"/>
      <c r="D113" s="397" t="s">
        <v>47</v>
      </c>
      <c r="E113" s="450"/>
      <c r="F113" s="450"/>
      <c r="G113" s="450">
        <f>G114</f>
        <v>7600</v>
      </c>
    </row>
    <row r="114" spans="1:7" ht="19.5" customHeight="1">
      <c r="A114" s="236"/>
      <c r="B114" s="236"/>
      <c r="C114" s="236">
        <v>4260</v>
      </c>
      <c r="D114" s="621" t="s">
        <v>48</v>
      </c>
      <c r="E114" s="622"/>
      <c r="F114" s="622"/>
      <c r="G114" s="622">
        <v>7600</v>
      </c>
    </row>
    <row r="115" spans="1:7" ht="19.5" customHeight="1">
      <c r="A115" s="598"/>
      <c r="B115" s="598"/>
      <c r="C115" s="598"/>
      <c r="D115" s="623"/>
      <c r="E115" s="619"/>
      <c r="F115" s="619"/>
      <c r="G115" s="619"/>
    </row>
    <row r="116" spans="1:7" ht="19.5" customHeight="1">
      <c r="A116" s="392"/>
      <c r="B116" s="392"/>
      <c r="C116" s="392"/>
      <c r="D116" s="624"/>
      <c r="E116" s="620"/>
      <c r="F116" s="620"/>
      <c r="G116" s="620"/>
    </row>
    <row r="117" spans="1:7" ht="19.5" customHeight="1">
      <c r="A117" s="91"/>
      <c r="B117" s="91"/>
      <c r="C117" s="105"/>
      <c r="D117" s="155" t="s">
        <v>203</v>
      </c>
      <c r="E117" s="156"/>
      <c r="F117" s="156">
        <f>F118+F132</f>
        <v>786746</v>
      </c>
      <c r="G117" s="156">
        <f>G118+G132</f>
        <v>37613</v>
      </c>
    </row>
    <row r="118" spans="1:7" ht="18" customHeight="1" thickBot="1">
      <c r="A118" s="152"/>
      <c r="B118" s="152"/>
      <c r="C118" s="152"/>
      <c r="D118" s="102" t="s">
        <v>44</v>
      </c>
      <c r="E118" s="103"/>
      <c r="F118" s="103">
        <f>F119</f>
        <v>37613</v>
      </c>
      <c r="G118" s="103">
        <f>G119</f>
        <v>37613</v>
      </c>
    </row>
    <row r="119" spans="1:7" ht="18" customHeight="1" thickTop="1">
      <c r="A119" s="110">
        <v>852</v>
      </c>
      <c r="B119" s="110"/>
      <c r="C119" s="150"/>
      <c r="D119" s="110" t="s">
        <v>32</v>
      </c>
      <c r="E119" s="113"/>
      <c r="F119" s="113">
        <f>F120+F123+F126</f>
        <v>37613</v>
      </c>
      <c r="G119" s="113">
        <f>G120+G123+G126</f>
        <v>37613</v>
      </c>
    </row>
    <row r="120" spans="1:7" s="311" customFormat="1" ht="18" customHeight="1">
      <c r="A120" s="91"/>
      <c r="B120" s="148">
        <v>85202</v>
      </c>
      <c r="C120" s="148"/>
      <c r="D120" s="146" t="s">
        <v>2</v>
      </c>
      <c r="E120" s="147"/>
      <c r="F120" s="147"/>
      <c r="G120" s="147">
        <f>G121</f>
        <v>30000</v>
      </c>
    </row>
    <row r="121" spans="1:7" s="311" customFormat="1" ht="18" customHeight="1">
      <c r="A121" s="239"/>
      <c r="B121" s="239"/>
      <c r="C121" s="242"/>
      <c r="D121" s="418" t="s">
        <v>186</v>
      </c>
      <c r="E121" s="245"/>
      <c r="F121" s="245"/>
      <c r="G121" s="245">
        <f>G122</f>
        <v>30000</v>
      </c>
    </row>
    <row r="122" spans="1:7" s="290" customFormat="1" ht="30" customHeight="1">
      <c r="A122" s="236"/>
      <c r="B122" s="237"/>
      <c r="C122" s="237">
        <v>4330</v>
      </c>
      <c r="D122" s="10" t="s">
        <v>122</v>
      </c>
      <c r="E122" s="429"/>
      <c r="F122" s="440"/>
      <c r="G122" s="440">
        <v>30000</v>
      </c>
    </row>
    <row r="123" spans="1:7" ht="19.5" customHeight="1">
      <c r="A123" s="300"/>
      <c r="B123" s="241">
        <v>85228</v>
      </c>
      <c r="C123" s="241"/>
      <c r="D123" s="241" t="s">
        <v>123</v>
      </c>
      <c r="E123" s="296"/>
      <c r="F123" s="296">
        <f>F124</f>
        <v>30000</v>
      </c>
      <c r="G123" s="296"/>
    </row>
    <row r="124" spans="1:7" ht="19.5" customHeight="1">
      <c r="A124" s="239"/>
      <c r="B124" s="239"/>
      <c r="C124" s="242"/>
      <c r="D124" s="247" t="s">
        <v>124</v>
      </c>
      <c r="E124" s="272"/>
      <c r="F124" s="272">
        <f>F125</f>
        <v>30000</v>
      </c>
      <c r="G124" s="272"/>
    </row>
    <row r="125" spans="1:7" s="11" customFormat="1" ht="20.25" customHeight="1">
      <c r="A125" s="236"/>
      <c r="B125" s="237"/>
      <c r="C125" s="237">
        <v>4300</v>
      </c>
      <c r="D125" s="304" t="s">
        <v>45</v>
      </c>
      <c r="E125" s="246"/>
      <c r="F125" s="246">
        <v>30000</v>
      </c>
      <c r="G125" s="246"/>
    </row>
    <row r="126" spans="1:7" ht="19.5" customHeight="1">
      <c r="A126" s="300"/>
      <c r="B126" s="241">
        <v>85295</v>
      </c>
      <c r="C126" s="241"/>
      <c r="D126" s="241" t="s">
        <v>50</v>
      </c>
      <c r="E126" s="296"/>
      <c r="F126" s="296">
        <f>F127</f>
        <v>7613</v>
      </c>
      <c r="G126" s="296">
        <f>G127</f>
        <v>7613</v>
      </c>
    </row>
    <row r="127" spans="1:7" ht="25.5" customHeight="1">
      <c r="A127" s="239"/>
      <c r="B127" s="239"/>
      <c r="C127" s="242"/>
      <c r="D127" s="243" t="s">
        <v>212</v>
      </c>
      <c r="E127" s="272"/>
      <c r="F127" s="272">
        <f>F129+F131</f>
        <v>7613</v>
      </c>
      <c r="G127" s="272">
        <f>G129+G131</f>
        <v>7613</v>
      </c>
    </row>
    <row r="128" spans="1:7" s="11" customFormat="1" ht="20.25" customHeight="1">
      <c r="A128" s="236"/>
      <c r="B128" s="236"/>
      <c r="C128" s="236"/>
      <c r="D128" s="608" t="s">
        <v>213</v>
      </c>
      <c r="E128" s="609"/>
      <c r="F128" s="609">
        <v>7613</v>
      </c>
      <c r="G128" s="609"/>
    </row>
    <row r="129" spans="1:7" s="11" customFormat="1" ht="29.25" customHeight="1">
      <c r="A129" s="236"/>
      <c r="B129" s="236"/>
      <c r="C129" s="237">
        <v>2810</v>
      </c>
      <c r="D129" s="10" t="s">
        <v>214</v>
      </c>
      <c r="E129" s="246"/>
      <c r="F129" s="246">
        <f>F128</f>
        <v>7613</v>
      </c>
      <c r="G129" s="246"/>
    </row>
    <row r="130" spans="1:7" s="11" customFormat="1" ht="39.75" customHeight="1">
      <c r="A130" s="236"/>
      <c r="B130" s="236"/>
      <c r="C130" s="302"/>
      <c r="D130" s="611" t="s">
        <v>247</v>
      </c>
      <c r="E130" s="610"/>
      <c r="F130" s="610"/>
      <c r="G130" s="610">
        <v>7613</v>
      </c>
    </row>
    <row r="131" spans="1:7" s="11" customFormat="1" ht="29.25" customHeight="1">
      <c r="A131" s="236"/>
      <c r="B131" s="236"/>
      <c r="C131" s="237">
        <v>2820</v>
      </c>
      <c r="D131" s="10" t="s">
        <v>238</v>
      </c>
      <c r="E131" s="246"/>
      <c r="F131" s="246"/>
      <c r="G131" s="246">
        <f>G130</f>
        <v>7613</v>
      </c>
    </row>
    <row r="132" spans="1:7" ht="21.75" customHeight="1" thickBot="1">
      <c r="A132" s="101"/>
      <c r="B132" s="101"/>
      <c r="C132" s="106"/>
      <c r="D132" s="102" t="s">
        <v>53</v>
      </c>
      <c r="E132" s="103"/>
      <c r="F132" s="103">
        <f>F133</f>
        <v>749133</v>
      </c>
      <c r="G132" s="103"/>
    </row>
    <row r="133" spans="1:7" ht="18" customHeight="1" thickTop="1">
      <c r="A133" s="407" t="s">
        <v>190</v>
      </c>
      <c r="B133" s="240"/>
      <c r="C133" s="240"/>
      <c r="D133" s="240" t="s">
        <v>32</v>
      </c>
      <c r="E133" s="312"/>
      <c r="F133" s="312">
        <f>F134</f>
        <v>749133</v>
      </c>
      <c r="G133" s="312"/>
    </row>
    <row r="134" spans="1:7" ht="25.5" customHeight="1">
      <c r="A134" s="242"/>
      <c r="B134" s="257">
        <v>85212</v>
      </c>
      <c r="C134" s="257"/>
      <c r="D134" s="442" t="s">
        <v>125</v>
      </c>
      <c r="E134" s="244"/>
      <c r="F134" s="244">
        <f>F135</f>
        <v>749133</v>
      </c>
      <c r="G134" s="244"/>
    </row>
    <row r="135" spans="1:7" ht="18" customHeight="1">
      <c r="A135" s="239"/>
      <c r="B135" s="239"/>
      <c r="C135" s="242"/>
      <c r="D135" s="267" t="s">
        <v>127</v>
      </c>
      <c r="E135" s="245"/>
      <c r="F135" s="245">
        <f>F136</f>
        <v>749133</v>
      </c>
      <c r="G135" s="245"/>
    </row>
    <row r="136" spans="1:7" ht="18" customHeight="1">
      <c r="A136" s="251"/>
      <c r="B136" s="251"/>
      <c r="C136" s="237">
        <v>3110</v>
      </c>
      <c r="D136" s="304" t="s">
        <v>128</v>
      </c>
      <c r="E136" s="355"/>
      <c r="F136" s="355">
        <v>749133</v>
      </c>
      <c r="G136" s="355"/>
    </row>
    <row r="143" ht="12.75">
      <c r="D143" s="1" t="s">
        <v>254</v>
      </c>
    </row>
    <row r="144" ht="12.75">
      <c r="D144" s="1" t="s">
        <v>255</v>
      </c>
    </row>
    <row r="145" ht="12.75">
      <c r="D145" s="1" t="s">
        <v>256</v>
      </c>
    </row>
  </sheetData>
  <mergeCells count="5">
    <mergeCell ref="F7:G7"/>
    <mergeCell ref="D7:D8"/>
    <mergeCell ref="A7:A8"/>
    <mergeCell ref="B7:B8"/>
    <mergeCell ref="C7:C8"/>
  </mergeCells>
  <printOptions horizontalCentered="1"/>
  <pageMargins left="0.3937007874015748" right="0.3937007874015748" top="0.52" bottom="0.73" header="0.5118110236220472" footer="0.31496062992125984"/>
  <pageSetup firstPageNumber="20" useFirstPageNumber="1" horizontalDpi="300" verticalDpi="300" orientation="landscape" paperSize="9" scale="8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I36"/>
  <sheetViews>
    <sheetView zoomScaleSheetLayoutView="75" workbookViewId="0" topLeftCell="A1">
      <selection activeCell="C4" sqref="C4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439" t="s">
        <v>221</v>
      </c>
      <c r="H1" s="28"/>
    </row>
    <row r="2" spans="1:7" ht="13.5" customHeight="1">
      <c r="A2" s="136" t="s">
        <v>9</v>
      </c>
      <c r="B2" s="136"/>
      <c r="C2" s="136"/>
      <c r="D2" s="29"/>
      <c r="G2" s="1" t="s">
        <v>239</v>
      </c>
    </row>
    <row r="3" spans="1:7" ht="13.5" customHeight="1">
      <c r="A3" s="136" t="s">
        <v>101</v>
      </c>
      <c r="C3" s="141"/>
      <c r="D3" s="30"/>
      <c r="G3" s="1" t="s">
        <v>33</v>
      </c>
    </row>
    <row r="4" spans="1:7" ht="13.5" customHeight="1">
      <c r="A4" s="136" t="s">
        <v>85</v>
      </c>
      <c r="C4" s="141"/>
      <c r="D4" s="30"/>
      <c r="G4" s="1" t="s">
        <v>196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35</v>
      </c>
    </row>
    <row r="7" spans="1:9" ht="15" customHeight="1" thickTop="1">
      <c r="A7" s="34"/>
      <c r="B7" s="34"/>
      <c r="C7" s="35" t="s">
        <v>66</v>
      </c>
      <c r="D7" s="656" t="s">
        <v>77</v>
      </c>
      <c r="E7" s="653" t="s">
        <v>12</v>
      </c>
      <c r="F7" s="121"/>
      <c r="G7" s="656" t="s">
        <v>78</v>
      </c>
      <c r="H7" s="653" t="s">
        <v>12</v>
      </c>
      <c r="I7" s="653" t="s">
        <v>10</v>
      </c>
    </row>
    <row r="8" spans="1:9" ht="83.25" customHeight="1" thickBot="1">
      <c r="A8" s="115" t="s">
        <v>64</v>
      </c>
      <c r="B8" s="36" t="s">
        <v>102</v>
      </c>
      <c r="C8" s="36" t="s">
        <v>15</v>
      </c>
      <c r="D8" s="657"/>
      <c r="E8" s="654"/>
      <c r="F8" s="36" t="s">
        <v>74</v>
      </c>
      <c r="G8" s="659"/>
      <c r="H8" s="658"/>
      <c r="I8" s="655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78"/>
      <c r="B10" s="179"/>
      <c r="C10" s="176" t="s">
        <v>13</v>
      </c>
      <c r="D10" s="182">
        <v>89643959</v>
      </c>
      <c r="E10" s="174">
        <f>E12+E19</f>
        <v>-749133</v>
      </c>
      <c r="F10" s="174">
        <f>D10+E10</f>
        <v>88894826</v>
      </c>
      <c r="G10" s="174">
        <v>82719559</v>
      </c>
      <c r="H10" s="174">
        <f>H12+H19</f>
        <v>-749133</v>
      </c>
      <c r="I10" s="174">
        <f>G10+H10</f>
        <v>81970426</v>
      </c>
    </row>
    <row r="11" spans="1:9" ht="12" customHeight="1">
      <c r="A11" s="165"/>
      <c r="B11" s="143"/>
      <c r="C11" s="177" t="s">
        <v>43</v>
      </c>
      <c r="D11" s="200"/>
      <c r="E11" s="175"/>
      <c r="F11" s="175"/>
      <c r="G11" s="175"/>
      <c r="H11" s="175"/>
      <c r="I11" s="180"/>
    </row>
    <row r="12" spans="1:9" ht="18" customHeight="1" thickBot="1">
      <c r="A12" s="283"/>
      <c r="B12" s="158"/>
      <c r="C12" s="276" t="s">
        <v>14</v>
      </c>
      <c r="D12" s="99">
        <v>62104197</v>
      </c>
      <c r="E12" s="277">
        <f>E13</f>
        <v>-749133</v>
      </c>
      <c r="F12" s="277">
        <f>D12+E12</f>
        <v>61355064</v>
      </c>
      <c r="G12" s="277">
        <v>60740197</v>
      </c>
      <c r="H12" s="277">
        <f>H13</f>
        <v>-749133</v>
      </c>
      <c r="I12" s="99">
        <f aca="true" t="shared" si="0" ref="I12:I29">G12+H12</f>
        <v>59991064</v>
      </c>
    </row>
    <row r="13" spans="1:9" ht="19.5" customHeight="1" thickTop="1">
      <c r="A13" s="137">
        <v>852</v>
      </c>
      <c r="B13" s="150"/>
      <c r="C13" s="284" t="s">
        <v>32</v>
      </c>
      <c r="D13" s="120">
        <v>57855889</v>
      </c>
      <c r="E13" s="120">
        <f>E14</f>
        <v>-749133</v>
      </c>
      <c r="F13" s="120">
        <f>D13+E13</f>
        <v>57106756</v>
      </c>
      <c r="G13" s="120">
        <v>57777889</v>
      </c>
      <c r="H13" s="120">
        <f>H14</f>
        <v>-749133</v>
      </c>
      <c r="I13" s="120">
        <f t="shared" si="0"/>
        <v>57028756</v>
      </c>
    </row>
    <row r="14" spans="1:9" s="51" customFormat="1" ht="25.5" customHeight="1">
      <c r="A14" s="342"/>
      <c r="B14" s="343">
        <v>85212</v>
      </c>
      <c r="C14" s="442" t="s">
        <v>125</v>
      </c>
      <c r="D14" s="292">
        <v>48430864</v>
      </c>
      <c r="E14" s="292">
        <f>E15</f>
        <v>-749133</v>
      </c>
      <c r="F14" s="292">
        <f>D14+E14</f>
        <v>47681731</v>
      </c>
      <c r="G14" s="292">
        <v>48430864</v>
      </c>
      <c r="H14" s="292">
        <f>H17</f>
        <v>-749133</v>
      </c>
      <c r="I14" s="292">
        <f t="shared" si="0"/>
        <v>47681731</v>
      </c>
    </row>
    <row r="15" spans="1:9" s="51" customFormat="1" ht="25.5" customHeight="1">
      <c r="A15" s="342"/>
      <c r="B15" s="581"/>
      <c r="C15" s="443" t="s">
        <v>126</v>
      </c>
      <c r="D15" s="293">
        <f>D16</f>
        <v>48430864</v>
      </c>
      <c r="E15" s="293">
        <f>E16</f>
        <v>-749133</v>
      </c>
      <c r="F15" s="293">
        <f>D15+E15</f>
        <v>47681731</v>
      </c>
      <c r="G15" s="293"/>
      <c r="H15" s="582"/>
      <c r="I15" s="582"/>
    </row>
    <row r="16" spans="1:9" s="50" customFormat="1" ht="25.5" customHeight="1">
      <c r="A16" s="344"/>
      <c r="B16" s="630">
        <v>2010</v>
      </c>
      <c r="C16" s="280" t="s">
        <v>236</v>
      </c>
      <c r="D16" s="294">
        <v>48430864</v>
      </c>
      <c r="E16" s="294">
        <v>-749133</v>
      </c>
      <c r="F16" s="294">
        <f>D16+E16</f>
        <v>47681731</v>
      </c>
      <c r="G16" s="294"/>
      <c r="H16" s="294"/>
      <c r="I16" s="294"/>
    </row>
    <row r="17" spans="1:9" s="51" customFormat="1" ht="19.5" customHeight="1">
      <c r="A17" s="344"/>
      <c r="B17" s="356"/>
      <c r="C17" s="267" t="s">
        <v>127</v>
      </c>
      <c r="D17" s="293"/>
      <c r="E17" s="293"/>
      <c r="F17" s="293"/>
      <c r="G17" s="293">
        <v>47076674</v>
      </c>
      <c r="H17" s="293">
        <f>H18</f>
        <v>-749133</v>
      </c>
      <c r="I17" s="293">
        <f t="shared" si="0"/>
        <v>46327541</v>
      </c>
    </row>
    <row r="18" spans="1:9" s="50" customFormat="1" ht="19.5" customHeight="1">
      <c r="A18" s="236"/>
      <c r="B18" s="357">
        <v>3110</v>
      </c>
      <c r="C18" s="304" t="s">
        <v>128</v>
      </c>
      <c r="D18" s="294"/>
      <c r="E18" s="294"/>
      <c r="F18" s="294"/>
      <c r="G18" s="294">
        <v>46376674</v>
      </c>
      <c r="H18" s="294">
        <v>-749133</v>
      </c>
      <c r="I18" s="294">
        <f t="shared" si="0"/>
        <v>45627541</v>
      </c>
    </row>
    <row r="19" spans="1:9" s="17" customFormat="1" ht="24.75" customHeight="1" thickBot="1">
      <c r="A19" s="585"/>
      <c r="B19" s="162"/>
      <c r="C19" s="117" t="s">
        <v>71</v>
      </c>
      <c r="D19" s="118">
        <v>27539762</v>
      </c>
      <c r="E19" s="118"/>
      <c r="F19" s="118">
        <f>D19+E19</f>
        <v>27539762</v>
      </c>
      <c r="G19" s="118">
        <v>21979362</v>
      </c>
      <c r="H19" s="118">
        <f>H20</f>
        <v>0</v>
      </c>
      <c r="I19" s="118">
        <f t="shared" si="0"/>
        <v>21979362</v>
      </c>
    </row>
    <row r="20" spans="1:9" s="17" customFormat="1" ht="17.25" customHeight="1" thickTop="1">
      <c r="A20" s="388">
        <v>853</v>
      </c>
      <c r="B20" s="389"/>
      <c r="C20" s="240" t="s">
        <v>130</v>
      </c>
      <c r="D20" s="312">
        <v>597598</v>
      </c>
      <c r="E20" s="312"/>
      <c r="F20" s="312">
        <f>D20+E20</f>
        <v>597598</v>
      </c>
      <c r="G20" s="312">
        <v>597598</v>
      </c>
      <c r="H20" s="312">
        <f>H21</f>
        <v>0</v>
      </c>
      <c r="I20" s="312">
        <f t="shared" si="0"/>
        <v>597598</v>
      </c>
    </row>
    <row r="21" spans="1:9" ht="18" customHeight="1">
      <c r="A21" s="258"/>
      <c r="B21" s="343">
        <v>85321</v>
      </c>
      <c r="C21" s="241" t="s">
        <v>131</v>
      </c>
      <c r="D21" s="244">
        <v>526000</v>
      </c>
      <c r="E21" s="244"/>
      <c r="F21" s="244">
        <f>D21+E21</f>
        <v>526000</v>
      </c>
      <c r="G21" s="244">
        <v>526000</v>
      </c>
      <c r="H21" s="244">
        <f>H22+H24+H27</f>
        <v>0</v>
      </c>
      <c r="I21" s="244">
        <f t="shared" si="0"/>
        <v>526000</v>
      </c>
    </row>
    <row r="22" spans="1:9" ht="17.25" customHeight="1">
      <c r="A22" s="239"/>
      <c r="B22" s="378"/>
      <c r="C22" s="406" t="s">
        <v>234</v>
      </c>
      <c r="D22" s="245"/>
      <c r="E22" s="245"/>
      <c r="F22" s="245"/>
      <c r="G22" s="245">
        <v>379542</v>
      </c>
      <c r="H22" s="245">
        <f>H23</f>
        <v>-4000</v>
      </c>
      <c r="I22" s="245">
        <f t="shared" si="0"/>
        <v>375542</v>
      </c>
    </row>
    <row r="23" spans="1:9" s="11" customFormat="1" ht="17.25" customHeight="1">
      <c r="A23" s="236"/>
      <c r="B23" s="237">
        <v>4170</v>
      </c>
      <c r="C23" s="237" t="s">
        <v>98</v>
      </c>
      <c r="D23" s="246"/>
      <c r="E23" s="246"/>
      <c r="F23" s="246"/>
      <c r="G23" s="246">
        <v>114000</v>
      </c>
      <c r="H23" s="246">
        <v>-4000</v>
      </c>
      <c r="I23" s="246">
        <f t="shared" si="0"/>
        <v>110000</v>
      </c>
    </row>
    <row r="24" spans="1:9" ht="17.25" customHeight="1">
      <c r="A24" s="239"/>
      <c r="B24" s="378"/>
      <c r="C24" s="406" t="s">
        <v>47</v>
      </c>
      <c r="D24" s="245"/>
      <c r="E24" s="245"/>
      <c r="F24" s="245"/>
      <c r="G24" s="245">
        <v>85458</v>
      </c>
      <c r="H24" s="245">
        <f>SUM(H25:H26)</f>
        <v>4219</v>
      </c>
      <c r="I24" s="245">
        <f t="shared" si="0"/>
        <v>89677</v>
      </c>
    </row>
    <row r="25" spans="1:9" s="11" customFormat="1" ht="17.25" customHeight="1">
      <c r="A25" s="236"/>
      <c r="B25" s="237">
        <v>4210</v>
      </c>
      <c r="C25" s="237" t="s">
        <v>46</v>
      </c>
      <c r="D25" s="246"/>
      <c r="E25" s="246"/>
      <c r="F25" s="246"/>
      <c r="G25" s="246">
        <v>10171</v>
      </c>
      <c r="H25" s="246">
        <v>219</v>
      </c>
      <c r="I25" s="246">
        <f t="shared" si="0"/>
        <v>10390</v>
      </c>
    </row>
    <row r="26" spans="1:9" s="11" customFormat="1" ht="17.25" customHeight="1">
      <c r="A26" s="236"/>
      <c r="B26" s="273">
        <v>4300</v>
      </c>
      <c r="C26" s="237" t="s">
        <v>45</v>
      </c>
      <c r="D26" s="253"/>
      <c r="E26" s="253"/>
      <c r="F26" s="253"/>
      <c r="G26" s="253">
        <v>68350</v>
      </c>
      <c r="H26" s="253">
        <v>4000</v>
      </c>
      <c r="I26" s="253">
        <f t="shared" si="0"/>
        <v>72350</v>
      </c>
    </row>
    <row r="27" spans="1:9" s="11" customFormat="1" ht="17.25" customHeight="1">
      <c r="A27" s="236"/>
      <c r="B27" s="302"/>
      <c r="C27" s="282" t="s">
        <v>237</v>
      </c>
      <c r="D27" s="415"/>
      <c r="E27" s="415"/>
      <c r="F27" s="415"/>
      <c r="G27" s="415">
        <v>57000</v>
      </c>
      <c r="H27" s="415">
        <f>SUM(H28:H29)</f>
        <v>-219</v>
      </c>
      <c r="I27" s="415">
        <f t="shared" si="0"/>
        <v>56781</v>
      </c>
    </row>
    <row r="28" spans="1:9" s="11" customFormat="1" ht="17.25" customHeight="1">
      <c r="A28" s="236"/>
      <c r="B28" s="237">
        <v>4110</v>
      </c>
      <c r="C28" s="10" t="s">
        <v>49</v>
      </c>
      <c r="D28" s="238"/>
      <c r="E28" s="238"/>
      <c r="F28" s="238"/>
      <c r="G28" s="238">
        <v>48680</v>
      </c>
      <c r="H28" s="238">
        <v>1032</v>
      </c>
      <c r="I28" s="238">
        <f t="shared" si="0"/>
        <v>49712</v>
      </c>
    </row>
    <row r="29" spans="1:9" s="11" customFormat="1" ht="17.25" customHeight="1">
      <c r="A29" s="237"/>
      <c r="B29" s="237">
        <v>4120</v>
      </c>
      <c r="C29" s="10" t="s">
        <v>215</v>
      </c>
      <c r="D29" s="246"/>
      <c r="E29" s="246"/>
      <c r="F29" s="246"/>
      <c r="G29" s="246">
        <v>8320</v>
      </c>
      <c r="H29" s="246">
        <v>-1251</v>
      </c>
      <c r="I29" s="246">
        <f t="shared" si="0"/>
        <v>7069</v>
      </c>
    </row>
    <row r="30" ht="12.75">
      <c r="G30" s="8"/>
    </row>
    <row r="34" ht="12.75">
      <c r="C34" s="1" t="s">
        <v>254</v>
      </c>
    </row>
    <row r="35" ht="12.75">
      <c r="C35" s="1" t="s">
        <v>255</v>
      </c>
    </row>
    <row r="36" ht="12.75">
      <c r="C36" s="1" t="s">
        <v>256</v>
      </c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6692913385826772" header="0.5118110236220472" footer="0.5118110236220472"/>
  <pageSetup firstPageNumber="25" useFirstPageNumber="1" horizontalDpi="300" verticalDpi="300" orientation="landscape" paperSize="9" scale="7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L23"/>
  <sheetViews>
    <sheetView zoomScaleSheetLayoutView="75" workbookViewId="0" topLeftCell="A1">
      <selection activeCell="C3" sqref="C3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6.75390625" style="0" customWidth="1"/>
    <col min="4" max="4" width="16.375" style="0" customWidth="1"/>
    <col min="5" max="8" width="13.75390625" style="0" customWidth="1"/>
    <col min="9" max="12" width="11.375" style="25" customWidth="1"/>
    <col min="13" max="16384" width="11.375" style="0" customWidth="1"/>
  </cols>
  <sheetData>
    <row r="1" spans="1:8" ht="15.75" customHeight="1">
      <c r="A1" s="38"/>
      <c r="B1" s="38"/>
      <c r="C1" s="38"/>
      <c r="D1" s="38"/>
      <c r="E1" s="39"/>
      <c r="F1" s="39"/>
      <c r="G1" s="40" t="s">
        <v>228</v>
      </c>
      <c r="H1" s="39"/>
    </row>
    <row r="2" spans="1:8" ht="15.75" customHeight="1">
      <c r="A2" s="38"/>
      <c r="B2" s="41"/>
      <c r="C2" s="38"/>
      <c r="D2" s="38"/>
      <c r="E2" s="39"/>
      <c r="F2" s="39"/>
      <c r="G2" s="1" t="s">
        <v>239</v>
      </c>
      <c r="H2" s="39"/>
    </row>
    <row r="3" spans="1:8" ht="15.75" customHeight="1">
      <c r="A3" s="38"/>
      <c r="B3" s="38"/>
      <c r="C3" s="42" t="s">
        <v>86</v>
      </c>
      <c r="D3" s="38"/>
      <c r="E3" s="39"/>
      <c r="F3" s="38"/>
      <c r="G3" s="1" t="s">
        <v>33</v>
      </c>
      <c r="H3" s="39"/>
    </row>
    <row r="4" spans="1:8" ht="15.75" customHeight="1">
      <c r="A4" s="38"/>
      <c r="B4" s="38"/>
      <c r="C4" s="38"/>
      <c r="D4" s="38"/>
      <c r="E4" s="39"/>
      <c r="F4" s="38"/>
      <c r="G4" s="1" t="s">
        <v>196</v>
      </c>
      <c r="H4" s="39"/>
    </row>
    <row r="5" spans="1:8" ht="10.5" customHeight="1">
      <c r="A5" s="38"/>
      <c r="B5" s="38"/>
      <c r="C5" s="41"/>
      <c r="D5" s="39"/>
      <c r="E5" s="39"/>
      <c r="F5" s="39"/>
      <c r="G5" s="39"/>
      <c r="H5" s="39"/>
    </row>
    <row r="6" spans="1:8" ht="13.5" thickBot="1">
      <c r="A6" s="38"/>
      <c r="B6" s="38"/>
      <c r="C6" s="41"/>
      <c r="D6" s="39"/>
      <c r="E6" s="43"/>
      <c r="F6" s="43"/>
      <c r="G6" s="43"/>
      <c r="H6" s="44" t="s">
        <v>35</v>
      </c>
    </row>
    <row r="7" spans="1:8" ht="45.75" customHeight="1" thickBot="1" thickTop="1">
      <c r="A7" s="234" t="s">
        <v>64</v>
      </c>
      <c r="B7" s="139" t="s">
        <v>11</v>
      </c>
      <c r="C7" s="138" t="s">
        <v>17</v>
      </c>
      <c r="D7" s="45" t="s">
        <v>93</v>
      </c>
      <c r="E7" s="46" t="s">
        <v>18</v>
      </c>
      <c r="F7" s="46" t="s">
        <v>19</v>
      </c>
      <c r="G7" s="46" t="s">
        <v>20</v>
      </c>
      <c r="H7" s="46" t="s">
        <v>21</v>
      </c>
    </row>
    <row r="8" spans="1:8" ht="12.75" customHeight="1" thickBot="1" thickTop="1">
      <c r="A8" s="235">
        <v>1</v>
      </c>
      <c r="B8" s="47">
        <v>2</v>
      </c>
      <c r="C8" s="140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</row>
    <row r="9" spans="1:8" ht="24" customHeight="1" thickBot="1" thickTop="1">
      <c r="A9" s="228"/>
      <c r="B9" s="201"/>
      <c r="C9" s="202" t="s">
        <v>22</v>
      </c>
      <c r="D9" s="203">
        <f aca="true" t="shared" si="0" ref="D9:D15">SUM(E9:H9)</f>
        <v>781960117</v>
      </c>
      <c r="E9" s="204">
        <f>198147409+E16</f>
        <v>198147409</v>
      </c>
      <c r="F9" s="204">
        <f>202483818+F16</f>
        <v>202483818</v>
      </c>
      <c r="G9" s="204">
        <f>190632858+G16</f>
        <v>190632858</v>
      </c>
      <c r="H9" s="204">
        <f>191445165+H16</f>
        <v>190696032</v>
      </c>
    </row>
    <row r="10" spans="1:8" ht="22.5" customHeight="1" thickBot="1" thickTop="1">
      <c r="A10" s="229"/>
      <c r="B10" s="205"/>
      <c r="C10" s="206" t="s">
        <v>69</v>
      </c>
      <c r="D10" s="207">
        <f t="shared" si="0"/>
        <v>768372557</v>
      </c>
      <c r="E10" s="207">
        <f>194463567+E16</f>
        <v>194463567</v>
      </c>
      <c r="F10" s="207">
        <f>198750899+F16</f>
        <v>198750899</v>
      </c>
      <c r="G10" s="207">
        <f>188253241+G16</f>
        <v>188253241</v>
      </c>
      <c r="H10" s="207">
        <f>187653983+H16</f>
        <v>186904850</v>
      </c>
    </row>
    <row r="11" spans="1:8" ht="20.25" customHeight="1" thickTop="1">
      <c r="A11" s="230"/>
      <c r="B11" s="208"/>
      <c r="C11" s="209" t="s">
        <v>70</v>
      </c>
      <c r="D11" s="210">
        <f t="shared" si="0"/>
        <v>696319457</v>
      </c>
      <c r="E11" s="210">
        <f>177659215+E16</f>
        <v>177659215</v>
      </c>
      <c r="F11" s="210">
        <f>173963151+F16</f>
        <v>173963151</v>
      </c>
      <c r="G11" s="210">
        <f>171380041+G16</f>
        <v>171380041</v>
      </c>
      <c r="H11" s="210">
        <f>174066183+H16</f>
        <v>173317050</v>
      </c>
    </row>
    <row r="12" spans="1:8" ht="19.5" customHeight="1">
      <c r="A12" s="231"/>
      <c r="B12" s="89"/>
      <c r="C12" s="211" t="s">
        <v>97</v>
      </c>
      <c r="D12" s="142">
        <f t="shared" si="0"/>
        <v>478023676</v>
      </c>
      <c r="E12" s="142">
        <f>119362461+E16</f>
        <v>119362461</v>
      </c>
      <c r="F12" s="142">
        <f>118369107+F16</f>
        <v>118369107</v>
      </c>
      <c r="G12" s="142">
        <f>120356332+G16</f>
        <v>120356332</v>
      </c>
      <c r="H12" s="142">
        <f>120684909+H16</f>
        <v>119935776</v>
      </c>
    </row>
    <row r="13" spans="1:12" s="17" customFormat="1" ht="28.5" customHeight="1" thickBot="1">
      <c r="A13" s="232"/>
      <c r="B13" s="187"/>
      <c r="C13" s="117" t="s">
        <v>4</v>
      </c>
      <c r="D13" s="99">
        <f t="shared" si="0"/>
        <v>59991064</v>
      </c>
      <c r="E13" s="99">
        <f>14871927+E16</f>
        <v>14871927</v>
      </c>
      <c r="F13" s="99">
        <f>13732604+F16</f>
        <v>13732604</v>
      </c>
      <c r="G13" s="99">
        <f>14687025+G16</f>
        <v>14687025</v>
      </c>
      <c r="H13" s="99">
        <f>17448641+H16</f>
        <v>16699508</v>
      </c>
      <c r="I13" s="9"/>
      <c r="J13" s="9"/>
      <c r="K13" s="9"/>
      <c r="L13" s="9"/>
    </row>
    <row r="14" spans="1:12" s="1" customFormat="1" ht="19.5" customHeight="1" thickTop="1">
      <c r="A14" s="233">
        <v>852</v>
      </c>
      <c r="B14" s="153"/>
      <c r="C14" s="284" t="s">
        <v>32</v>
      </c>
      <c r="D14" s="164">
        <f t="shared" si="0"/>
        <v>57028756</v>
      </c>
      <c r="E14" s="164">
        <f>14396200+E16</f>
        <v>14396200</v>
      </c>
      <c r="F14" s="164">
        <f>13321124+F16</f>
        <v>13321124</v>
      </c>
      <c r="G14" s="164">
        <f>13509099+G16</f>
        <v>13509099</v>
      </c>
      <c r="H14" s="164">
        <f>16551466+H16</f>
        <v>15802333</v>
      </c>
      <c r="I14" s="8"/>
      <c r="J14" s="8"/>
      <c r="K14" s="8"/>
      <c r="L14" s="8"/>
    </row>
    <row r="15" spans="1:12" s="1" customFormat="1" ht="29.25" customHeight="1">
      <c r="A15" s="278"/>
      <c r="B15" s="278">
        <v>85212</v>
      </c>
      <c r="C15" s="386" t="s">
        <v>125</v>
      </c>
      <c r="D15" s="387">
        <f t="shared" si="0"/>
        <v>48430864</v>
      </c>
      <c r="E15" s="387">
        <v>11470250</v>
      </c>
      <c r="F15" s="387">
        <v>11470250</v>
      </c>
      <c r="G15" s="387">
        <v>11470250</v>
      </c>
      <c r="H15" s="387">
        <v>14020114</v>
      </c>
      <c r="I15" s="8"/>
      <c r="J15" s="8"/>
      <c r="K15" s="8"/>
      <c r="L15" s="8"/>
    </row>
    <row r="16" spans="1:12" s="1" customFormat="1" ht="21.75" customHeight="1">
      <c r="A16" s="606"/>
      <c r="B16" s="122"/>
      <c r="C16" s="111"/>
      <c r="D16" s="112">
        <f>SUM(E16:H16)</f>
        <v>-749133</v>
      </c>
      <c r="E16" s="112"/>
      <c r="F16" s="112"/>
      <c r="G16" s="112"/>
      <c r="H16" s="433">
        <v>-749133</v>
      </c>
      <c r="I16" s="8"/>
      <c r="J16" s="8"/>
      <c r="K16" s="8"/>
      <c r="L16" s="8"/>
    </row>
    <row r="21" ht="12.75">
      <c r="C21" s="1" t="s">
        <v>254</v>
      </c>
    </row>
    <row r="22" ht="12.75">
      <c r="C22" s="1" t="s">
        <v>255</v>
      </c>
    </row>
    <row r="23" ht="12.75">
      <c r="C23" s="1" t="s">
        <v>256</v>
      </c>
    </row>
  </sheetData>
  <printOptions horizontalCentered="1"/>
  <pageMargins left="0.3937007874015748" right="0.3937007874015748" top="0.5905511811023623" bottom="0.5905511811023623" header="0.5118110236220472" footer="0.3937007874015748"/>
  <pageSetup firstPageNumber="26" useFirstPageNumber="1" horizontalDpi="300" verticalDpi="300" orientation="landscape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M54"/>
  <sheetViews>
    <sheetView zoomScaleSheetLayoutView="75" workbookViewId="0" topLeftCell="A1">
      <selection activeCell="D6" sqref="D6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25" customWidth="1"/>
    <col min="10" max="11" width="13.375" style="25" customWidth="1"/>
    <col min="12" max="12" width="15.375" style="25" customWidth="1"/>
    <col min="13" max="16384" width="11.375" style="0" customWidth="1"/>
  </cols>
  <sheetData>
    <row r="1" spans="1:10" ht="18" customHeight="1">
      <c r="A1" s="52"/>
      <c r="B1" s="52"/>
      <c r="C1" s="52"/>
      <c r="D1" s="53"/>
      <c r="E1" s="53"/>
      <c r="F1" s="53"/>
      <c r="G1" s="54" t="s">
        <v>206</v>
      </c>
      <c r="H1" s="53"/>
      <c r="I1" s="69"/>
      <c r="J1" s="69"/>
    </row>
    <row r="2" spans="1:10" ht="15" customHeight="1">
      <c r="A2" s="52"/>
      <c r="B2" s="52"/>
      <c r="C2" s="52"/>
      <c r="D2" s="53"/>
      <c r="E2" s="53"/>
      <c r="F2" s="53"/>
      <c r="G2" s="1" t="s">
        <v>239</v>
      </c>
      <c r="H2" s="53"/>
      <c r="I2" s="69"/>
      <c r="J2" s="69"/>
    </row>
    <row r="3" spans="1:10" ht="18" customHeight="1">
      <c r="A3" s="52"/>
      <c r="B3" s="52"/>
      <c r="C3" s="55" t="s">
        <v>87</v>
      </c>
      <c r="D3" s="53"/>
      <c r="E3" s="53"/>
      <c r="F3" s="53"/>
      <c r="G3" s="1" t="s">
        <v>33</v>
      </c>
      <c r="H3" s="53"/>
      <c r="I3" s="69"/>
      <c r="J3" s="69"/>
    </row>
    <row r="4" spans="1:10" ht="15" customHeight="1">
      <c r="A4" s="52"/>
      <c r="B4" s="52"/>
      <c r="C4" s="56"/>
      <c r="D4" s="53"/>
      <c r="E4" s="53"/>
      <c r="F4" s="53"/>
      <c r="G4" s="1" t="s">
        <v>196</v>
      </c>
      <c r="H4" s="53"/>
      <c r="I4" s="69"/>
      <c r="J4" s="69"/>
    </row>
    <row r="5" spans="1:10" ht="5.25" customHeight="1">
      <c r="A5" s="52"/>
      <c r="B5" s="52"/>
      <c r="C5" s="57"/>
      <c r="D5" s="53"/>
      <c r="E5" s="53"/>
      <c r="F5" s="53"/>
      <c r="G5" s="53"/>
      <c r="H5" s="53"/>
      <c r="I5" s="69"/>
      <c r="J5" s="69"/>
    </row>
    <row r="6" spans="1:10" ht="15.75" thickBot="1">
      <c r="A6" s="52"/>
      <c r="B6" s="52"/>
      <c r="C6" s="52"/>
      <c r="D6" s="53"/>
      <c r="E6" s="53"/>
      <c r="F6" s="53"/>
      <c r="G6" s="53"/>
      <c r="H6" s="58" t="s">
        <v>35</v>
      </c>
      <c r="I6" s="69"/>
      <c r="J6" s="69"/>
    </row>
    <row r="7" spans="1:12" ht="19.5" customHeight="1" thickTop="1">
      <c r="A7" s="59"/>
      <c r="B7" s="59"/>
      <c r="C7" s="60" t="s">
        <v>23</v>
      </c>
      <c r="D7" s="666" t="s">
        <v>94</v>
      </c>
      <c r="E7" s="61"/>
      <c r="F7" s="62"/>
      <c r="G7" s="62"/>
      <c r="H7" s="61"/>
      <c r="I7"/>
      <c r="J7"/>
      <c r="K7"/>
      <c r="L7"/>
    </row>
    <row r="8" spans="1:12" ht="26.25" customHeight="1" thickBot="1">
      <c r="A8" s="63" t="s">
        <v>64</v>
      </c>
      <c r="B8" s="63" t="s">
        <v>37</v>
      </c>
      <c r="C8" s="64" t="s">
        <v>24</v>
      </c>
      <c r="D8" s="667"/>
      <c r="E8" s="65" t="s">
        <v>18</v>
      </c>
      <c r="F8" s="65" t="s">
        <v>19</v>
      </c>
      <c r="G8" s="65" t="s">
        <v>20</v>
      </c>
      <c r="H8" s="65" t="s">
        <v>21</v>
      </c>
      <c r="I8"/>
      <c r="J8"/>
      <c r="K8"/>
      <c r="L8"/>
    </row>
    <row r="9" spans="1:12" ht="14.25" customHeight="1" thickBot="1" thickTop="1">
      <c r="A9" s="66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/>
      <c r="J9"/>
      <c r="K9"/>
      <c r="L9"/>
    </row>
    <row r="10" spans="1:13" s="68" customFormat="1" ht="21.75" customHeight="1" thickBot="1" thickTop="1">
      <c r="A10" s="125"/>
      <c r="B10" s="125"/>
      <c r="C10" s="126" t="s">
        <v>42</v>
      </c>
      <c r="D10" s="127">
        <f>SUM(E10:H10)</f>
        <v>796385569</v>
      </c>
      <c r="E10" s="127">
        <f>180998352+E17+E22+E27+E32+E38+E40+E44</f>
        <v>180968352</v>
      </c>
      <c r="F10" s="127">
        <f>194714083+F17+F22+F27+F32+F38+F40+F44</f>
        <v>194714083</v>
      </c>
      <c r="G10" s="127">
        <f>188630606+G17+G22+G27+G32+G38+G40+G44</f>
        <v>188281462</v>
      </c>
      <c r="H10" s="127">
        <f>232791661+H17+H22+H27+H32+H38+H40+H44</f>
        <v>232421672</v>
      </c>
      <c r="I10"/>
      <c r="J10"/>
      <c r="K10"/>
      <c r="L10"/>
      <c r="M10"/>
    </row>
    <row r="11" spans="1:12" ht="12.75" customHeight="1">
      <c r="A11" s="128"/>
      <c r="B11" s="128"/>
      <c r="C11" s="129" t="s">
        <v>76</v>
      </c>
      <c r="D11" s="130"/>
      <c r="E11" s="131"/>
      <c r="F11" s="131"/>
      <c r="G11" s="131"/>
      <c r="H11" s="131"/>
      <c r="I11"/>
      <c r="J11"/>
      <c r="K11"/>
      <c r="L11"/>
    </row>
    <row r="12" spans="1:13" s="49" customFormat="1" ht="17.25" customHeight="1">
      <c r="A12" s="132"/>
      <c r="B12" s="132"/>
      <c r="C12" s="133" t="s">
        <v>69</v>
      </c>
      <c r="D12" s="134">
        <f aca="true" t="shared" si="0" ref="D12:D44">SUM(E12:H12)</f>
        <v>307050048</v>
      </c>
      <c r="E12" s="134">
        <f>51373282+E17+E22+E27+E32</f>
        <v>51373282</v>
      </c>
      <c r="F12" s="134">
        <f>69484172+F17+F22+F27+F32</f>
        <v>69484172</v>
      </c>
      <c r="G12" s="134">
        <f>79104309+G17+G22+G27+G32</f>
        <v>78755165</v>
      </c>
      <c r="H12" s="134">
        <f>107088285+H17+H22+H27+H32</f>
        <v>107437429</v>
      </c>
      <c r="I12"/>
      <c r="J12"/>
      <c r="K12"/>
      <c r="L12"/>
      <c r="M12"/>
    </row>
    <row r="13" spans="1:13" s="49" customFormat="1" ht="19.5" customHeight="1">
      <c r="A13" s="91"/>
      <c r="B13" s="91"/>
      <c r="C13" s="97" t="s">
        <v>207</v>
      </c>
      <c r="D13" s="98">
        <f t="shared" si="0"/>
        <v>18008041</v>
      </c>
      <c r="E13" s="98">
        <f>1670978+E17</f>
        <v>1670978</v>
      </c>
      <c r="F13" s="98">
        <f>4575686+F17</f>
        <v>4575686</v>
      </c>
      <c r="G13" s="98">
        <f>7734531+G17</f>
        <v>7734531</v>
      </c>
      <c r="H13" s="98">
        <f>4026876+H17</f>
        <v>4026846</v>
      </c>
      <c r="I13" s="25"/>
      <c r="J13"/>
      <c r="K13"/>
      <c r="L13"/>
      <c r="M13"/>
    </row>
    <row r="14" spans="1:13" s="49" customFormat="1" ht="19.5" customHeight="1" thickBot="1">
      <c r="A14" s="101"/>
      <c r="B14" s="101"/>
      <c r="C14" s="102" t="s">
        <v>44</v>
      </c>
      <c r="D14" s="103">
        <f t="shared" si="0"/>
        <v>18008041</v>
      </c>
      <c r="E14" s="103">
        <f>1670978+E17</f>
        <v>1670978</v>
      </c>
      <c r="F14" s="103">
        <f>4575686+F17</f>
        <v>4575686</v>
      </c>
      <c r="G14" s="103">
        <f>7734531+G17</f>
        <v>7734531</v>
      </c>
      <c r="H14" s="103">
        <f>4026876+H17</f>
        <v>4026846</v>
      </c>
      <c r="I14"/>
      <c r="J14"/>
      <c r="K14"/>
      <c r="L14"/>
      <c r="M14"/>
    </row>
    <row r="15" spans="1:13" s="49" customFormat="1" ht="16.5" customHeight="1" thickTop="1">
      <c r="A15" s="240">
        <v>758</v>
      </c>
      <c r="B15" s="240"/>
      <c r="C15" s="240" t="s">
        <v>106</v>
      </c>
      <c r="D15" s="312">
        <f t="shared" si="0"/>
        <v>3720541</v>
      </c>
      <c r="E15" s="312">
        <f>646636+E17</f>
        <v>646636</v>
      </c>
      <c r="F15" s="312">
        <f>646636+F17</f>
        <v>646636</v>
      </c>
      <c r="G15" s="312">
        <f>646636+G17</f>
        <v>646636</v>
      </c>
      <c r="H15" s="312">
        <f>1780663+H17</f>
        <v>1780633</v>
      </c>
      <c r="I15"/>
      <c r="J15"/>
      <c r="K15"/>
      <c r="L15"/>
      <c r="M15"/>
    </row>
    <row r="16" spans="1:13" s="49" customFormat="1" ht="16.5" customHeight="1">
      <c r="A16" s="315"/>
      <c r="B16" s="316">
        <v>75818</v>
      </c>
      <c r="C16" s="316" t="s">
        <v>107</v>
      </c>
      <c r="D16" s="317">
        <f t="shared" si="0"/>
        <v>1134027</v>
      </c>
      <c r="E16" s="317"/>
      <c r="F16" s="317"/>
      <c r="G16" s="317"/>
      <c r="H16" s="317">
        <v>1134027</v>
      </c>
      <c r="I16"/>
      <c r="J16"/>
      <c r="K16"/>
      <c r="L16"/>
      <c r="M16"/>
    </row>
    <row r="17" spans="1:13" s="319" customFormat="1" ht="16.5" customHeight="1">
      <c r="A17" s="607"/>
      <c r="B17" s="318"/>
      <c r="C17" s="321"/>
      <c r="D17" s="322">
        <f t="shared" si="0"/>
        <v>-30</v>
      </c>
      <c r="E17" s="323"/>
      <c r="F17" s="323"/>
      <c r="G17" s="323"/>
      <c r="H17" s="322">
        <v>-30</v>
      </c>
      <c r="I17" s="3"/>
      <c r="J17" s="3"/>
      <c r="K17" s="3"/>
      <c r="L17" s="3"/>
      <c r="M17" s="3"/>
    </row>
    <row r="18" spans="1:13" s="319" customFormat="1" ht="19.5" customHeight="1">
      <c r="A18" s="239"/>
      <c r="B18" s="239"/>
      <c r="C18" s="363" t="s">
        <v>208</v>
      </c>
      <c r="D18" s="364">
        <f t="shared" si="0"/>
        <v>60333295</v>
      </c>
      <c r="E18" s="364">
        <f>12045909+E22</f>
        <v>12045909</v>
      </c>
      <c r="F18" s="364">
        <f>13361879+F22</f>
        <v>13361879</v>
      </c>
      <c r="G18" s="364">
        <f>15364383+G22</f>
        <v>15364383</v>
      </c>
      <c r="H18" s="364">
        <f>19161124+H22</f>
        <v>19561124</v>
      </c>
      <c r="I18" s="430"/>
      <c r="J18" s="3"/>
      <c r="K18" s="3"/>
      <c r="L18" s="3"/>
      <c r="M18" s="3"/>
    </row>
    <row r="19" spans="1:13" s="319" customFormat="1" ht="19.5" customHeight="1" thickBot="1">
      <c r="A19" s="251"/>
      <c r="B19" s="251"/>
      <c r="C19" s="359" t="s">
        <v>44</v>
      </c>
      <c r="D19" s="361">
        <f t="shared" si="0"/>
        <v>56583037</v>
      </c>
      <c r="E19" s="361">
        <f>10798682+E22</f>
        <v>10798682</v>
      </c>
      <c r="F19" s="361">
        <f>12226615+F22</f>
        <v>12226615</v>
      </c>
      <c r="G19" s="361">
        <f>14736541+G22</f>
        <v>14736541</v>
      </c>
      <c r="H19" s="361">
        <f>18421199+H22</f>
        <v>18821199</v>
      </c>
      <c r="I19" s="3"/>
      <c r="J19" s="3"/>
      <c r="K19" s="3"/>
      <c r="L19" s="3"/>
      <c r="M19" s="3"/>
    </row>
    <row r="20" spans="1:13" s="319" customFormat="1" ht="18" customHeight="1" thickTop="1">
      <c r="A20" s="240">
        <v>851</v>
      </c>
      <c r="B20" s="240"/>
      <c r="C20" s="240" t="s">
        <v>103</v>
      </c>
      <c r="D20" s="312">
        <f t="shared" si="0"/>
        <v>1464630</v>
      </c>
      <c r="E20" s="312">
        <f>13630+E22</f>
        <v>13630</v>
      </c>
      <c r="F20" s="312">
        <f>48565+F22</f>
        <v>48565</v>
      </c>
      <c r="G20" s="312">
        <f>808685+G22</f>
        <v>808685</v>
      </c>
      <c r="H20" s="312">
        <f>193750+H22</f>
        <v>593750</v>
      </c>
      <c r="I20" s="430"/>
      <c r="J20" s="3"/>
      <c r="K20" s="3"/>
      <c r="L20" s="3"/>
      <c r="M20" s="3"/>
    </row>
    <row r="21" spans="1:13" s="380" customFormat="1" ht="18" customHeight="1">
      <c r="A21" s="242"/>
      <c r="B21" s="260">
        <v>85154</v>
      </c>
      <c r="C21" s="242" t="s">
        <v>104</v>
      </c>
      <c r="D21" s="320">
        <f t="shared" si="0"/>
        <v>844630</v>
      </c>
      <c r="E21" s="320">
        <v>13630</v>
      </c>
      <c r="F21" s="320">
        <v>18565</v>
      </c>
      <c r="G21" s="320">
        <v>808685</v>
      </c>
      <c r="H21" s="320">
        <v>3750</v>
      </c>
      <c r="I21" s="33"/>
      <c r="J21" s="33"/>
      <c r="K21" s="33"/>
      <c r="L21" s="33"/>
      <c r="M21" s="33"/>
    </row>
    <row r="22" spans="1:13" s="319" customFormat="1" ht="18" customHeight="1">
      <c r="A22" s="236"/>
      <c r="B22" s="268"/>
      <c r="C22" s="237"/>
      <c r="D22" s="246">
        <f t="shared" si="0"/>
        <v>400000</v>
      </c>
      <c r="E22" s="246"/>
      <c r="F22" s="246"/>
      <c r="G22" s="246"/>
      <c r="H22" s="246">
        <v>400000</v>
      </c>
      <c r="I22" s="430"/>
      <c r="J22" s="3"/>
      <c r="K22" s="3"/>
      <c r="L22" s="3"/>
      <c r="M22" s="3"/>
    </row>
    <row r="23" spans="1:13" s="49" customFormat="1" ht="18" customHeight="1">
      <c r="A23" s="91"/>
      <c r="B23" s="91"/>
      <c r="C23" s="97" t="s">
        <v>210</v>
      </c>
      <c r="D23" s="98">
        <f t="shared" si="0"/>
        <v>423862</v>
      </c>
      <c r="E23" s="98">
        <f>122132+E27</f>
        <v>122132</v>
      </c>
      <c r="F23" s="98">
        <f>160800+F27</f>
        <v>160800</v>
      </c>
      <c r="G23" s="98">
        <f>39200+G27</f>
        <v>39200</v>
      </c>
      <c r="H23" s="98">
        <f>101700+H27</f>
        <v>101730</v>
      </c>
      <c r="I23" s="25"/>
      <c r="J23"/>
      <c r="K23"/>
      <c r="L23"/>
      <c r="M23"/>
    </row>
    <row r="24" spans="1:13" s="49" customFormat="1" ht="22.5" customHeight="1" thickBot="1">
      <c r="A24" s="101"/>
      <c r="B24" s="91"/>
      <c r="C24" s="102" t="s">
        <v>44</v>
      </c>
      <c r="D24" s="103">
        <f t="shared" si="0"/>
        <v>295330</v>
      </c>
      <c r="E24" s="103">
        <f>69200+E27</f>
        <v>69200</v>
      </c>
      <c r="F24" s="103">
        <f>85200+F27</f>
        <v>85200</v>
      </c>
      <c r="G24" s="103">
        <f>39200+G27</f>
        <v>39200</v>
      </c>
      <c r="H24" s="103">
        <f>101700+H27</f>
        <v>101730</v>
      </c>
      <c r="I24"/>
      <c r="J24"/>
      <c r="K24"/>
      <c r="L24"/>
      <c r="M24"/>
    </row>
    <row r="25" spans="1:13" s="49" customFormat="1" ht="18" customHeight="1" thickTop="1">
      <c r="A25" s="100">
        <v>500</v>
      </c>
      <c r="B25" s="110"/>
      <c r="C25" s="100" t="s">
        <v>117</v>
      </c>
      <c r="D25" s="109">
        <f t="shared" si="0"/>
        <v>4830</v>
      </c>
      <c r="E25" s="109">
        <f>1200+E27</f>
        <v>1200</v>
      </c>
      <c r="F25" s="109">
        <f>1200+F27</f>
        <v>1200</v>
      </c>
      <c r="G25" s="109">
        <f>1200+G27</f>
        <v>1200</v>
      </c>
      <c r="H25" s="109">
        <f>1200+H27</f>
        <v>1230</v>
      </c>
      <c r="I25"/>
      <c r="J25"/>
      <c r="K25"/>
      <c r="L25"/>
      <c r="M25"/>
    </row>
    <row r="26" spans="1:13" s="49" customFormat="1" ht="16.5" customHeight="1">
      <c r="A26" s="91"/>
      <c r="B26" s="104">
        <v>50095</v>
      </c>
      <c r="C26" s="92" t="s">
        <v>50</v>
      </c>
      <c r="D26" s="93">
        <f t="shared" si="0"/>
        <v>4800</v>
      </c>
      <c r="E26" s="93">
        <v>1200</v>
      </c>
      <c r="F26" s="93">
        <v>1200</v>
      </c>
      <c r="G26" s="93">
        <v>1200</v>
      </c>
      <c r="H26" s="93">
        <v>1200</v>
      </c>
      <c r="I26"/>
      <c r="J26"/>
      <c r="K26"/>
      <c r="L26"/>
      <c r="M26"/>
    </row>
    <row r="27" spans="1:13" s="50" customFormat="1" ht="16.5" customHeight="1">
      <c r="A27" s="105"/>
      <c r="B27" s="106"/>
      <c r="C27" s="106"/>
      <c r="D27" s="107">
        <f t="shared" si="0"/>
        <v>30</v>
      </c>
      <c r="E27" s="107"/>
      <c r="F27" s="107"/>
      <c r="G27" s="107"/>
      <c r="H27" s="107">
        <v>30</v>
      </c>
      <c r="I27"/>
      <c r="J27"/>
      <c r="K27"/>
      <c r="L27"/>
      <c r="M27"/>
    </row>
    <row r="28" spans="1:13" s="49" customFormat="1" ht="18" customHeight="1">
      <c r="A28" s="91"/>
      <c r="B28" s="91"/>
      <c r="C28" s="97" t="s">
        <v>211</v>
      </c>
      <c r="D28" s="98">
        <f t="shared" si="0"/>
        <v>51779005</v>
      </c>
      <c r="E28" s="98">
        <f>12001664+E32</f>
        <v>12001664</v>
      </c>
      <c r="F28" s="98">
        <f>12653195+F32</f>
        <v>12653195</v>
      </c>
      <c r="G28" s="98">
        <f>14244697+G32</f>
        <v>13895553</v>
      </c>
      <c r="H28" s="98">
        <f>13279449+H32</f>
        <v>13228593</v>
      </c>
      <c r="I28" s="25"/>
      <c r="J28"/>
      <c r="K28"/>
      <c r="L28"/>
      <c r="M28"/>
    </row>
    <row r="29" spans="1:13" s="49" customFormat="1" ht="22.5" customHeight="1" thickBot="1">
      <c r="A29" s="101"/>
      <c r="B29" s="91"/>
      <c r="C29" s="102" t="s">
        <v>44</v>
      </c>
      <c r="D29" s="103">
        <f t="shared" si="0"/>
        <v>50958705</v>
      </c>
      <c r="E29" s="103">
        <f>11862200+E32</f>
        <v>11862200</v>
      </c>
      <c r="F29" s="103">
        <f>12531020+F32</f>
        <v>12531020</v>
      </c>
      <c r="G29" s="103">
        <f>14127183+G32</f>
        <v>13778039</v>
      </c>
      <c r="H29" s="103">
        <f>12838302+H32</f>
        <v>12787446</v>
      </c>
      <c r="I29"/>
      <c r="J29"/>
      <c r="K29"/>
      <c r="L29"/>
      <c r="M29"/>
    </row>
    <row r="30" spans="1:13" s="49" customFormat="1" ht="18" customHeight="1" thickTop="1">
      <c r="A30" s="100">
        <v>851</v>
      </c>
      <c r="B30" s="110"/>
      <c r="C30" s="100" t="s">
        <v>103</v>
      </c>
      <c r="D30" s="109">
        <f t="shared" si="0"/>
        <v>6765205</v>
      </c>
      <c r="E30" s="109">
        <f>1928338+E32</f>
        <v>1928338</v>
      </c>
      <c r="F30" s="109">
        <f>1409420+F32</f>
        <v>1409420</v>
      </c>
      <c r="G30" s="109">
        <f>2743797+G32</f>
        <v>2394653</v>
      </c>
      <c r="H30" s="109">
        <f>1083650+H32</f>
        <v>1032794</v>
      </c>
      <c r="I30"/>
      <c r="J30"/>
      <c r="K30"/>
      <c r="L30"/>
      <c r="M30"/>
    </row>
    <row r="31" spans="1:13" s="49" customFormat="1" ht="16.5" customHeight="1">
      <c r="A31" s="91"/>
      <c r="B31" s="104">
        <v>85154</v>
      </c>
      <c r="C31" s="92" t="s">
        <v>104</v>
      </c>
      <c r="D31" s="93">
        <f t="shared" si="0"/>
        <v>2792205</v>
      </c>
      <c r="E31" s="93">
        <v>307176</v>
      </c>
      <c r="F31" s="93">
        <v>873035</v>
      </c>
      <c r="G31" s="93">
        <v>861344</v>
      </c>
      <c r="H31" s="93">
        <v>750650</v>
      </c>
      <c r="I31"/>
      <c r="J31"/>
      <c r="K31"/>
      <c r="L31"/>
      <c r="M31"/>
    </row>
    <row r="32" spans="1:13" s="50" customFormat="1" ht="16.5" customHeight="1">
      <c r="A32" s="105"/>
      <c r="B32" s="105"/>
      <c r="C32" s="105"/>
      <c r="D32" s="616">
        <f t="shared" si="0"/>
        <v>-400000</v>
      </c>
      <c r="E32" s="616"/>
      <c r="F32" s="616"/>
      <c r="G32" s="616">
        <v>-349144</v>
      </c>
      <c r="H32" s="616">
        <v>-50856</v>
      </c>
      <c r="I32"/>
      <c r="J32"/>
      <c r="K32"/>
      <c r="L32"/>
      <c r="M32"/>
    </row>
    <row r="33" spans="1:13" s="50" customFormat="1" ht="16.5" customHeight="1">
      <c r="A33" s="617"/>
      <c r="B33" s="617"/>
      <c r="C33" s="617"/>
      <c r="D33" s="618"/>
      <c r="E33" s="618"/>
      <c r="F33" s="618"/>
      <c r="G33" s="618"/>
      <c r="H33" s="618"/>
      <c r="I33"/>
      <c r="J33"/>
      <c r="K33"/>
      <c r="L33"/>
      <c r="M33"/>
    </row>
    <row r="34" spans="1:12" ht="21" customHeight="1">
      <c r="A34" s="91"/>
      <c r="B34" s="91"/>
      <c r="C34" s="97" t="s">
        <v>209</v>
      </c>
      <c r="D34" s="98">
        <f t="shared" si="0"/>
        <v>98263309</v>
      </c>
      <c r="E34" s="98">
        <f>22917640+E38+E40+E44</f>
        <v>22887640</v>
      </c>
      <c r="F34" s="98">
        <f>23548700+F38+F40+F44</f>
        <v>23548700</v>
      </c>
      <c r="G34" s="98">
        <f>21724231+G38+G40+G44</f>
        <v>21724231</v>
      </c>
      <c r="H34" s="98">
        <f>30821871+H38+H40+H44</f>
        <v>30102738</v>
      </c>
      <c r="I34"/>
      <c r="J34"/>
      <c r="K34"/>
      <c r="L34"/>
    </row>
    <row r="35" spans="1:8" s="1" customFormat="1" ht="19.5" customHeight="1" thickBot="1">
      <c r="A35" s="101"/>
      <c r="B35" s="91"/>
      <c r="C35" s="102" t="s">
        <v>44</v>
      </c>
      <c r="D35" s="103">
        <f t="shared" si="0"/>
        <v>38607093</v>
      </c>
      <c r="E35" s="103">
        <f>9208662+E38+E40</f>
        <v>9178662</v>
      </c>
      <c r="F35" s="103">
        <f>9724565+F38+F40</f>
        <v>9724565</v>
      </c>
      <c r="G35" s="103">
        <f>8881687+G38+G40</f>
        <v>8881687</v>
      </c>
      <c r="H35" s="103">
        <f>10792179+H38+H40</f>
        <v>10822179</v>
      </c>
    </row>
    <row r="36" spans="1:8" s="1" customFormat="1" ht="19.5" customHeight="1" thickTop="1">
      <c r="A36" s="313">
        <v>852</v>
      </c>
      <c r="B36" s="313"/>
      <c r="C36" s="240" t="s">
        <v>32</v>
      </c>
      <c r="D36" s="312">
        <f t="shared" si="0"/>
        <v>38180353</v>
      </c>
      <c r="E36" s="312">
        <f>9079312+E38+E40</f>
        <v>9049312</v>
      </c>
      <c r="F36" s="312">
        <f>9599215+F38+F40</f>
        <v>9599215</v>
      </c>
      <c r="G36" s="312">
        <f>8803747+G38+G40</f>
        <v>8803747</v>
      </c>
      <c r="H36" s="312">
        <f>10698079+H38+H40</f>
        <v>10728079</v>
      </c>
    </row>
    <row r="37" spans="1:8" s="1" customFormat="1" ht="19.5" customHeight="1">
      <c r="A37" s="239"/>
      <c r="B37" s="242">
        <v>85202</v>
      </c>
      <c r="C37" s="242" t="s">
        <v>2</v>
      </c>
      <c r="D37" s="320">
        <f t="shared" si="0"/>
        <v>808000</v>
      </c>
      <c r="E37" s="320">
        <v>156750</v>
      </c>
      <c r="F37" s="320">
        <v>156750</v>
      </c>
      <c r="G37" s="320">
        <v>239950</v>
      </c>
      <c r="H37" s="320">
        <v>254550</v>
      </c>
    </row>
    <row r="38" spans="1:8" s="11" customFormat="1" ht="19.5" customHeight="1">
      <c r="A38" s="236"/>
      <c r="B38" s="237"/>
      <c r="C38" s="237"/>
      <c r="D38" s="246">
        <f t="shared" si="0"/>
        <v>30000</v>
      </c>
      <c r="E38" s="246"/>
      <c r="F38" s="246"/>
      <c r="G38" s="246"/>
      <c r="H38" s="246">
        <v>30000</v>
      </c>
    </row>
    <row r="39" spans="1:8" s="1" customFormat="1" ht="19.5" customHeight="1">
      <c r="A39" s="239"/>
      <c r="B39" s="242">
        <v>85228</v>
      </c>
      <c r="C39" s="242" t="s">
        <v>123</v>
      </c>
      <c r="D39" s="320">
        <f t="shared" si="0"/>
        <v>7300000</v>
      </c>
      <c r="E39" s="320">
        <v>1750000</v>
      </c>
      <c r="F39" s="320">
        <v>1850000</v>
      </c>
      <c r="G39" s="320">
        <v>1850000</v>
      </c>
      <c r="H39" s="320">
        <v>1850000</v>
      </c>
    </row>
    <row r="40" spans="1:8" s="11" customFormat="1" ht="19.5" customHeight="1">
      <c r="A40" s="236"/>
      <c r="B40" s="237"/>
      <c r="C40" s="237"/>
      <c r="D40" s="246">
        <f t="shared" si="0"/>
        <v>-30000</v>
      </c>
      <c r="E40" s="246">
        <v>-30000</v>
      </c>
      <c r="F40" s="246"/>
      <c r="G40" s="246"/>
      <c r="H40" s="246"/>
    </row>
    <row r="41" spans="1:13" s="319" customFormat="1" ht="20.25" customHeight="1" thickBot="1">
      <c r="A41" s="251"/>
      <c r="B41" s="251"/>
      <c r="C41" s="102" t="s">
        <v>53</v>
      </c>
      <c r="D41" s="361">
        <f t="shared" si="0"/>
        <v>56471880</v>
      </c>
      <c r="E41" s="361">
        <f>13040229+E44</f>
        <v>13040229</v>
      </c>
      <c r="F41" s="361">
        <f>13142339+F44</f>
        <v>13142339</v>
      </c>
      <c r="G41" s="361">
        <f>12137397+G44</f>
        <v>12137397</v>
      </c>
      <c r="H41" s="361">
        <f>18901048+H44</f>
        <v>18151915</v>
      </c>
      <c r="I41" s="3"/>
      <c r="J41" s="3"/>
      <c r="K41" s="3"/>
      <c r="L41" s="3"/>
      <c r="M41" s="3"/>
    </row>
    <row r="42" spans="1:13" s="319" customFormat="1" ht="19.5" customHeight="1" thickTop="1">
      <c r="A42" s="240">
        <v>852</v>
      </c>
      <c r="B42" s="240"/>
      <c r="C42" s="284" t="s">
        <v>32</v>
      </c>
      <c r="D42" s="312">
        <f t="shared" si="0"/>
        <v>56468756</v>
      </c>
      <c r="E42" s="312">
        <f>13040229+E44</f>
        <v>13040229</v>
      </c>
      <c r="F42" s="312">
        <f>13142339+F44</f>
        <v>13142339</v>
      </c>
      <c r="G42" s="312">
        <f>12137397+G44</f>
        <v>12137397</v>
      </c>
      <c r="H42" s="312">
        <f>18897924+H44</f>
        <v>18148791</v>
      </c>
      <c r="I42" s="3"/>
      <c r="J42" s="3"/>
      <c r="K42" s="3"/>
      <c r="L42" s="3"/>
      <c r="M42" s="3"/>
    </row>
    <row r="43" spans="1:8" s="1" customFormat="1" ht="27" customHeight="1">
      <c r="A43" s="242"/>
      <c r="B43" s="242">
        <v>85212</v>
      </c>
      <c r="C43" s="386" t="s">
        <v>125</v>
      </c>
      <c r="D43" s="320">
        <f t="shared" si="0"/>
        <v>48430864</v>
      </c>
      <c r="E43" s="320">
        <v>10997864</v>
      </c>
      <c r="F43" s="320">
        <v>10993899</v>
      </c>
      <c r="G43" s="320">
        <v>9914874</v>
      </c>
      <c r="H43" s="320">
        <v>16524227</v>
      </c>
    </row>
    <row r="44" spans="1:8" s="11" customFormat="1" ht="19.5" customHeight="1">
      <c r="A44" s="237"/>
      <c r="B44" s="237"/>
      <c r="C44" s="237"/>
      <c r="D44" s="246">
        <f t="shared" si="0"/>
        <v>-749133</v>
      </c>
      <c r="E44" s="246"/>
      <c r="F44" s="246"/>
      <c r="G44" s="246"/>
      <c r="H44" s="246">
        <v>-749133</v>
      </c>
    </row>
    <row r="52" ht="12.75">
      <c r="C52" s="1" t="s">
        <v>254</v>
      </c>
    </row>
    <row r="53" ht="12.75">
      <c r="C53" s="1" t="s">
        <v>255</v>
      </c>
    </row>
    <row r="54" ht="12.75">
      <c r="C54" s="1" t="s">
        <v>256</v>
      </c>
    </row>
  </sheetData>
  <mergeCells count="1">
    <mergeCell ref="D7:D8"/>
  </mergeCells>
  <printOptions horizontalCentered="1"/>
  <pageMargins left="0.3937007874015748" right="0.3937007874015748" top="0.45" bottom="0.48" header="0.4" footer="0.35"/>
  <pageSetup firstPageNumber="27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1"/>
  <dimension ref="A1:K69"/>
  <sheetViews>
    <sheetView zoomScaleSheetLayoutView="75" workbookViewId="0" topLeftCell="A1">
      <selection activeCell="B3" sqref="B3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53.375" style="1" customWidth="1"/>
    <col min="4" max="7" width="20.75390625" style="1" customWidth="1"/>
    <col min="8" max="8" width="11.875" style="1" customWidth="1"/>
    <col min="9" max="9" width="12.375" style="1" customWidth="1"/>
    <col min="10" max="10" width="10.375" style="1" bestFit="1" customWidth="1"/>
    <col min="11" max="11" width="11.00390625" style="1" customWidth="1"/>
    <col min="12" max="16384" width="9.125" style="1" customWidth="1"/>
  </cols>
  <sheetData>
    <row r="1" ht="18" customHeight="1">
      <c r="F1" s="1" t="s">
        <v>6</v>
      </c>
    </row>
    <row r="2" ht="18" customHeight="1">
      <c r="F2" s="1" t="s">
        <v>239</v>
      </c>
    </row>
    <row r="3" ht="18" customHeight="1">
      <c r="F3" s="1" t="s">
        <v>33</v>
      </c>
    </row>
    <row r="4" spans="3:6" ht="18" customHeight="1">
      <c r="C4" s="2" t="s">
        <v>82</v>
      </c>
      <c r="F4" s="1" t="s">
        <v>196</v>
      </c>
    </row>
    <row r="5" ht="12" customHeight="1" thickBot="1">
      <c r="G5" s="3" t="s">
        <v>35</v>
      </c>
    </row>
    <row r="6" spans="1:7" ht="78.75" customHeight="1" thickBot="1" thickTop="1">
      <c r="A6" s="4" t="s">
        <v>36</v>
      </c>
      <c r="B6" s="4" t="s">
        <v>37</v>
      </c>
      <c r="C6" s="5" t="s">
        <v>39</v>
      </c>
      <c r="D6" s="5" t="s">
        <v>79</v>
      </c>
      <c r="E6" s="5" t="s">
        <v>67</v>
      </c>
      <c r="F6" s="5" t="s">
        <v>57</v>
      </c>
      <c r="G6" s="5" t="s">
        <v>41</v>
      </c>
    </row>
    <row r="7" spans="1:7" ht="18.75" customHeight="1" thickBot="1" thickTop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1" ht="21" customHeight="1" thickBot="1" thickTop="1">
      <c r="A8" s="143"/>
      <c r="B8" s="179"/>
      <c r="C8" s="188" t="s">
        <v>42</v>
      </c>
      <c r="D8" s="182">
        <v>797134702</v>
      </c>
      <c r="E8" s="182">
        <f>E10++E49+E53</f>
        <v>797842</v>
      </c>
      <c r="F8" s="182">
        <f>F10++F49+F53</f>
        <v>48709</v>
      </c>
      <c r="G8" s="182">
        <f>D8+F8-E8</f>
        <v>796385569</v>
      </c>
      <c r="H8" s="8">
        <f>F8-E8</f>
        <v>-749133</v>
      </c>
      <c r="I8" s="8"/>
      <c r="J8" s="8"/>
      <c r="K8" s="8"/>
    </row>
    <row r="9" spans="1:9" ht="16.5" customHeight="1">
      <c r="A9" s="91"/>
      <c r="B9" s="91"/>
      <c r="C9" s="91" t="s">
        <v>43</v>
      </c>
      <c r="D9" s="135"/>
      <c r="E9" s="135"/>
      <c r="F9" s="135"/>
      <c r="G9" s="135"/>
      <c r="I9" s="9"/>
    </row>
    <row r="10" spans="1:11" ht="21" customHeight="1" thickBot="1">
      <c r="A10" s="148"/>
      <c r="B10" s="148"/>
      <c r="C10" s="102" t="s">
        <v>44</v>
      </c>
      <c r="D10" s="271">
        <v>708305420</v>
      </c>
      <c r="E10" s="99">
        <f>E11+E14+E19+E26+E34+E41+E45</f>
        <v>44490</v>
      </c>
      <c r="F10" s="99">
        <f>F11+F14+F19+F26+F34+F41+F45</f>
        <v>44490</v>
      </c>
      <c r="G10" s="99">
        <f aca="true" t="shared" si="0" ref="G10:G33">D10+F10-E10</f>
        <v>708305420</v>
      </c>
      <c r="H10" s="8"/>
      <c r="I10" s="8"/>
      <c r="K10" s="8"/>
    </row>
    <row r="11" spans="1:11" ht="18.75" customHeight="1" thickTop="1">
      <c r="A11" s="240">
        <v>500</v>
      </c>
      <c r="B11" s="240"/>
      <c r="C11" s="240" t="s">
        <v>117</v>
      </c>
      <c r="D11" s="312">
        <v>4800</v>
      </c>
      <c r="E11" s="312"/>
      <c r="F11" s="312">
        <f>F12</f>
        <v>30</v>
      </c>
      <c r="G11" s="312">
        <f t="shared" si="0"/>
        <v>4830</v>
      </c>
      <c r="H11" s="8"/>
      <c r="I11" s="8"/>
      <c r="K11" s="8"/>
    </row>
    <row r="12" spans="1:11" s="13" customFormat="1" ht="18.75" customHeight="1">
      <c r="A12" s="242"/>
      <c r="B12" s="257">
        <v>50095</v>
      </c>
      <c r="C12" s="257" t="s">
        <v>50</v>
      </c>
      <c r="D12" s="297">
        <v>4800</v>
      </c>
      <c r="E12" s="297"/>
      <c r="F12" s="297">
        <f>F13</f>
        <v>30</v>
      </c>
      <c r="G12" s="324">
        <f t="shared" si="0"/>
        <v>4830</v>
      </c>
      <c r="H12" s="14"/>
      <c r="I12" s="14"/>
      <c r="K12" s="14"/>
    </row>
    <row r="13" spans="1:11" s="13" customFormat="1" ht="18.75" customHeight="1">
      <c r="A13" s="251"/>
      <c r="B13" s="251"/>
      <c r="C13" s="298" t="s">
        <v>248</v>
      </c>
      <c r="D13" s="299">
        <v>4800</v>
      </c>
      <c r="E13" s="299"/>
      <c r="F13" s="299">
        <v>30</v>
      </c>
      <c r="G13" s="266">
        <f t="shared" si="0"/>
        <v>4830</v>
      </c>
      <c r="H13" s="14"/>
      <c r="I13" s="14"/>
      <c r="K13" s="14"/>
    </row>
    <row r="14" spans="1:11" ht="18.75" customHeight="1">
      <c r="A14" s="240">
        <v>700</v>
      </c>
      <c r="B14" s="240"/>
      <c r="C14" s="240" t="s">
        <v>95</v>
      </c>
      <c r="D14" s="312">
        <v>14335586</v>
      </c>
      <c r="E14" s="312"/>
      <c r="F14" s="312"/>
      <c r="G14" s="312">
        <f t="shared" si="0"/>
        <v>14335586</v>
      </c>
      <c r="H14" s="8"/>
      <c r="I14" s="8"/>
      <c r="K14" s="8"/>
    </row>
    <row r="15" spans="1:11" s="13" customFormat="1" ht="18.75" customHeight="1">
      <c r="A15" s="239"/>
      <c r="B15" s="257">
        <v>70001</v>
      </c>
      <c r="C15" s="257" t="s">
        <v>147</v>
      </c>
      <c r="D15" s="297">
        <v>6200000</v>
      </c>
      <c r="E15" s="297"/>
      <c r="F15" s="297"/>
      <c r="G15" s="324">
        <f t="shared" si="0"/>
        <v>6200000</v>
      </c>
      <c r="H15" s="14"/>
      <c r="I15" s="14"/>
      <c r="K15" s="14"/>
    </row>
    <row r="16" spans="1:11" s="13" customFormat="1" ht="18.75" customHeight="1">
      <c r="A16" s="239"/>
      <c r="B16" s="239"/>
      <c r="C16" s="243" t="s">
        <v>145</v>
      </c>
      <c r="D16" s="245">
        <v>6200000</v>
      </c>
      <c r="E16" s="245"/>
      <c r="F16" s="245"/>
      <c r="G16" s="261">
        <f t="shared" si="0"/>
        <v>6200000</v>
      </c>
      <c r="H16" s="14"/>
      <c r="I16" s="14"/>
      <c r="K16" s="14"/>
    </row>
    <row r="17" spans="1:11" s="290" customFormat="1" ht="18.75" customHeight="1">
      <c r="A17" s="236"/>
      <c r="B17" s="236"/>
      <c r="C17" s="384" t="s">
        <v>249</v>
      </c>
      <c r="D17" s="385">
        <v>5200000</v>
      </c>
      <c r="E17" s="385">
        <v>100000</v>
      </c>
      <c r="F17" s="385"/>
      <c r="G17" s="414">
        <f t="shared" si="0"/>
        <v>5100000</v>
      </c>
      <c r="H17" s="291"/>
      <c r="I17" s="291"/>
      <c r="K17" s="291"/>
    </row>
    <row r="18" spans="1:11" s="290" customFormat="1" ht="18.75" customHeight="1">
      <c r="A18" s="236"/>
      <c r="B18" s="236"/>
      <c r="C18" s="10" t="s">
        <v>188</v>
      </c>
      <c r="D18" s="262">
        <v>1000000</v>
      </c>
      <c r="E18" s="262"/>
      <c r="F18" s="262">
        <v>100000</v>
      </c>
      <c r="G18" s="262">
        <f t="shared" si="0"/>
        <v>1100000</v>
      </c>
      <c r="H18" s="291"/>
      <c r="I18" s="291"/>
      <c r="K18" s="291"/>
    </row>
    <row r="19" spans="1:11" ht="18.75" customHeight="1">
      <c r="A19" s="313">
        <v>754</v>
      </c>
      <c r="B19" s="313"/>
      <c r="C19" s="240" t="s">
        <v>118</v>
      </c>
      <c r="D19" s="295">
        <v>5818000</v>
      </c>
      <c r="E19" s="295">
        <f>E20+E23</f>
        <v>6500</v>
      </c>
      <c r="F19" s="295">
        <f>F20+F23</f>
        <v>6500</v>
      </c>
      <c r="G19" s="295">
        <f t="shared" si="0"/>
        <v>5818000</v>
      </c>
      <c r="H19" s="8"/>
      <c r="I19" s="8"/>
      <c r="K19" s="8"/>
    </row>
    <row r="20" spans="1:11" ht="18.75" customHeight="1">
      <c r="A20" s="239"/>
      <c r="B20" s="241">
        <v>75416</v>
      </c>
      <c r="C20" s="274" t="s">
        <v>119</v>
      </c>
      <c r="D20" s="297">
        <v>4675000</v>
      </c>
      <c r="E20" s="297">
        <f>E21+E22</f>
        <v>6500</v>
      </c>
      <c r="F20" s="297">
        <f>F21+F22</f>
        <v>6500</v>
      </c>
      <c r="G20" s="297">
        <f t="shared" si="0"/>
        <v>4675000</v>
      </c>
      <c r="H20" s="8"/>
      <c r="I20" s="8"/>
      <c r="K20" s="8"/>
    </row>
    <row r="21" spans="1:11" ht="18.75" customHeight="1">
      <c r="A21" s="239"/>
      <c r="B21" s="239"/>
      <c r="C21" s="289" t="s">
        <v>47</v>
      </c>
      <c r="D21" s="272">
        <v>751300</v>
      </c>
      <c r="E21" s="272"/>
      <c r="F21" s="272">
        <v>6500</v>
      </c>
      <c r="G21" s="272">
        <f t="shared" si="0"/>
        <v>757800</v>
      </c>
      <c r="H21" s="8"/>
      <c r="I21" s="8"/>
      <c r="K21" s="8"/>
    </row>
    <row r="22" spans="1:11" ht="18.75" customHeight="1">
      <c r="A22" s="239"/>
      <c r="B22" s="251"/>
      <c r="C22" s="251" t="s">
        <v>185</v>
      </c>
      <c r="D22" s="303">
        <v>171700</v>
      </c>
      <c r="E22" s="303">
        <v>6500</v>
      </c>
      <c r="F22" s="303"/>
      <c r="G22" s="303">
        <f t="shared" si="0"/>
        <v>165200</v>
      </c>
      <c r="H22" s="8"/>
      <c r="I22" s="8"/>
      <c r="K22" s="8"/>
    </row>
    <row r="23" spans="1:11" ht="18.75" customHeight="1">
      <c r="A23" s="239"/>
      <c r="B23" s="241">
        <v>75495</v>
      </c>
      <c r="C23" s="281" t="s">
        <v>50</v>
      </c>
      <c r="D23" s="244">
        <v>283000</v>
      </c>
      <c r="E23" s="244"/>
      <c r="F23" s="244"/>
      <c r="G23" s="244">
        <f t="shared" si="0"/>
        <v>283000</v>
      </c>
      <c r="H23" s="8"/>
      <c r="I23" s="8"/>
      <c r="K23" s="8"/>
    </row>
    <row r="24" spans="1:11" ht="18.75" customHeight="1">
      <c r="A24" s="239"/>
      <c r="B24" s="239"/>
      <c r="C24" s="289" t="s">
        <v>193</v>
      </c>
      <c r="D24" s="272">
        <v>100000</v>
      </c>
      <c r="E24" s="272"/>
      <c r="F24" s="272"/>
      <c r="G24" s="272">
        <f t="shared" si="0"/>
        <v>100000</v>
      </c>
      <c r="H24" s="8"/>
      <c r="I24" s="8"/>
      <c r="K24" s="8"/>
    </row>
    <row r="25" spans="1:11" ht="18.75" customHeight="1">
      <c r="A25" s="239"/>
      <c r="B25" s="239"/>
      <c r="C25" s="250" t="s">
        <v>188</v>
      </c>
      <c r="D25" s="246">
        <v>80000</v>
      </c>
      <c r="E25" s="246">
        <v>38539</v>
      </c>
      <c r="F25" s="246"/>
      <c r="G25" s="246">
        <f t="shared" si="0"/>
        <v>41461</v>
      </c>
      <c r="H25" s="8"/>
      <c r="I25" s="8"/>
      <c r="K25" s="8"/>
    </row>
    <row r="26" spans="1:11" ht="18.75" customHeight="1">
      <c r="A26" s="313">
        <v>758</v>
      </c>
      <c r="B26" s="313"/>
      <c r="C26" s="313" t="s">
        <v>106</v>
      </c>
      <c r="D26" s="314">
        <v>3855571</v>
      </c>
      <c r="E26" s="314">
        <f>E27</f>
        <v>30</v>
      </c>
      <c r="F26" s="314"/>
      <c r="G26" s="314">
        <f t="shared" si="0"/>
        <v>3855541</v>
      </c>
      <c r="H26" s="8"/>
      <c r="I26" s="8"/>
      <c r="K26" s="8"/>
    </row>
    <row r="27" spans="1:11" ht="18.75" customHeight="1">
      <c r="A27" s="242"/>
      <c r="B27" s="257">
        <v>75818</v>
      </c>
      <c r="C27" s="257" t="s">
        <v>107</v>
      </c>
      <c r="D27" s="297">
        <v>1134027</v>
      </c>
      <c r="E27" s="297">
        <f>E28</f>
        <v>30</v>
      </c>
      <c r="F27" s="297"/>
      <c r="G27" s="297">
        <f t="shared" si="0"/>
        <v>1133997</v>
      </c>
      <c r="H27" s="8"/>
      <c r="I27" s="8"/>
      <c r="K27" s="8"/>
    </row>
    <row r="28" spans="1:11" ht="18.75" customHeight="1">
      <c r="A28" s="251"/>
      <c r="B28" s="251"/>
      <c r="C28" s="298" t="s">
        <v>108</v>
      </c>
      <c r="D28" s="383">
        <v>10912</v>
      </c>
      <c r="E28" s="299">
        <v>30</v>
      </c>
      <c r="F28" s="383"/>
      <c r="G28" s="383">
        <f t="shared" si="0"/>
        <v>10882</v>
      </c>
      <c r="H28" s="8"/>
      <c r="I28" s="8"/>
      <c r="K28" s="8"/>
    </row>
    <row r="29" spans="1:11" ht="18.75" customHeight="1">
      <c r="A29" s="240">
        <v>851</v>
      </c>
      <c r="B29" s="240"/>
      <c r="C29" s="119" t="s">
        <v>103</v>
      </c>
      <c r="D29" s="301">
        <v>9930000</v>
      </c>
      <c r="E29" s="301"/>
      <c r="F29" s="301"/>
      <c r="G29" s="301">
        <f t="shared" si="0"/>
        <v>9930000</v>
      </c>
      <c r="H29" s="8"/>
      <c r="I29" s="8"/>
      <c r="K29" s="8"/>
    </row>
    <row r="30" spans="1:11" s="13" customFormat="1" ht="19.5" customHeight="1">
      <c r="A30" s="239"/>
      <c r="B30" s="241">
        <v>85154</v>
      </c>
      <c r="C30" s="146" t="s">
        <v>104</v>
      </c>
      <c r="D30" s="244">
        <v>4800000</v>
      </c>
      <c r="E30" s="244"/>
      <c r="F30" s="244"/>
      <c r="G30" s="379">
        <f t="shared" si="0"/>
        <v>4800000</v>
      </c>
      <c r="H30" s="14"/>
      <c r="I30" s="14"/>
      <c r="K30" s="14"/>
    </row>
    <row r="31" spans="1:11" s="13" customFormat="1" ht="25.5" customHeight="1">
      <c r="A31" s="239"/>
      <c r="B31" s="239"/>
      <c r="C31" s="632" t="s">
        <v>250</v>
      </c>
      <c r="D31" s="272">
        <v>4800000</v>
      </c>
      <c r="E31" s="272"/>
      <c r="F31" s="272"/>
      <c r="G31" s="325">
        <f t="shared" si="0"/>
        <v>4800000</v>
      </c>
      <c r="H31" s="14"/>
      <c r="I31" s="14"/>
      <c r="K31" s="14"/>
    </row>
    <row r="32" spans="1:11" s="290" customFormat="1" ht="19.5" customHeight="1">
      <c r="A32" s="236"/>
      <c r="B32" s="236"/>
      <c r="C32" s="384" t="s">
        <v>251</v>
      </c>
      <c r="D32" s="385">
        <v>708579</v>
      </c>
      <c r="E32" s="385">
        <v>72000</v>
      </c>
      <c r="F32" s="385"/>
      <c r="G32" s="414">
        <f t="shared" si="0"/>
        <v>636579</v>
      </c>
      <c r="H32" s="291"/>
      <c r="I32" s="291"/>
      <c r="K32" s="291"/>
    </row>
    <row r="33" spans="1:11" s="290" customFormat="1" ht="19.5" customHeight="1">
      <c r="A33" s="237"/>
      <c r="B33" s="237"/>
      <c r="C33" s="631" t="s">
        <v>188</v>
      </c>
      <c r="D33" s="326">
        <v>1108000</v>
      </c>
      <c r="E33" s="326"/>
      <c r="F33" s="326">
        <v>400000</v>
      </c>
      <c r="G33" s="326">
        <f t="shared" si="0"/>
        <v>1508000</v>
      </c>
      <c r="H33" s="291"/>
      <c r="I33" s="291"/>
      <c r="K33" s="291"/>
    </row>
    <row r="34" spans="1:11" ht="19.5" customHeight="1">
      <c r="A34" s="240">
        <v>852</v>
      </c>
      <c r="B34" s="240"/>
      <c r="C34" s="240" t="s">
        <v>32</v>
      </c>
      <c r="D34" s="301">
        <v>87055913</v>
      </c>
      <c r="E34" s="301">
        <f>E35+E39</f>
        <v>37600</v>
      </c>
      <c r="F34" s="301">
        <f>F35+F39</f>
        <v>37600</v>
      </c>
      <c r="G34" s="301">
        <f aca="true" t="shared" si="1" ref="G34:G48">D34+F34-E34</f>
        <v>87055913</v>
      </c>
      <c r="H34" s="8"/>
      <c r="I34" s="8"/>
      <c r="K34" s="8"/>
    </row>
    <row r="35" spans="1:11" s="13" customFormat="1" ht="19.5" customHeight="1">
      <c r="A35" s="239"/>
      <c r="B35" s="241">
        <v>85202</v>
      </c>
      <c r="C35" s="241" t="s">
        <v>2</v>
      </c>
      <c r="D35" s="244">
        <v>15325692</v>
      </c>
      <c r="E35" s="244">
        <f>E36+E37+E38</f>
        <v>7600</v>
      </c>
      <c r="F35" s="244">
        <f>F36+F37+F38</f>
        <v>37600</v>
      </c>
      <c r="G35" s="379">
        <f t="shared" si="1"/>
        <v>15355692</v>
      </c>
      <c r="H35" s="14"/>
      <c r="I35" s="14"/>
      <c r="K35" s="14"/>
    </row>
    <row r="36" spans="1:11" s="13" customFormat="1" ht="19.5" customHeight="1">
      <c r="A36" s="239"/>
      <c r="B36" s="239"/>
      <c r="C36" s="242" t="s">
        <v>234</v>
      </c>
      <c r="D36" s="320">
        <v>7400000</v>
      </c>
      <c r="E36" s="320">
        <v>7600</v>
      </c>
      <c r="F36" s="320"/>
      <c r="G36" s="381">
        <f t="shared" si="1"/>
        <v>7392400</v>
      </c>
      <c r="H36" s="14"/>
      <c r="I36" s="14"/>
      <c r="K36" s="14"/>
    </row>
    <row r="37" spans="1:11" s="13" customFormat="1" ht="19.5" customHeight="1">
      <c r="A37" s="239"/>
      <c r="B37" s="239"/>
      <c r="C37" s="289" t="s">
        <v>47</v>
      </c>
      <c r="D37" s="353">
        <v>3931330</v>
      </c>
      <c r="E37" s="353"/>
      <c r="F37" s="353">
        <v>7600</v>
      </c>
      <c r="G37" s="575">
        <f t="shared" si="1"/>
        <v>3938930</v>
      </c>
      <c r="H37" s="14"/>
      <c r="I37" s="14"/>
      <c r="K37" s="14"/>
    </row>
    <row r="38" spans="1:11" s="13" customFormat="1" ht="25.5" customHeight="1">
      <c r="A38" s="239"/>
      <c r="B38" s="251"/>
      <c r="C38" s="405" t="s">
        <v>186</v>
      </c>
      <c r="D38" s="574">
        <v>450000</v>
      </c>
      <c r="E38" s="574"/>
      <c r="F38" s="574">
        <v>30000</v>
      </c>
      <c r="G38" s="574">
        <f t="shared" si="1"/>
        <v>480000</v>
      </c>
      <c r="H38" s="14"/>
      <c r="I38" s="14"/>
      <c r="K38" s="14"/>
    </row>
    <row r="39" spans="1:11" ht="19.5" customHeight="1">
      <c r="A39" s="239"/>
      <c r="B39" s="241">
        <v>85228</v>
      </c>
      <c r="C39" s="241" t="s">
        <v>123</v>
      </c>
      <c r="D39" s="379">
        <v>7300000</v>
      </c>
      <c r="E39" s="379">
        <f>E40</f>
        <v>30000</v>
      </c>
      <c r="F39" s="379"/>
      <c r="G39" s="379">
        <f t="shared" si="1"/>
        <v>7270000</v>
      </c>
      <c r="H39" s="8"/>
      <c r="I39" s="8"/>
      <c r="K39" s="8"/>
    </row>
    <row r="40" spans="1:11" ht="19.5" customHeight="1">
      <c r="A40" s="251"/>
      <c r="B40" s="251"/>
      <c r="C40" s="576" t="s">
        <v>124</v>
      </c>
      <c r="D40" s="299">
        <v>7300000</v>
      </c>
      <c r="E40" s="299">
        <v>30000</v>
      </c>
      <c r="F40" s="299"/>
      <c r="G40" s="299">
        <f t="shared" si="1"/>
        <v>7270000</v>
      </c>
      <c r="H40" s="8"/>
      <c r="I40" s="8"/>
      <c r="K40" s="8"/>
    </row>
    <row r="41" spans="1:11" ht="18.75" customHeight="1">
      <c r="A41" s="240">
        <v>921</v>
      </c>
      <c r="B41" s="240"/>
      <c r="C41" s="240" t="s">
        <v>105</v>
      </c>
      <c r="D41" s="301">
        <v>13647500</v>
      </c>
      <c r="E41" s="301"/>
      <c r="F41" s="301"/>
      <c r="G41" s="301">
        <f t="shared" si="1"/>
        <v>13647500</v>
      </c>
      <c r="I41" s="8"/>
      <c r="K41" s="8"/>
    </row>
    <row r="42" spans="1:11" ht="18.75" customHeight="1">
      <c r="A42" s="239"/>
      <c r="B42" s="257">
        <v>92116</v>
      </c>
      <c r="C42" s="257" t="s">
        <v>225</v>
      </c>
      <c r="D42" s="324">
        <v>4795000</v>
      </c>
      <c r="E42" s="324"/>
      <c r="F42" s="324"/>
      <c r="G42" s="324">
        <f t="shared" si="1"/>
        <v>4795000</v>
      </c>
      <c r="I42" s="8"/>
      <c r="K42" s="8"/>
    </row>
    <row r="43" spans="1:11" ht="51" customHeight="1">
      <c r="A43" s="239"/>
      <c r="B43" s="239"/>
      <c r="C43" s="633" t="s">
        <v>143</v>
      </c>
      <c r="D43" s="634">
        <v>140000</v>
      </c>
      <c r="E43" s="634"/>
      <c r="F43" s="634"/>
      <c r="G43" s="634">
        <f t="shared" si="1"/>
        <v>140000</v>
      </c>
      <c r="I43" s="8"/>
      <c r="K43" s="8"/>
    </row>
    <row r="44" spans="1:11" s="11" customFormat="1" ht="19.5" customHeight="1">
      <c r="A44" s="237"/>
      <c r="B44" s="237"/>
      <c r="C44" s="288" t="s">
        <v>188</v>
      </c>
      <c r="D44" s="326">
        <v>140000</v>
      </c>
      <c r="E44" s="326">
        <v>14305</v>
      </c>
      <c r="F44" s="326"/>
      <c r="G44" s="326">
        <f t="shared" si="1"/>
        <v>125695</v>
      </c>
      <c r="I44" s="12"/>
      <c r="K44" s="12"/>
    </row>
    <row r="45" spans="1:11" ht="19.5" customHeight="1">
      <c r="A45" s="240">
        <v>926</v>
      </c>
      <c r="B45" s="240"/>
      <c r="C45" s="240" t="s">
        <v>216</v>
      </c>
      <c r="D45" s="312">
        <v>15056000</v>
      </c>
      <c r="E45" s="312">
        <f>E46</f>
        <v>360</v>
      </c>
      <c r="F45" s="312">
        <f>F46</f>
        <v>360</v>
      </c>
      <c r="G45" s="312">
        <f t="shared" si="1"/>
        <v>15056000</v>
      </c>
      <c r="I45" s="8"/>
      <c r="K45" s="8"/>
    </row>
    <row r="46" spans="1:11" ht="19.5" customHeight="1">
      <c r="A46" s="329"/>
      <c r="B46" s="330">
        <v>92605</v>
      </c>
      <c r="C46" s="330" t="s">
        <v>217</v>
      </c>
      <c r="D46" s="331">
        <v>2090000</v>
      </c>
      <c r="E46" s="331">
        <f>E47+E48</f>
        <v>360</v>
      </c>
      <c r="F46" s="331">
        <f>F47+F48</f>
        <v>360</v>
      </c>
      <c r="G46" s="331">
        <f t="shared" si="1"/>
        <v>2090000</v>
      </c>
      <c r="I46" s="8"/>
      <c r="K46" s="8"/>
    </row>
    <row r="47" spans="1:11" ht="19.5" customHeight="1">
      <c r="A47" s="239"/>
      <c r="B47" s="239"/>
      <c r="C47" s="243" t="s">
        <v>132</v>
      </c>
      <c r="D47" s="245">
        <v>880000</v>
      </c>
      <c r="E47" s="245"/>
      <c r="F47" s="245">
        <v>360</v>
      </c>
      <c r="G47" s="245">
        <f t="shared" si="1"/>
        <v>880360</v>
      </c>
      <c r="I47" s="8"/>
      <c r="K47" s="8"/>
    </row>
    <row r="48" spans="1:11" ht="25.5" customHeight="1">
      <c r="A48" s="239"/>
      <c r="B48" s="239"/>
      <c r="C48" s="404" t="s">
        <v>135</v>
      </c>
      <c r="D48" s="303">
        <v>40000</v>
      </c>
      <c r="E48" s="303">
        <v>360</v>
      </c>
      <c r="F48" s="303"/>
      <c r="G48" s="303">
        <f t="shared" si="1"/>
        <v>39640</v>
      </c>
      <c r="I48" s="8"/>
      <c r="K48" s="8"/>
    </row>
    <row r="49" spans="1:7" ht="28.5" customHeight="1">
      <c r="A49" s="91"/>
      <c r="B49" s="91"/>
      <c r="C49" s="635" t="s">
        <v>224</v>
      </c>
      <c r="D49" s="636">
        <v>6109723</v>
      </c>
      <c r="E49" s="636"/>
      <c r="F49" s="636"/>
      <c r="G49" s="636">
        <f aca="true" t="shared" si="2" ref="G49:G63">D49+F49-E49</f>
        <v>6109723</v>
      </c>
    </row>
    <row r="50" spans="1:7" ht="28.5" customHeight="1">
      <c r="A50" s="637"/>
      <c r="B50" s="637"/>
      <c r="C50" s="638"/>
      <c r="D50" s="639"/>
      <c r="E50" s="639"/>
      <c r="F50" s="639"/>
      <c r="G50" s="639"/>
    </row>
    <row r="51" spans="1:7" ht="28.5" customHeight="1">
      <c r="A51" s="640"/>
      <c r="B51" s="640"/>
      <c r="C51" s="641"/>
      <c r="D51" s="642"/>
      <c r="E51" s="642"/>
      <c r="F51" s="642"/>
      <c r="G51" s="642"/>
    </row>
    <row r="52" spans="1:7" ht="28.5" customHeight="1">
      <c r="A52" s="640"/>
      <c r="B52" s="640"/>
      <c r="C52" s="641"/>
      <c r="D52" s="642"/>
      <c r="E52" s="642"/>
      <c r="F52" s="642"/>
      <c r="G52" s="642"/>
    </row>
    <row r="53" spans="1:7" ht="19.5" customHeight="1" thickBot="1">
      <c r="A53" s="161"/>
      <c r="B53" s="160"/>
      <c r="C53" s="189" t="s">
        <v>16</v>
      </c>
      <c r="D53" s="181">
        <v>82719559</v>
      </c>
      <c r="E53" s="181">
        <f>E54+E58</f>
        <v>753352</v>
      </c>
      <c r="F53" s="181">
        <f>F54+F58</f>
        <v>4219</v>
      </c>
      <c r="G53" s="181">
        <f t="shared" si="2"/>
        <v>81970426</v>
      </c>
    </row>
    <row r="54" spans="1:8" s="16" customFormat="1" ht="19.5" customHeight="1" thickBot="1">
      <c r="A54" s="101"/>
      <c r="B54" s="101"/>
      <c r="C54" s="172" t="s">
        <v>53</v>
      </c>
      <c r="D54" s="168">
        <v>60740197</v>
      </c>
      <c r="E54" s="168">
        <f>E55</f>
        <v>749133</v>
      </c>
      <c r="F54" s="168"/>
      <c r="G54" s="168">
        <f t="shared" si="2"/>
        <v>59991064</v>
      </c>
      <c r="H54" s="15"/>
    </row>
    <row r="55" spans="1:8" s="16" customFormat="1" ht="19.5" customHeight="1" thickTop="1">
      <c r="A55" s="240">
        <v>852</v>
      </c>
      <c r="B55" s="240"/>
      <c r="C55" s="284" t="s">
        <v>32</v>
      </c>
      <c r="D55" s="312">
        <v>57777889</v>
      </c>
      <c r="E55" s="312">
        <f>E56</f>
        <v>749133</v>
      </c>
      <c r="F55" s="312"/>
      <c r="G55" s="312">
        <f t="shared" si="2"/>
        <v>57028756</v>
      </c>
      <c r="H55" s="351"/>
    </row>
    <row r="56" spans="1:8" s="16" customFormat="1" ht="41.25" customHeight="1">
      <c r="A56" s="239"/>
      <c r="B56" s="259">
        <v>85212</v>
      </c>
      <c r="C56" s="577" t="s">
        <v>125</v>
      </c>
      <c r="D56" s="367">
        <v>48430864</v>
      </c>
      <c r="E56" s="367">
        <f>E57</f>
        <v>749133</v>
      </c>
      <c r="F56" s="367"/>
      <c r="G56" s="367">
        <f t="shared" si="2"/>
        <v>47681731</v>
      </c>
      <c r="H56" s="351"/>
    </row>
    <row r="57" spans="1:8" s="16" customFormat="1" ht="19.5" customHeight="1">
      <c r="A57" s="239"/>
      <c r="B57" s="242"/>
      <c r="C57" s="251" t="s">
        <v>127</v>
      </c>
      <c r="D57" s="383">
        <v>47076674</v>
      </c>
      <c r="E57" s="383">
        <v>749133</v>
      </c>
      <c r="F57" s="383"/>
      <c r="G57" s="383">
        <f t="shared" si="2"/>
        <v>46327541</v>
      </c>
      <c r="H57" s="351"/>
    </row>
    <row r="58" spans="1:7" s="16" customFormat="1" ht="27" customHeight="1" thickBot="1">
      <c r="A58" s="251"/>
      <c r="B58" s="251"/>
      <c r="C58" s="118" t="s">
        <v>54</v>
      </c>
      <c r="D58" s="118">
        <v>21979362</v>
      </c>
      <c r="E58" s="118">
        <f>E59</f>
        <v>4219</v>
      </c>
      <c r="F58" s="118">
        <f>F59</f>
        <v>4219</v>
      </c>
      <c r="G58" s="118">
        <f t="shared" si="2"/>
        <v>21979362</v>
      </c>
    </row>
    <row r="59" spans="1:7" ht="18.75" customHeight="1" thickTop="1">
      <c r="A59" s="407" t="s">
        <v>129</v>
      </c>
      <c r="B59" s="240"/>
      <c r="C59" s="240" t="s">
        <v>130</v>
      </c>
      <c r="D59" s="312">
        <v>597598</v>
      </c>
      <c r="E59" s="312">
        <f>E60</f>
        <v>4219</v>
      </c>
      <c r="F59" s="312">
        <f>F60</f>
        <v>4219</v>
      </c>
      <c r="G59" s="312">
        <f t="shared" si="2"/>
        <v>597598</v>
      </c>
    </row>
    <row r="60" spans="1:7" ht="18.75" customHeight="1">
      <c r="A60" s="242"/>
      <c r="B60" s="257">
        <v>85321</v>
      </c>
      <c r="C60" s="241" t="s">
        <v>131</v>
      </c>
      <c r="D60" s="244">
        <v>526000</v>
      </c>
      <c r="E60" s="244">
        <f>SUM(E61:E63)</f>
        <v>4219</v>
      </c>
      <c r="F60" s="244">
        <f>SUM(F61:F63)</f>
        <v>4219</v>
      </c>
      <c r="G60" s="244">
        <f t="shared" si="2"/>
        <v>526000</v>
      </c>
    </row>
    <row r="61" spans="1:7" ht="18.75" customHeight="1">
      <c r="A61" s="251"/>
      <c r="B61" s="251"/>
      <c r="C61" s="358" t="s">
        <v>234</v>
      </c>
      <c r="D61" s="299">
        <v>379542</v>
      </c>
      <c r="E61" s="299">
        <v>4000</v>
      </c>
      <c r="F61" s="299"/>
      <c r="G61" s="299">
        <f t="shared" si="2"/>
        <v>375542</v>
      </c>
    </row>
    <row r="62" spans="1:7" ht="18.75" customHeight="1">
      <c r="A62" s="239"/>
      <c r="B62" s="239"/>
      <c r="C62" s="579" t="s">
        <v>47</v>
      </c>
      <c r="D62" s="254">
        <v>85458</v>
      </c>
      <c r="E62" s="254"/>
      <c r="F62" s="254">
        <v>4219</v>
      </c>
      <c r="G62" s="254">
        <f t="shared" si="2"/>
        <v>89677</v>
      </c>
    </row>
    <row r="63" spans="1:7" ht="18.75" customHeight="1">
      <c r="A63" s="251"/>
      <c r="B63" s="251"/>
      <c r="C63" s="251" t="s">
        <v>237</v>
      </c>
      <c r="D63" s="303">
        <v>57000</v>
      </c>
      <c r="E63" s="303">
        <v>219</v>
      </c>
      <c r="F63" s="303"/>
      <c r="G63" s="303">
        <f t="shared" si="2"/>
        <v>56781</v>
      </c>
    </row>
    <row r="67" ht="12.75">
      <c r="C67" s="1" t="s">
        <v>254</v>
      </c>
    </row>
    <row r="68" ht="12.75">
      <c r="C68" s="1" t="s">
        <v>255</v>
      </c>
    </row>
    <row r="69" ht="12.75">
      <c r="C69" s="1" t="s">
        <v>256</v>
      </c>
    </row>
  </sheetData>
  <printOptions horizontalCentered="1"/>
  <pageMargins left="0.3937007874015748" right="0.3937007874015748" top="0.61" bottom="0.47" header="0.5118110236220472" footer="0.31496062992125984"/>
  <pageSetup firstPageNumber="7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N36"/>
  <sheetViews>
    <sheetView zoomScaleSheetLayoutView="75" workbookViewId="0" topLeftCell="A1">
      <selection activeCell="C4" sqref="C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41.875" style="96" customWidth="1"/>
    <col min="4" max="4" width="17.75390625" style="0" customWidth="1"/>
    <col min="5" max="8" width="12.75390625" style="0" customWidth="1"/>
    <col min="9" max="9" width="16.1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70"/>
      <c r="J1" s="71" t="s">
        <v>99</v>
      </c>
    </row>
    <row r="2" spans="3:10" s="1" customFormat="1" ht="15.75" customHeight="1">
      <c r="C2" s="70"/>
      <c r="J2" s="1" t="s">
        <v>239</v>
      </c>
    </row>
    <row r="3" spans="3:10" s="1" customFormat="1" ht="15.75" customHeight="1">
      <c r="C3" s="124" t="s">
        <v>83</v>
      </c>
      <c r="J3" s="1" t="s">
        <v>33</v>
      </c>
    </row>
    <row r="4" spans="3:10" s="1" customFormat="1" ht="15.75" customHeight="1">
      <c r="C4" s="70"/>
      <c r="J4" s="1" t="s">
        <v>196</v>
      </c>
    </row>
    <row r="5" spans="2:12" s="1" customFormat="1" ht="14.25" customHeight="1" thickBot="1">
      <c r="B5" s="17"/>
      <c r="C5" s="70"/>
      <c r="K5" s="51"/>
      <c r="L5" s="72" t="s">
        <v>35</v>
      </c>
    </row>
    <row r="6" spans="1:12" s="1" customFormat="1" ht="42" customHeight="1" thickBot="1" thickTop="1">
      <c r="A6" s="73"/>
      <c r="B6" s="73"/>
      <c r="C6" s="74"/>
      <c r="D6" s="643" t="s">
        <v>100</v>
      </c>
      <c r="E6" s="75" t="s">
        <v>43</v>
      </c>
      <c r="F6" s="76"/>
      <c r="G6" s="76"/>
      <c r="H6" s="77"/>
      <c r="I6" s="78" t="s">
        <v>25</v>
      </c>
      <c r="J6" s="75" t="s">
        <v>43</v>
      </c>
      <c r="K6" s="79"/>
      <c r="L6" s="80"/>
    </row>
    <row r="7" spans="1:12" s="1" customFormat="1" ht="67.5" customHeight="1" thickBot="1" thickTop="1">
      <c r="A7" s="81" t="s">
        <v>36</v>
      </c>
      <c r="B7" s="82" t="s">
        <v>26</v>
      </c>
      <c r="C7" s="82" t="s">
        <v>27</v>
      </c>
      <c r="D7" s="644"/>
      <c r="E7" s="83" t="s">
        <v>28</v>
      </c>
      <c r="F7" s="83" t="s">
        <v>29</v>
      </c>
      <c r="G7" s="83" t="s">
        <v>187</v>
      </c>
      <c r="H7" s="84" t="s">
        <v>12</v>
      </c>
      <c r="I7" s="82" t="s">
        <v>30</v>
      </c>
      <c r="J7" s="83" t="s">
        <v>28</v>
      </c>
      <c r="K7" s="83" t="s">
        <v>29</v>
      </c>
      <c r="L7" s="83" t="s">
        <v>187</v>
      </c>
    </row>
    <row r="8" spans="1:12" s="88" customFormat="1" ht="13.5" customHeight="1" thickBot="1" thickTop="1">
      <c r="A8" s="85">
        <v>1</v>
      </c>
      <c r="B8" s="85">
        <v>2</v>
      </c>
      <c r="C8" s="86">
        <v>3</v>
      </c>
      <c r="D8" s="85">
        <v>4</v>
      </c>
      <c r="E8" s="85">
        <v>5</v>
      </c>
      <c r="F8" s="87">
        <v>6</v>
      </c>
      <c r="G8" s="85">
        <v>7</v>
      </c>
      <c r="H8" s="85">
        <v>8</v>
      </c>
      <c r="I8" s="85">
        <v>9</v>
      </c>
      <c r="J8" s="85">
        <v>10</v>
      </c>
      <c r="K8" s="87">
        <v>11</v>
      </c>
      <c r="L8" s="87">
        <v>12</v>
      </c>
    </row>
    <row r="9" spans="1:14" s="20" customFormat="1" ht="21" customHeight="1" thickBot="1" thickTop="1">
      <c r="A9" s="89"/>
      <c r="B9" s="89"/>
      <c r="C9" s="190"/>
      <c r="D9" s="191">
        <f>SUM(E9:G9)</f>
        <v>102872238</v>
      </c>
      <c r="E9" s="191">
        <v>89211616</v>
      </c>
      <c r="F9" s="191">
        <v>8898587</v>
      </c>
      <c r="G9" s="191">
        <v>4762035</v>
      </c>
      <c r="H9" s="192">
        <f>H11+H26+H27</f>
        <v>440656</v>
      </c>
      <c r="I9" s="193">
        <f>SUM(J9:L9)</f>
        <v>103312894</v>
      </c>
      <c r="J9" s="191">
        <f>E9+H9</f>
        <v>89652272</v>
      </c>
      <c r="K9" s="191">
        <f>F9</f>
        <v>8898587</v>
      </c>
      <c r="L9" s="191">
        <f>G9</f>
        <v>4762035</v>
      </c>
      <c r="M9" s="90"/>
      <c r="N9" s="25"/>
    </row>
    <row r="10" spans="1:12" s="95" customFormat="1" ht="9.75" customHeight="1">
      <c r="A10" s="91"/>
      <c r="B10" s="91"/>
      <c r="C10" s="92"/>
      <c r="D10" s="93"/>
      <c r="E10" s="93"/>
      <c r="F10" s="93"/>
      <c r="G10" s="194"/>
      <c r="H10" s="195"/>
      <c r="I10" s="94"/>
      <c r="J10" s="93"/>
      <c r="K10" s="93"/>
      <c r="L10" s="93"/>
    </row>
    <row r="11" spans="1:14" ht="21" customHeight="1" thickBot="1">
      <c r="A11" s="158"/>
      <c r="B11" s="158"/>
      <c r="C11" s="196" t="s">
        <v>44</v>
      </c>
      <c r="D11" s="197">
        <f aca="true" t="shared" si="0" ref="D11:D27">SUM(E11:G11)</f>
        <v>102186788</v>
      </c>
      <c r="E11" s="197">
        <v>89211616</v>
      </c>
      <c r="F11" s="197">
        <v>8864073</v>
      </c>
      <c r="G11" s="197">
        <v>4111099</v>
      </c>
      <c r="H11" s="198">
        <f>H12+H15+H20+H23</f>
        <v>440656</v>
      </c>
      <c r="I11" s="199">
        <f aca="true" t="shared" si="1" ref="I11:I27">SUM(J11:L11)</f>
        <v>102627444</v>
      </c>
      <c r="J11" s="197">
        <f aca="true" t="shared" si="2" ref="J11:J25">E11+H11</f>
        <v>89652272</v>
      </c>
      <c r="K11" s="197">
        <f>F11</f>
        <v>8864073</v>
      </c>
      <c r="L11" s="197">
        <f>G11</f>
        <v>4111099</v>
      </c>
      <c r="M11" s="25"/>
      <c r="N11" s="25"/>
    </row>
    <row r="12" spans="1:14" s="1" customFormat="1" ht="19.5" customHeight="1" thickBot="1" thickTop="1">
      <c r="A12" s="462">
        <v>700</v>
      </c>
      <c r="B12" s="462"/>
      <c r="C12" s="458" t="s">
        <v>95</v>
      </c>
      <c r="D12" s="458">
        <f t="shared" si="0"/>
        <v>6500000</v>
      </c>
      <c r="E12" s="458">
        <v>6500000</v>
      </c>
      <c r="F12" s="458"/>
      <c r="G12" s="459"/>
      <c r="H12" s="460">
        <f>H13</f>
        <v>100000</v>
      </c>
      <c r="I12" s="461">
        <f t="shared" si="1"/>
        <v>6600000</v>
      </c>
      <c r="J12" s="458">
        <f t="shared" si="2"/>
        <v>6600000</v>
      </c>
      <c r="K12" s="458"/>
      <c r="L12" s="458"/>
      <c r="M12" s="8"/>
      <c r="N12" s="8"/>
    </row>
    <row r="13" spans="1:14" s="17" customFormat="1" ht="19.5" customHeight="1">
      <c r="A13" s="333"/>
      <c r="B13" s="463">
        <v>70001</v>
      </c>
      <c r="C13" s="296" t="s">
        <v>147</v>
      </c>
      <c r="D13" s="296">
        <f t="shared" si="0"/>
        <v>1000000</v>
      </c>
      <c r="E13" s="296">
        <v>1000000</v>
      </c>
      <c r="F13" s="296"/>
      <c r="G13" s="336"/>
      <c r="H13" s="338">
        <f>H14</f>
        <v>100000</v>
      </c>
      <c r="I13" s="337">
        <f t="shared" si="1"/>
        <v>1100000</v>
      </c>
      <c r="J13" s="296">
        <f t="shared" si="2"/>
        <v>1100000</v>
      </c>
      <c r="K13" s="296"/>
      <c r="L13" s="296"/>
      <c r="M13" s="9"/>
      <c r="N13" s="9"/>
    </row>
    <row r="14" spans="1:14" s="1" customFormat="1" ht="19.5" customHeight="1">
      <c r="A14" s="335"/>
      <c r="B14" s="335"/>
      <c r="C14" s="299" t="s">
        <v>152</v>
      </c>
      <c r="D14" s="299">
        <f t="shared" si="0"/>
        <v>1000000</v>
      </c>
      <c r="E14" s="299">
        <v>1000000</v>
      </c>
      <c r="F14" s="299"/>
      <c r="G14" s="350"/>
      <c r="H14" s="377">
        <v>100000</v>
      </c>
      <c r="I14" s="376">
        <f t="shared" si="1"/>
        <v>1100000</v>
      </c>
      <c r="J14" s="299">
        <f t="shared" si="2"/>
        <v>1100000</v>
      </c>
      <c r="K14" s="299"/>
      <c r="L14" s="299"/>
      <c r="M14" s="8"/>
      <c r="N14" s="8"/>
    </row>
    <row r="15" spans="1:14" s="1" customFormat="1" ht="25.5" customHeight="1" thickBot="1">
      <c r="A15" s="453">
        <v>754</v>
      </c>
      <c r="B15" s="453"/>
      <c r="C15" s="454" t="s">
        <v>120</v>
      </c>
      <c r="D15" s="454">
        <f t="shared" si="0"/>
        <v>1201580</v>
      </c>
      <c r="E15" s="454">
        <v>951580</v>
      </c>
      <c r="F15" s="454">
        <v>250000</v>
      </c>
      <c r="G15" s="455"/>
      <c r="H15" s="456">
        <f>H16+H18</f>
        <v>-45039</v>
      </c>
      <c r="I15" s="457">
        <f t="shared" si="1"/>
        <v>1156541</v>
      </c>
      <c r="J15" s="454">
        <f t="shared" si="2"/>
        <v>906541</v>
      </c>
      <c r="K15" s="454">
        <f>F15</f>
        <v>250000</v>
      </c>
      <c r="L15" s="454"/>
      <c r="M15" s="8"/>
      <c r="N15" s="8"/>
    </row>
    <row r="16" spans="1:14" s="17" customFormat="1" ht="19.5" customHeight="1">
      <c r="A16" s="333"/>
      <c r="B16" s="463">
        <v>75416</v>
      </c>
      <c r="C16" s="296" t="s">
        <v>119</v>
      </c>
      <c r="D16" s="296">
        <f t="shared" si="0"/>
        <v>171700</v>
      </c>
      <c r="E16" s="296">
        <v>171700</v>
      </c>
      <c r="F16" s="296"/>
      <c r="G16" s="336"/>
      <c r="H16" s="338">
        <f>H17</f>
        <v>-6500</v>
      </c>
      <c r="I16" s="337">
        <f t="shared" si="1"/>
        <v>165200</v>
      </c>
      <c r="J16" s="296">
        <f t="shared" si="2"/>
        <v>165200</v>
      </c>
      <c r="K16" s="296"/>
      <c r="L16" s="296"/>
      <c r="M16" s="9"/>
      <c r="N16" s="9"/>
    </row>
    <row r="17" spans="1:14" s="1" customFormat="1" ht="19.5" customHeight="1">
      <c r="A17" s="365"/>
      <c r="B17" s="335"/>
      <c r="C17" s="299" t="s">
        <v>5</v>
      </c>
      <c r="D17" s="299">
        <f t="shared" si="0"/>
        <v>171700</v>
      </c>
      <c r="E17" s="299">
        <v>171700</v>
      </c>
      <c r="F17" s="299"/>
      <c r="G17" s="350"/>
      <c r="H17" s="377">
        <v>-6500</v>
      </c>
      <c r="I17" s="376">
        <f t="shared" si="1"/>
        <v>165200</v>
      </c>
      <c r="J17" s="299">
        <f t="shared" si="2"/>
        <v>165200</v>
      </c>
      <c r="K17" s="299"/>
      <c r="L17" s="299"/>
      <c r="M17" s="8"/>
      <c r="N17" s="8"/>
    </row>
    <row r="18" spans="1:14" s="1" customFormat="1" ht="21.75" customHeight="1">
      <c r="A18" s="333"/>
      <c r="B18" s="427">
        <v>75495</v>
      </c>
      <c r="C18" s="296" t="s">
        <v>50</v>
      </c>
      <c r="D18" s="296">
        <f t="shared" si="0"/>
        <v>240000</v>
      </c>
      <c r="E18" s="296">
        <v>240000</v>
      </c>
      <c r="F18" s="296"/>
      <c r="G18" s="336"/>
      <c r="H18" s="338">
        <f>H19</f>
        <v>-38539</v>
      </c>
      <c r="I18" s="337">
        <f t="shared" si="1"/>
        <v>201461</v>
      </c>
      <c r="J18" s="296">
        <f t="shared" si="2"/>
        <v>201461</v>
      </c>
      <c r="K18" s="296"/>
      <c r="L18" s="296"/>
      <c r="M18" s="8"/>
      <c r="N18" s="8"/>
    </row>
    <row r="19" spans="1:14" s="1" customFormat="1" ht="26.25" customHeight="1">
      <c r="A19" s="335"/>
      <c r="B19" s="335"/>
      <c r="C19" s="299" t="s">
        <v>121</v>
      </c>
      <c r="D19" s="299">
        <f t="shared" si="0"/>
        <v>80000</v>
      </c>
      <c r="E19" s="299">
        <v>80000</v>
      </c>
      <c r="F19" s="299"/>
      <c r="G19" s="350"/>
      <c r="H19" s="377">
        <v>-38539</v>
      </c>
      <c r="I19" s="376">
        <f t="shared" si="1"/>
        <v>41461</v>
      </c>
      <c r="J19" s="299">
        <f t="shared" si="2"/>
        <v>41461</v>
      </c>
      <c r="K19" s="299"/>
      <c r="L19" s="299"/>
      <c r="M19" s="8"/>
      <c r="N19" s="8"/>
    </row>
    <row r="20" spans="1:14" s="1" customFormat="1" ht="19.5" customHeight="1" thickBot="1">
      <c r="A20" s="340">
        <v>851</v>
      </c>
      <c r="B20" s="341"/>
      <c r="C20" s="393" t="s">
        <v>153</v>
      </c>
      <c r="D20" s="393">
        <f t="shared" si="0"/>
        <v>1671850</v>
      </c>
      <c r="E20" s="393">
        <v>1671850</v>
      </c>
      <c r="F20" s="393"/>
      <c r="G20" s="401"/>
      <c r="H20" s="396">
        <f>H21</f>
        <v>400000</v>
      </c>
      <c r="I20" s="402">
        <f t="shared" si="1"/>
        <v>2071850</v>
      </c>
      <c r="J20" s="393">
        <f t="shared" si="2"/>
        <v>2071850</v>
      </c>
      <c r="K20" s="393"/>
      <c r="L20" s="393"/>
      <c r="M20" s="8"/>
      <c r="N20" s="8"/>
    </row>
    <row r="21" spans="1:14" s="1" customFormat="1" ht="19.5" customHeight="1">
      <c r="A21" s="333"/>
      <c r="B21" s="334">
        <v>85154</v>
      </c>
      <c r="C21" s="296" t="s">
        <v>104</v>
      </c>
      <c r="D21" s="296">
        <f t="shared" si="0"/>
        <v>1108000</v>
      </c>
      <c r="E21" s="296">
        <v>1108000</v>
      </c>
      <c r="F21" s="296"/>
      <c r="G21" s="336"/>
      <c r="H21" s="366">
        <f>H22</f>
        <v>400000</v>
      </c>
      <c r="I21" s="337">
        <f t="shared" si="1"/>
        <v>1508000</v>
      </c>
      <c r="J21" s="296">
        <f t="shared" si="2"/>
        <v>1508000</v>
      </c>
      <c r="K21" s="296"/>
      <c r="L21" s="296"/>
      <c r="M21" s="8"/>
      <c r="N21" s="8"/>
    </row>
    <row r="22" spans="1:14" s="1" customFormat="1" ht="23.25" customHeight="1" thickBot="1">
      <c r="A22" s="394"/>
      <c r="B22" s="394"/>
      <c r="C22" s="395" t="s">
        <v>154</v>
      </c>
      <c r="D22" s="395">
        <f t="shared" si="0"/>
        <v>1000000</v>
      </c>
      <c r="E22" s="395">
        <v>1000000</v>
      </c>
      <c r="F22" s="395"/>
      <c r="G22" s="436"/>
      <c r="H22" s="339">
        <v>400000</v>
      </c>
      <c r="I22" s="437">
        <f t="shared" si="1"/>
        <v>1400000</v>
      </c>
      <c r="J22" s="395">
        <f t="shared" si="2"/>
        <v>1400000</v>
      </c>
      <c r="K22" s="395"/>
      <c r="L22" s="395"/>
      <c r="M22" s="8"/>
      <c r="N22" s="8"/>
    </row>
    <row r="23" spans="1:14" s="1" customFormat="1" ht="19.5" customHeight="1" thickBot="1">
      <c r="A23" s="340">
        <v>921</v>
      </c>
      <c r="B23" s="341"/>
      <c r="C23" s="393" t="s">
        <v>105</v>
      </c>
      <c r="D23" s="393">
        <f t="shared" si="0"/>
        <v>1079562</v>
      </c>
      <c r="E23" s="393">
        <v>1079562</v>
      </c>
      <c r="F23" s="393"/>
      <c r="G23" s="401"/>
      <c r="H23" s="396">
        <f>H24</f>
        <v>-14305</v>
      </c>
      <c r="I23" s="402">
        <f t="shared" si="1"/>
        <v>1065257</v>
      </c>
      <c r="J23" s="393">
        <f t="shared" si="2"/>
        <v>1065257</v>
      </c>
      <c r="K23" s="393"/>
      <c r="L23" s="393"/>
      <c r="M23" s="8"/>
      <c r="N23" s="8"/>
    </row>
    <row r="24" spans="1:14" s="1" customFormat="1" ht="19.5" customHeight="1">
      <c r="A24" s="333"/>
      <c r="B24" s="334">
        <v>92116</v>
      </c>
      <c r="C24" s="296" t="s">
        <v>225</v>
      </c>
      <c r="D24" s="296">
        <f t="shared" si="0"/>
        <v>140000</v>
      </c>
      <c r="E24" s="296">
        <v>140000</v>
      </c>
      <c r="F24" s="296"/>
      <c r="G24" s="336"/>
      <c r="H24" s="366">
        <f>H25</f>
        <v>-14305</v>
      </c>
      <c r="I24" s="337">
        <f t="shared" si="1"/>
        <v>125695</v>
      </c>
      <c r="J24" s="296">
        <f t="shared" si="2"/>
        <v>125695</v>
      </c>
      <c r="K24" s="296"/>
      <c r="L24" s="296"/>
      <c r="M24" s="8"/>
      <c r="N24" s="8"/>
    </row>
    <row r="25" spans="1:14" s="1" customFormat="1" ht="56.25" customHeight="1" thickBot="1">
      <c r="A25" s="365"/>
      <c r="B25" s="365"/>
      <c r="C25" s="395" t="s">
        <v>201</v>
      </c>
      <c r="D25" s="395">
        <f t="shared" si="0"/>
        <v>140000</v>
      </c>
      <c r="E25" s="395">
        <v>140000</v>
      </c>
      <c r="F25" s="395"/>
      <c r="G25" s="436"/>
      <c r="H25" s="339">
        <v>-14305</v>
      </c>
      <c r="I25" s="437">
        <f t="shared" si="1"/>
        <v>125695</v>
      </c>
      <c r="J25" s="395">
        <f t="shared" si="2"/>
        <v>125695</v>
      </c>
      <c r="K25" s="395"/>
      <c r="L25" s="395"/>
      <c r="M25" s="8"/>
      <c r="N25" s="8"/>
    </row>
    <row r="26" spans="1:14" s="1" customFormat="1" ht="28.5" customHeight="1" thickBot="1">
      <c r="A26" s="163"/>
      <c r="B26" s="362"/>
      <c r="C26" s="196" t="s">
        <v>3</v>
      </c>
      <c r="D26" s="464">
        <f t="shared" si="0"/>
        <v>39450</v>
      </c>
      <c r="E26" s="464"/>
      <c r="F26" s="464">
        <v>34514</v>
      </c>
      <c r="G26" s="465">
        <v>4936</v>
      </c>
      <c r="H26" s="466"/>
      <c r="I26" s="467">
        <f t="shared" si="1"/>
        <v>39450</v>
      </c>
      <c r="J26" s="464"/>
      <c r="K26" s="464">
        <f>F26</f>
        <v>34514</v>
      </c>
      <c r="L26" s="464">
        <f>G26</f>
        <v>4936</v>
      </c>
      <c r="M26" s="8"/>
      <c r="N26" s="8"/>
    </row>
    <row r="27" spans="1:12" ht="19.5" customHeight="1" thickBot="1" thickTop="1">
      <c r="A27" s="158"/>
      <c r="B27" s="158"/>
      <c r="C27" s="196" t="s">
        <v>155</v>
      </c>
      <c r="D27" s="197">
        <f t="shared" si="0"/>
        <v>646000</v>
      </c>
      <c r="E27" s="197"/>
      <c r="F27" s="197"/>
      <c r="G27" s="310">
        <v>646000</v>
      </c>
      <c r="H27" s="198"/>
      <c r="I27" s="199">
        <f t="shared" si="1"/>
        <v>646000</v>
      </c>
      <c r="J27" s="197"/>
      <c r="K27" s="197"/>
      <c r="L27" s="197">
        <f>G27</f>
        <v>646000</v>
      </c>
    </row>
    <row r="28" ht="9" customHeight="1" thickTop="1"/>
    <row r="29" s="373" customFormat="1" ht="19.5" customHeight="1"/>
    <row r="30" s="373" customFormat="1" ht="19.5" customHeight="1">
      <c r="C30" s="374"/>
    </row>
    <row r="31" s="286" customFormat="1" ht="19.5" customHeight="1">
      <c r="C31" s="1" t="s">
        <v>254</v>
      </c>
    </row>
    <row r="32" s="286" customFormat="1" ht="12.75">
      <c r="C32" s="1" t="s">
        <v>255</v>
      </c>
    </row>
    <row r="33" s="286" customFormat="1" ht="12.75">
      <c r="C33" s="1" t="s">
        <v>256</v>
      </c>
    </row>
    <row r="34" s="286" customFormat="1" ht="12.75">
      <c r="C34" s="287"/>
    </row>
    <row r="35" ht="12.75">
      <c r="B35" s="286"/>
    </row>
    <row r="36" ht="12.75">
      <c r="B36" s="286"/>
    </row>
  </sheetData>
  <mergeCells count="1">
    <mergeCell ref="D6:D7"/>
  </mergeCells>
  <printOptions horizontalCentered="1"/>
  <pageMargins left="0.3937007874015748" right="0.3937007874015748" top="0.4330708661417323" bottom="0.3937007874015748" header="0.31496062992125984" footer="0.1968503937007874"/>
  <pageSetup firstPageNumber="10" useFirstPageNumber="1" horizontalDpi="300" verticalDpi="3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26"/>
  <sheetViews>
    <sheetView zoomScaleSheetLayoutView="75" workbookViewId="0" topLeftCell="A1">
      <selection activeCell="C2" sqref="C2"/>
    </sheetView>
  </sheetViews>
  <sheetFormatPr defaultColWidth="9.00390625" defaultRowHeight="12.75"/>
  <cols>
    <col min="1" max="1" width="8.625" style="1" customWidth="1"/>
    <col min="2" max="2" width="9.625" style="1" customWidth="1"/>
    <col min="3" max="3" width="70.00390625" style="1" customWidth="1"/>
    <col min="4" max="4" width="21.25390625" style="1" bestFit="1" customWidth="1"/>
    <col min="5" max="5" width="15.75390625" style="1" hidden="1" customWidth="1"/>
    <col min="6" max="7" width="18.75390625" style="1" customWidth="1"/>
    <col min="8" max="8" width="11.375" style="1" customWidth="1"/>
    <col min="9" max="9" width="9.125" style="1" customWidth="1"/>
    <col min="10" max="16384" width="7.875" style="1" customWidth="1"/>
  </cols>
  <sheetData>
    <row r="1" spans="1:7" ht="12.75" customHeight="1">
      <c r="A1" s="214"/>
      <c r="B1" s="214"/>
      <c r="C1" s="214"/>
      <c r="D1" s="214"/>
      <c r="E1" s="215"/>
      <c r="F1" s="215" t="s">
        <v>88</v>
      </c>
      <c r="G1" s="215"/>
    </row>
    <row r="2" spans="1:7" ht="12.75" customHeight="1">
      <c r="A2" s="214"/>
      <c r="B2" s="214"/>
      <c r="C2" s="214"/>
      <c r="D2" s="214"/>
      <c r="E2" s="214"/>
      <c r="F2" s="1" t="s">
        <v>239</v>
      </c>
      <c r="G2" s="214"/>
    </row>
    <row r="3" spans="1:7" ht="15" customHeight="1">
      <c r="A3" s="214"/>
      <c r="B3" s="214"/>
      <c r="C3" s="216" t="s">
        <v>84</v>
      </c>
      <c r="D3" s="214"/>
      <c r="E3" s="215"/>
      <c r="F3" s="1" t="s">
        <v>33</v>
      </c>
      <c r="G3" s="214"/>
    </row>
    <row r="4" spans="1:7" ht="12.75" customHeight="1">
      <c r="A4" s="214"/>
      <c r="B4" s="214"/>
      <c r="C4" s="214"/>
      <c r="D4" s="214"/>
      <c r="E4" s="215"/>
      <c r="F4" s="1" t="s">
        <v>196</v>
      </c>
      <c r="G4" s="214"/>
    </row>
    <row r="5" spans="1:7" ht="12.75" customHeight="1">
      <c r="A5" s="214"/>
      <c r="B5" s="214"/>
      <c r="C5" s="214"/>
      <c r="D5" s="214"/>
      <c r="E5" s="214"/>
      <c r="F5" s="214"/>
      <c r="G5" s="214"/>
    </row>
    <row r="6" spans="1:7" ht="12.75" customHeight="1" thickBot="1">
      <c r="A6" s="214"/>
      <c r="B6" s="214"/>
      <c r="C6" s="214"/>
      <c r="D6" s="217"/>
      <c r="E6" s="217"/>
      <c r="F6" s="217"/>
      <c r="G6" s="218" t="s">
        <v>35</v>
      </c>
    </row>
    <row r="7" spans="1:7" ht="10.5" customHeight="1" thickTop="1">
      <c r="A7" s="73"/>
      <c r="B7" s="73"/>
      <c r="C7" s="73"/>
      <c r="D7" s="643" t="s">
        <v>89</v>
      </c>
      <c r="E7" s="219"/>
      <c r="F7" s="219"/>
      <c r="G7" s="219"/>
    </row>
    <row r="8" spans="1:7" ht="57.75" customHeight="1" thickBot="1">
      <c r="A8" s="220" t="s">
        <v>64</v>
      </c>
      <c r="B8" s="220" t="s">
        <v>37</v>
      </c>
      <c r="C8" s="221" t="s">
        <v>72</v>
      </c>
      <c r="D8" s="645"/>
      <c r="E8" s="222" t="s">
        <v>40</v>
      </c>
      <c r="F8" s="222" t="s">
        <v>12</v>
      </c>
      <c r="G8" s="222" t="s">
        <v>41</v>
      </c>
    </row>
    <row r="9" spans="1:7" ht="11.25" customHeight="1" thickBot="1" thickTop="1">
      <c r="A9" s="223">
        <v>1</v>
      </c>
      <c r="B9" s="223">
        <v>2</v>
      </c>
      <c r="C9" s="223">
        <v>3</v>
      </c>
      <c r="D9" s="212">
        <v>4</v>
      </c>
      <c r="E9" s="212">
        <v>5</v>
      </c>
      <c r="F9" s="212">
        <v>5</v>
      </c>
      <c r="G9" s="212">
        <v>6</v>
      </c>
    </row>
    <row r="10" spans="1:9" ht="23.25" customHeight="1" thickBot="1" thickTop="1">
      <c r="A10" s="169"/>
      <c r="B10" s="169"/>
      <c r="C10" s="224" t="s">
        <v>149</v>
      </c>
      <c r="D10" s="225">
        <v>15373266</v>
      </c>
      <c r="E10" s="225"/>
      <c r="F10" s="225">
        <f>F12</f>
        <v>-100000</v>
      </c>
      <c r="G10" s="225">
        <f>D10+F10</f>
        <v>15273266</v>
      </c>
      <c r="H10" s="8"/>
      <c r="I10" s="8"/>
    </row>
    <row r="11" spans="1:7" ht="14.25" customHeight="1" thickTop="1">
      <c r="A11" s="91"/>
      <c r="B11" s="91"/>
      <c r="C11" s="226"/>
      <c r="D11" s="227"/>
      <c r="E11" s="227"/>
      <c r="F11" s="227"/>
      <c r="G11" s="227"/>
    </row>
    <row r="12" spans="1:7" s="11" customFormat="1" ht="15" customHeight="1" thickBot="1">
      <c r="A12" s="106"/>
      <c r="B12" s="106"/>
      <c r="C12" s="114" t="s">
        <v>73</v>
      </c>
      <c r="D12" s="99">
        <v>14901726</v>
      </c>
      <c r="E12" s="99"/>
      <c r="F12" s="99">
        <f>F13</f>
        <v>-100000</v>
      </c>
      <c r="G12" s="99">
        <f aca="true" t="shared" si="0" ref="G12:G17">D12+F12</f>
        <v>14801726</v>
      </c>
    </row>
    <row r="13" spans="1:7" s="11" customFormat="1" ht="19.5" customHeight="1" thickTop="1">
      <c r="A13" s="265">
        <v>700</v>
      </c>
      <c r="B13" s="389"/>
      <c r="C13" s="240" t="s">
        <v>95</v>
      </c>
      <c r="D13" s="411">
        <v>5304000</v>
      </c>
      <c r="E13" s="411"/>
      <c r="F13" s="411">
        <f>F14</f>
        <v>-100000</v>
      </c>
      <c r="G13" s="411">
        <f t="shared" si="0"/>
        <v>5204000</v>
      </c>
    </row>
    <row r="14" spans="1:7" s="11" customFormat="1" ht="19.5" customHeight="1">
      <c r="A14" s="260"/>
      <c r="B14" s="259">
        <v>70001</v>
      </c>
      <c r="C14" s="257" t="s">
        <v>147</v>
      </c>
      <c r="D14" s="379">
        <v>5200000</v>
      </c>
      <c r="E14" s="379"/>
      <c r="F14" s="379">
        <f>F15</f>
        <v>-100000</v>
      </c>
      <c r="G14" s="379">
        <f t="shared" si="0"/>
        <v>5100000</v>
      </c>
    </row>
    <row r="15" spans="1:7" s="11" customFormat="1" ht="19.5" customHeight="1">
      <c r="A15" s="105"/>
      <c r="B15" s="260"/>
      <c r="C15" s="410" t="s">
        <v>148</v>
      </c>
      <c r="D15" s="412">
        <v>2454954</v>
      </c>
      <c r="E15" s="412"/>
      <c r="F15" s="412">
        <v>-100000</v>
      </c>
      <c r="G15" s="412">
        <f t="shared" si="0"/>
        <v>2354954</v>
      </c>
    </row>
    <row r="16" spans="1:7" s="11" customFormat="1" ht="25.5" customHeight="1" thickBot="1">
      <c r="A16" s="105"/>
      <c r="B16" s="105"/>
      <c r="C16" s="117" t="s">
        <v>3</v>
      </c>
      <c r="D16" s="157">
        <v>2000</v>
      </c>
      <c r="E16" s="157"/>
      <c r="F16" s="157"/>
      <c r="G16" s="99">
        <f t="shared" si="0"/>
        <v>2000</v>
      </c>
    </row>
    <row r="17" spans="1:7" s="116" customFormat="1" ht="19.5" customHeight="1" thickBot="1" thickTop="1">
      <c r="A17" s="158"/>
      <c r="B17" s="158"/>
      <c r="C17" s="154" t="s">
        <v>31</v>
      </c>
      <c r="D17" s="275">
        <v>469540</v>
      </c>
      <c r="E17" s="275"/>
      <c r="F17" s="275"/>
      <c r="G17" s="275">
        <f t="shared" si="0"/>
        <v>469540</v>
      </c>
    </row>
    <row r="18" s="123" customFormat="1" ht="18" customHeight="1" thickTop="1">
      <c r="C18" s="68"/>
    </row>
    <row r="24" ht="12.75">
      <c r="C24" s="1" t="s">
        <v>254</v>
      </c>
    </row>
    <row r="25" ht="12.75">
      <c r="C25" s="1" t="s">
        <v>255</v>
      </c>
    </row>
    <row r="26" ht="12.75">
      <c r="C26" s="1" t="s">
        <v>256</v>
      </c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11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69"/>
  <sheetViews>
    <sheetView workbookViewId="0" topLeftCell="C1">
      <selection activeCell="D6" sqref="D6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7.125" style="0" customWidth="1"/>
    <col min="4" max="4" width="13.25390625" style="0" customWidth="1"/>
    <col min="5" max="5" width="14.625" style="0" customWidth="1"/>
    <col min="6" max="6" width="12.25390625" style="0" customWidth="1"/>
    <col min="7" max="7" width="13.25390625" style="0" customWidth="1"/>
    <col min="8" max="8" width="24.875" style="0" hidden="1" customWidth="1"/>
    <col min="9" max="9" width="14.375" style="0" customWidth="1"/>
    <col min="10" max="10" width="17.375" style="0" customWidth="1"/>
    <col min="11" max="11" width="13.125" style="0" customWidth="1"/>
    <col min="12" max="12" width="14.875" style="0" customWidth="1"/>
    <col min="13" max="13" width="11.875" style="0" customWidth="1"/>
    <col min="14" max="14" width="12.75390625" style="0" customWidth="1"/>
    <col min="15" max="15" width="14.875" style="0" customWidth="1"/>
  </cols>
  <sheetData>
    <row r="1" spans="1:12" s="471" customFormat="1" ht="13.5" customHeight="1">
      <c r="A1" s="468"/>
      <c r="B1" s="469"/>
      <c r="C1" s="470"/>
      <c r="H1" s="472"/>
      <c r="I1" s="472"/>
      <c r="J1" s="472"/>
      <c r="L1" s="471" t="s">
        <v>156</v>
      </c>
    </row>
    <row r="2" spans="1:12" s="471" customFormat="1" ht="18">
      <c r="A2" s="468"/>
      <c r="B2" s="469"/>
      <c r="C2" s="473" t="s">
        <v>157</v>
      </c>
      <c r="D2" s="474"/>
      <c r="E2" s="475"/>
      <c r="F2" s="475"/>
      <c r="G2" s="475"/>
      <c r="H2" s="476"/>
      <c r="I2" s="476"/>
      <c r="J2" s="476"/>
      <c r="L2" s="471" t="s">
        <v>240</v>
      </c>
    </row>
    <row r="3" spans="1:12" s="471" customFormat="1" ht="18">
      <c r="A3" s="468"/>
      <c r="C3" s="473" t="s">
        <v>158</v>
      </c>
      <c r="D3" s="477"/>
      <c r="E3" s="477"/>
      <c r="F3" s="477"/>
      <c r="G3" s="477"/>
      <c r="H3" s="476"/>
      <c r="I3" s="476"/>
      <c r="J3" s="476"/>
      <c r="L3" s="471" t="s">
        <v>182</v>
      </c>
    </row>
    <row r="4" spans="1:12" s="471" customFormat="1" ht="14.25" customHeight="1">
      <c r="A4" s="468"/>
      <c r="B4" s="469"/>
      <c r="C4" s="470"/>
      <c r="D4" s="474"/>
      <c r="E4" s="475"/>
      <c r="F4" s="475"/>
      <c r="G4" s="475"/>
      <c r="H4" s="476"/>
      <c r="I4" s="476"/>
      <c r="J4" s="476"/>
      <c r="L4" s="471" t="s">
        <v>204</v>
      </c>
    </row>
    <row r="5" spans="1:14" s="471" customFormat="1" ht="9.75" customHeight="1">
      <c r="A5" s="468"/>
      <c r="B5" s="469"/>
      <c r="C5" s="470"/>
      <c r="D5" s="474"/>
      <c r="E5" s="475"/>
      <c r="F5" s="475"/>
      <c r="G5" s="475"/>
      <c r="H5" s="476"/>
      <c r="I5" s="476"/>
      <c r="J5" s="476"/>
      <c r="M5" s="475"/>
      <c r="N5" s="475"/>
    </row>
    <row r="6" spans="1:15" s="471" customFormat="1" ht="15" customHeight="1" thickBot="1">
      <c r="A6" s="478"/>
      <c r="B6" s="479"/>
      <c r="C6" s="480"/>
      <c r="D6" s="481"/>
      <c r="E6" s="481"/>
      <c r="F6" s="481"/>
      <c r="G6" s="481"/>
      <c r="H6" s="482"/>
      <c r="I6" s="482"/>
      <c r="J6" s="482"/>
      <c r="K6" s="481"/>
      <c r="L6" s="481"/>
      <c r="M6" s="481"/>
      <c r="N6" s="481"/>
      <c r="O6" s="483" t="s">
        <v>159</v>
      </c>
    </row>
    <row r="7" spans="1:39" s="474" customFormat="1" ht="81.75" customHeight="1" thickBot="1" thickTop="1">
      <c r="A7" s="484"/>
      <c r="B7" s="485"/>
      <c r="C7" s="486"/>
      <c r="D7" s="646" t="s">
        <v>160</v>
      </c>
      <c r="E7" s="647"/>
      <c r="F7" s="487"/>
      <c r="G7" s="646" t="s">
        <v>161</v>
      </c>
      <c r="H7" s="648"/>
      <c r="I7" s="647"/>
      <c r="J7" s="488"/>
      <c r="K7" s="646" t="s">
        <v>162</v>
      </c>
      <c r="L7" s="647"/>
      <c r="M7" s="487"/>
      <c r="N7" s="649" t="s">
        <v>163</v>
      </c>
      <c r="O7" s="650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</row>
    <row r="8" spans="1:39" s="497" customFormat="1" ht="39" customHeight="1" thickBot="1" thickTop="1">
      <c r="A8" s="489" t="s">
        <v>64</v>
      </c>
      <c r="B8" s="490" t="s">
        <v>37</v>
      </c>
      <c r="C8" s="491" t="s">
        <v>23</v>
      </c>
      <c r="D8" s="492" t="s">
        <v>231</v>
      </c>
      <c r="E8" s="493" t="s">
        <v>164</v>
      </c>
      <c r="F8" s="494" t="s">
        <v>12</v>
      </c>
      <c r="G8" s="494" t="s">
        <v>231</v>
      </c>
      <c r="H8" s="494" t="s">
        <v>165</v>
      </c>
      <c r="I8" s="495" t="s">
        <v>166</v>
      </c>
      <c r="J8" s="494" t="s">
        <v>167</v>
      </c>
      <c r="K8" s="496" t="s">
        <v>231</v>
      </c>
      <c r="L8" s="493" t="s">
        <v>168</v>
      </c>
      <c r="M8" s="494" t="s">
        <v>12</v>
      </c>
      <c r="N8" s="494" t="s">
        <v>231</v>
      </c>
      <c r="O8" s="493" t="s">
        <v>168</v>
      </c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</row>
    <row r="9" spans="1:39" s="502" customFormat="1" ht="14.25" thickBot="1" thickTop="1">
      <c r="A9" s="498">
        <v>1</v>
      </c>
      <c r="B9" s="499">
        <v>2</v>
      </c>
      <c r="C9" s="500">
        <v>3</v>
      </c>
      <c r="D9" s="498">
        <v>4</v>
      </c>
      <c r="E9" s="498">
        <v>5</v>
      </c>
      <c r="F9" s="498">
        <v>6</v>
      </c>
      <c r="G9" s="498">
        <v>7</v>
      </c>
      <c r="H9" s="501">
        <v>6</v>
      </c>
      <c r="I9" s="501">
        <v>8</v>
      </c>
      <c r="J9" s="501">
        <v>9</v>
      </c>
      <c r="K9" s="498">
        <v>10</v>
      </c>
      <c r="L9" s="498">
        <v>11</v>
      </c>
      <c r="M9" s="498">
        <v>12</v>
      </c>
      <c r="N9" s="498">
        <v>13</v>
      </c>
      <c r="O9" s="498">
        <v>14</v>
      </c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</row>
    <row r="10" spans="1:39" s="509" customFormat="1" ht="30.75" customHeight="1" thickTop="1">
      <c r="A10" s="503"/>
      <c r="B10" s="504"/>
      <c r="C10" s="505" t="s">
        <v>169</v>
      </c>
      <c r="D10" s="506">
        <v>76791089</v>
      </c>
      <c r="E10" s="506">
        <v>7408130</v>
      </c>
      <c r="F10" s="507">
        <f>F11</f>
        <v>-100000</v>
      </c>
      <c r="G10" s="507">
        <f>D10+F10</f>
        <v>76691089</v>
      </c>
      <c r="H10" s="508"/>
      <c r="I10" s="506">
        <f>E10+F10</f>
        <v>7308130</v>
      </c>
      <c r="J10" s="627"/>
      <c r="K10" s="506">
        <v>76219198</v>
      </c>
      <c r="L10" s="506">
        <v>6840409</v>
      </c>
      <c r="M10" s="507">
        <f>M11</f>
        <v>-100000</v>
      </c>
      <c r="N10" s="506">
        <f>M10+K10</f>
        <v>76119198</v>
      </c>
      <c r="O10" s="506">
        <f>L10</f>
        <v>6840409</v>
      </c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</row>
    <row r="11" spans="1:39" s="513" customFormat="1" ht="24" customHeight="1">
      <c r="A11" s="566"/>
      <c r="B11" s="567"/>
      <c r="C11" s="510" t="s">
        <v>170</v>
      </c>
      <c r="D11" s="511">
        <v>74093842</v>
      </c>
      <c r="E11" s="511">
        <v>7055000</v>
      </c>
      <c r="F11" s="511">
        <f>F12</f>
        <v>-100000</v>
      </c>
      <c r="G11" s="511">
        <f>D11+F11</f>
        <v>73993842</v>
      </c>
      <c r="H11" s="512"/>
      <c r="I11" s="511">
        <f>E11+F11</f>
        <v>6955000</v>
      </c>
      <c r="J11" s="625"/>
      <c r="K11" s="511">
        <v>73521186</v>
      </c>
      <c r="L11" s="511">
        <v>5908400</v>
      </c>
      <c r="M11" s="511">
        <f>M12</f>
        <v>-100000</v>
      </c>
      <c r="N11" s="511">
        <f aca="true" t="shared" si="0" ref="N11:N25">M11+K11</f>
        <v>73421186</v>
      </c>
      <c r="O11" s="511">
        <f>L11</f>
        <v>5908400</v>
      </c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</row>
    <row r="12" spans="1:39" s="470" customFormat="1" ht="24" customHeight="1">
      <c r="A12" s="511">
        <v>700</v>
      </c>
      <c r="B12" s="568">
        <v>70001</v>
      </c>
      <c r="C12" s="510" t="s">
        <v>173</v>
      </c>
      <c r="D12" s="511">
        <v>68452000</v>
      </c>
      <c r="E12" s="511">
        <v>5200000</v>
      </c>
      <c r="F12" s="511">
        <v>-100000</v>
      </c>
      <c r="G12" s="511">
        <f>D12+F12</f>
        <v>68352000</v>
      </c>
      <c r="H12" s="512"/>
      <c r="I12" s="511">
        <f>E12+F12</f>
        <v>5100000</v>
      </c>
      <c r="J12" s="626" t="s">
        <v>183</v>
      </c>
      <c r="K12" s="511">
        <v>67955536</v>
      </c>
      <c r="L12" s="511">
        <v>3306000</v>
      </c>
      <c r="M12" s="511">
        <v>-100000</v>
      </c>
      <c r="N12" s="511">
        <f>K12+M12</f>
        <v>67855536</v>
      </c>
      <c r="O12" s="511">
        <f>L12</f>
        <v>3306000</v>
      </c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</row>
    <row r="13" spans="1:39" s="518" customFormat="1" ht="24" customHeight="1">
      <c r="A13" s="514"/>
      <c r="B13" s="515"/>
      <c r="C13" s="516" t="s">
        <v>171</v>
      </c>
      <c r="D13" s="511">
        <v>2697247</v>
      </c>
      <c r="E13" s="511">
        <v>353130</v>
      </c>
      <c r="F13" s="511"/>
      <c r="G13" s="511">
        <f>D13+F13</f>
        <v>2697247</v>
      </c>
      <c r="H13" s="517"/>
      <c r="I13" s="511">
        <f>E13</f>
        <v>353130</v>
      </c>
      <c r="J13" s="628"/>
      <c r="K13" s="511">
        <v>2698012</v>
      </c>
      <c r="L13" s="511">
        <v>932009</v>
      </c>
      <c r="M13" s="511"/>
      <c r="N13" s="511">
        <f t="shared" si="0"/>
        <v>2698012</v>
      </c>
      <c r="O13" s="511">
        <f>L13</f>
        <v>932009</v>
      </c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</row>
    <row r="14" spans="1:15" s="471" customFormat="1" ht="23.25" customHeight="1">
      <c r="A14" s="519"/>
      <c r="B14" s="520"/>
      <c r="C14" s="521" t="s">
        <v>172</v>
      </c>
      <c r="D14" s="522"/>
      <c r="E14" s="506">
        <v>12014000</v>
      </c>
      <c r="F14" s="506">
        <f>F15</f>
        <v>100000</v>
      </c>
      <c r="G14" s="506"/>
      <c r="H14" s="523"/>
      <c r="I14" s="506">
        <f>E14+F14</f>
        <v>12114000</v>
      </c>
      <c r="J14" s="524"/>
      <c r="K14" s="506">
        <v>12014000</v>
      </c>
      <c r="L14" s="523"/>
      <c r="M14" s="506">
        <f>M15</f>
        <v>100000</v>
      </c>
      <c r="N14" s="506">
        <f>M14+K14</f>
        <v>12114000</v>
      </c>
      <c r="O14" s="523"/>
    </row>
    <row r="15" spans="1:15" s="471" customFormat="1" ht="23.25" customHeight="1">
      <c r="A15" s="525">
        <v>700</v>
      </c>
      <c r="B15" s="526">
        <v>70001</v>
      </c>
      <c r="C15" s="527" t="s">
        <v>173</v>
      </c>
      <c r="D15" s="525"/>
      <c r="E15" s="528">
        <v>1000000</v>
      </c>
      <c r="F15" s="528">
        <v>100000</v>
      </c>
      <c r="G15" s="529"/>
      <c r="H15" s="530"/>
      <c r="I15" s="528">
        <f>E15+F15</f>
        <v>1100000</v>
      </c>
      <c r="J15" s="629" t="s">
        <v>184</v>
      </c>
      <c r="K15" s="525">
        <v>1000000</v>
      </c>
      <c r="L15" s="525"/>
      <c r="M15" s="528">
        <v>100000</v>
      </c>
      <c r="N15" s="528">
        <f>M15+K15</f>
        <v>1100000</v>
      </c>
      <c r="O15" s="525"/>
    </row>
    <row r="16" spans="1:39" s="518" customFormat="1" ht="19.5" customHeight="1" hidden="1">
      <c r="A16" s="531">
        <v>801</v>
      </c>
      <c r="B16" s="532"/>
      <c r="C16" s="533" t="s">
        <v>51</v>
      </c>
      <c r="D16" s="534"/>
      <c r="E16" s="534"/>
      <c r="F16" s="534"/>
      <c r="G16" s="534"/>
      <c r="H16" s="535"/>
      <c r="I16" s="534"/>
      <c r="J16" s="535"/>
      <c r="K16" s="534"/>
      <c r="L16" s="534"/>
      <c r="M16" s="534"/>
      <c r="N16" s="534">
        <f t="shared" si="0"/>
        <v>0</v>
      </c>
      <c r="O16" s="534">
        <f>SUM(O17:O23)</f>
        <v>809000</v>
      </c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</row>
    <row r="17" spans="1:15" s="471" customFormat="1" ht="28.5" customHeight="1" hidden="1">
      <c r="A17" s="536"/>
      <c r="B17" s="537">
        <v>80197</v>
      </c>
      <c r="C17" s="538" t="s">
        <v>174</v>
      </c>
      <c r="D17" s="539"/>
      <c r="E17" s="539"/>
      <c r="F17" s="539"/>
      <c r="G17" s="539"/>
      <c r="H17" s="540"/>
      <c r="I17" s="539"/>
      <c r="J17" s="540"/>
      <c r="K17" s="541"/>
      <c r="L17" s="539"/>
      <c r="M17" s="539"/>
      <c r="N17" s="539">
        <f t="shared" si="0"/>
        <v>0</v>
      </c>
      <c r="O17" s="539">
        <v>50100</v>
      </c>
    </row>
    <row r="18" spans="1:15" s="471" customFormat="1" ht="39.75" customHeight="1" hidden="1">
      <c r="A18" s="536"/>
      <c r="B18" s="542">
        <v>80197</v>
      </c>
      <c r="C18" s="543" t="s">
        <v>175</v>
      </c>
      <c r="D18" s="544"/>
      <c r="E18" s="544"/>
      <c r="F18" s="544"/>
      <c r="G18" s="544"/>
      <c r="H18" s="545"/>
      <c r="I18" s="544"/>
      <c r="J18" s="545"/>
      <c r="K18" s="546"/>
      <c r="L18" s="539"/>
      <c r="M18" s="544"/>
      <c r="N18" s="539">
        <f t="shared" si="0"/>
        <v>0</v>
      </c>
      <c r="O18" s="539">
        <v>115500</v>
      </c>
    </row>
    <row r="19" spans="1:15" s="471" customFormat="1" ht="27.75" customHeight="1" hidden="1">
      <c r="A19" s="536"/>
      <c r="B19" s="537">
        <v>80197</v>
      </c>
      <c r="C19" s="538" t="s">
        <v>176</v>
      </c>
      <c r="D19" s="539"/>
      <c r="E19" s="539"/>
      <c r="F19" s="539"/>
      <c r="G19" s="539"/>
      <c r="H19" s="540"/>
      <c r="I19" s="539"/>
      <c r="J19" s="540"/>
      <c r="K19" s="541"/>
      <c r="L19" s="539"/>
      <c r="M19" s="539"/>
      <c r="N19" s="539">
        <f t="shared" si="0"/>
        <v>0</v>
      </c>
      <c r="O19" s="539">
        <v>81900</v>
      </c>
    </row>
    <row r="20" spans="1:15" s="471" customFormat="1" ht="28.5" customHeight="1" hidden="1">
      <c r="A20" s="536"/>
      <c r="B20" s="537">
        <v>80197</v>
      </c>
      <c r="C20" s="547" t="s">
        <v>177</v>
      </c>
      <c r="D20" s="544"/>
      <c r="E20" s="544"/>
      <c r="F20" s="544"/>
      <c r="G20" s="544"/>
      <c r="H20" s="545"/>
      <c r="I20" s="544"/>
      <c r="J20" s="545"/>
      <c r="K20" s="546"/>
      <c r="L20" s="539"/>
      <c r="M20" s="544"/>
      <c r="N20" s="539">
        <f t="shared" si="0"/>
        <v>0</v>
      </c>
      <c r="O20" s="539">
        <v>48800</v>
      </c>
    </row>
    <row r="21" spans="1:15" s="471" customFormat="1" ht="28.5" customHeight="1" hidden="1">
      <c r="A21" s="536"/>
      <c r="B21" s="537">
        <v>80197</v>
      </c>
      <c r="C21" s="548" t="s">
        <v>178</v>
      </c>
      <c r="D21" s="539"/>
      <c r="E21" s="539"/>
      <c r="F21" s="539"/>
      <c r="G21" s="539"/>
      <c r="H21" s="540"/>
      <c r="I21" s="539"/>
      <c r="J21" s="540"/>
      <c r="K21" s="541"/>
      <c r="L21" s="539"/>
      <c r="M21" s="539"/>
      <c r="N21" s="539">
        <f t="shared" si="0"/>
        <v>0</v>
      </c>
      <c r="O21" s="539">
        <v>37500</v>
      </c>
    </row>
    <row r="22" spans="1:15" s="471" customFormat="1" ht="27.75" customHeight="1" hidden="1">
      <c r="A22" s="536"/>
      <c r="B22" s="537">
        <v>80197</v>
      </c>
      <c r="C22" s="547" t="s">
        <v>179</v>
      </c>
      <c r="D22" s="544"/>
      <c r="E22" s="544"/>
      <c r="F22" s="539"/>
      <c r="G22" s="539"/>
      <c r="H22" s="540"/>
      <c r="I22" s="544"/>
      <c r="J22" s="540"/>
      <c r="K22" s="546"/>
      <c r="L22" s="539"/>
      <c r="M22" s="539"/>
      <c r="N22" s="539">
        <f t="shared" si="0"/>
        <v>0</v>
      </c>
      <c r="O22" s="539">
        <v>469000</v>
      </c>
    </row>
    <row r="23" spans="1:15" s="471" customFormat="1" ht="39" customHeight="1" hidden="1">
      <c r="A23" s="549"/>
      <c r="B23" s="550">
        <v>80197</v>
      </c>
      <c r="C23" s="551" t="s">
        <v>180</v>
      </c>
      <c r="D23" s="552"/>
      <c r="E23" s="552"/>
      <c r="F23" s="552"/>
      <c r="G23" s="552"/>
      <c r="H23" s="517"/>
      <c r="I23" s="552"/>
      <c r="J23" s="517"/>
      <c r="K23" s="553"/>
      <c r="L23" s="552"/>
      <c r="M23" s="552"/>
      <c r="N23" s="552">
        <f t="shared" si="0"/>
        <v>0</v>
      </c>
      <c r="O23" s="552">
        <v>6200</v>
      </c>
    </row>
    <row r="24" spans="1:39" s="518" customFormat="1" ht="24.75" customHeight="1" hidden="1">
      <c r="A24" s="554">
        <v>854</v>
      </c>
      <c r="B24" s="555"/>
      <c r="C24" s="556" t="s">
        <v>52</v>
      </c>
      <c r="D24" s="557"/>
      <c r="E24" s="557"/>
      <c r="F24" s="557"/>
      <c r="G24" s="557"/>
      <c r="H24" s="558"/>
      <c r="I24" s="557"/>
      <c r="J24" s="558"/>
      <c r="K24" s="559"/>
      <c r="L24" s="557"/>
      <c r="M24" s="557"/>
      <c r="N24" s="557">
        <f t="shared" si="0"/>
        <v>0</v>
      </c>
      <c r="O24" s="557">
        <f>O25</f>
        <v>18700</v>
      </c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</row>
    <row r="25" spans="1:15" s="471" customFormat="1" ht="39" customHeight="1" hidden="1">
      <c r="A25" s="536"/>
      <c r="B25" s="550">
        <v>85497</v>
      </c>
      <c r="C25" s="551" t="s">
        <v>181</v>
      </c>
      <c r="D25" s="552"/>
      <c r="E25" s="552"/>
      <c r="F25" s="552"/>
      <c r="G25" s="552"/>
      <c r="H25" s="517"/>
      <c r="I25" s="552"/>
      <c r="J25" s="517"/>
      <c r="K25" s="553"/>
      <c r="L25" s="552"/>
      <c r="M25" s="552"/>
      <c r="N25" s="552">
        <f t="shared" si="0"/>
        <v>0</v>
      </c>
      <c r="O25" s="552">
        <v>18700</v>
      </c>
    </row>
    <row r="26" spans="1:15" s="471" customFormat="1" ht="45">
      <c r="A26" s="560"/>
      <c r="B26" s="561"/>
      <c r="C26" s="562" t="s">
        <v>242</v>
      </c>
      <c r="D26" s="563">
        <v>13073605</v>
      </c>
      <c r="E26" s="563"/>
      <c r="F26" s="563"/>
      <c r="G26" s="563">
        <f>D26+F26</f>
        <v>13073605</v>
      </c>
      <c r="H26" s="564"/>
      <c r="I26" s="563"/>
      <c r="J26" s="564"/>
      <c r="K26" s="563">
        <v>13441804</v>
      </c>
      <c r="L26" s="563"/>
      <c r="M26" s="563"/>
      <c r="N26" s="563">
        <f>M26+K26</f>
        <v>13441804</v>
      </c>
      <c r="O26" s="565"/>
    </row>
    <row r="27" spans="1:10" s="471" customFormat="1" ht="12.75">
      <c r="A27" s="468"/>
      <c r="B27" s="469"/>
      <c r="C27" s="470"/>
      <c r="H27" s="472"/>
      <c r="I27" s="472"/>
      <c r="J27" s="472"/>
    </row>
    <row r="28" spans="1:10" s="471" customFormat="1" ht="12.75">
      <c r="A28" s="468"/>
      <c r="B28" s="469"/>
      <c r="C28" s="470"/>
      <c r="H28" s="472"/>
      <c r="I28" s="472"/>
      <c r="J28" s="472"/>
    </row>
    <row r="29" spans="1:10" s="471" customFormat="1" ht="12.75">
      <c r="A29" s="468"/>
      <c r="B29" s="469"/>
      <c r="C29" s="470"/>
      <c r="H29" s="472"/>
      <c r="I29" s="472"/>
      <c r="J29" s="472"/>
    </row>
    <row r="30" spans="1:10" s="471" customFormat="1" ht="12.75">
      <c r="A30" s="468"/>
      <c r="B30" s="469"/>
      <c r="C30" s="470"/>
      <c r="H30" s="472"/>
      <c r="I30" s="472"/>
      <c r="J30" s="472"/>
    </row>
    <row r="31" spans="1:10" s="471" customFormat="1" ht="12.75">
      <c r="A31" s="468"/>
      <c r="B31" s="469"/>
      <c r="C31" s="470"/>
      <c r="H31" s="472"/>
      <c r="I31" s="472"/>
      <c r="J31" s="472"/>
    </row>
    <row r="32" spans="1:10" s="471" customFormat="1" ht="12.75">
      <c r="A32" s="468"/>
      <c r="B32" s="469"/>
      <c r="C32" s="470"/>
      <c r="D32" s="1" t="s">
        <v>254</v>
      </c>
      <c r="H32" s="472"/>
      <c r="I32" s="472"/>
      <c r="J32" s="472"/>
    </row>
    <row r="33" spans="1:10" s="471" customFormat="1" ht="12.75">
      <c r="A33" s="468"/>
      <c r="B33" s="469"/>
      <c r="C33" s="470"/>
      <c r="D33" s="1" t="s">
        <v>255</v>
      </c>
      <c r="H33" s="472"/>
      <c r="I33" s="472"/>
      <c r="J33" s="472"/>
    </row>
    <row r="34" spans="1:10" s="471" customFormat="1" ht="12.75">
      <c r="A34" s="468"/>
      <c r="B34" s="469"/>
      <c r="C34" s="470"/>
      <c r="D34" s="1" t="s">
        <v>256</v>
      </c>
      <c r="H34" s="472"/>
      <c r="I34" s="472"/>
      <c r="J34" s="472"/>
    </row>
    <row r="35" spans="1:10" s="471" customFormat="1" ht="12.75">
      <c r="A35" s="468"/>
      <c r="B35" s="469"/>
      <c r="C35" s="470"/>
      <c r="H35" s="472"/>
      <c r="I35" s="472"/>
      <c r="J35" s="472"/>
    </row>
    <row r="36" spans="1:10" s="471" customFormat="1" ht="12.75">
      <c r="A36" s="468"/>
      <c r="B36" s="469"/>
      <c r="C36" s="470"/>
      <c r="H36" s="472"/>
      <c r="I36" s="472"/>
      <c r="J36" s="472"/>
    </row>
    <row r="37" spans="1:10" s="471" customFormat="1" ht="12.75">
      <c r="A37" s="468"/>
      <c r="B37" s="469"/>
      <c r="C37" s="470"/>
      <c r="H37" s="472"/>
      <c r="I37" s="472"/>
      <c r="J37" s="472"/>
    </row>
    <row r="38" spans="1:10" s="471" customFormat="1" ht="12.75">
      <c r="A38" s="468"/>
      <c r="B38" s="469"/>
      <c r="C38" s="470"/>
      <c r="H38" s="472"/>
      <c r="I38" s="472"/>
      <c r="J38" s="472"/>
    </row>
    <row r="39" spans="1:10" s="471" customFormat="1" ht="12.75">
      <c r="A39" s="468"/>
      <c r="B39" s="469"/>
      <c r="C39" s="470"/>
      <c r="H39" s="472"/>
      <c r="I39" s="472"/>
      <c r="J39" s="472"/>
    </row>
    <row r="40" spans="1:10" s="471" customFormat="1" ht="12.75">
      <c r="A40" s="468"/>
      <c r="B40" s="469"/>
      <c r="C40" s="470"/>
      <c r="H40" s="472"/>
      <c r="I40" s="472"/>
      <c r="J40" s="472"/>
    </row>
    <row r="41" spans="1:10" s="471" customFormat="1" ht="12.75">
      <c r="A41" s="468"/>
      <c r="B41" s="469"/>
      <c r="C41" s="470"/>
      <c r="H41" s="472"/>
      <c r="I41" s="472"/>
      <c r="J41" s="472"/>
    </row>
    <row r="42" spans="1:10" s="471" customFormat="1" ht="12.75">
      <c r="A42" s="468"/>
      <c r="B42" s="469"/>
      <c r="C42" s="470"/>
      <c r="H42" s="472"/>
      <c r="I42" s="472"/>
      <c r="J42" s="472"/>
    </row>
    <row r="43" spans="1:10" s="471" customFormat="1" ht="12.75">
      <c r="A43" s="468"/>
      <c r="B43" s="469"/>
      <c r="C43" s="470"/>
      <c r="H43" s="472"/>
      <c r="I43" s="472"/>
      <c r="J43" s="472"/>
    </row>
    <row r="44" spans="1:10" s="471" customFormat="1" ht="12.75">
      <c r="A44" s="468"/>
      <c r="B44" s="469"/>
      <c r="C44" s="470"/>
      <c r="H44" s="472"/>
      <c r="I44" s="472"/>
      <c r="J44" s="472"/>
    </row>
    <row r="45" spans="1:10" s="471" customFormat="1" ht="12.75">
      <c r="A45" s="468"/>
      <c r="B45" s="469"/>
      <c r="C45" s="470"/>
      <c r="H45" s="472"/>
      <c r="I45" s="472"/>
      <c r="J45" s="472"/>
    </row>
    <row r="46" spans="1:10" s="471" customFormat="1" ht="12.75">
      <c r="A46" s="468"/>
      <c r="B46" s="469"/>
      <c r="C46" s="470"/>
      <c r="H46" s="472"/>
      <c r="I46" s="472"/>
      <c r="J46" s="472"/>
    </row>
    <row r="47" spans="1:10" s="471" customFormat="1" ht="12.75">
      <c r="A47" s="468"/>
      <c r="B47" s="469"/>
      <c r="C47" s="470"/>
      <c r="H47" s="472"/>
      <c r="I47" s="472"/>
      <c r="J47" s="472"/>
    </row>
    <row r="48" spans="1:10" s="471" customFormat="1" ht="12.75">
      <c r="A48" s="468"/>
      <c r="B48" s="469"/>
      <c r="C48" s="470"/>
      <c r="H48" s="472"/>
      <c r="I48" s="472"/>
      <c r="J48" s="472"/>
    </row>
    <row r="49" spans="1:10" s="471" customFormat="1" ht="12.75">
      <c r="A49" s="468"/>
      <c r="B49" s="469"/>
      <c r="C49" s="470"/>
      <c r="H49" s="472"/>
      <c r="I49" s="472"/>
      <c r="J49" s="472"/>
    </row>
    <row r="50" spans="1:10" s="471" customFormat="1" ht="12.75">
      <c r="A50" s="468"/>
      <c r="B50" s="469"/>
      <c r="C50" s="470"/>
      <c r="H50" s="472"/>
      <c r="I50" s="472"/>
      <c r="J50" s="472"/>
    </row>
    <row r="51" spans="1:10" s="471" customFormat="1" ht="12.75">
      <c r="A51" s="468"/>
      <c r="B51" s="469"/>
      <c r="C51" s="470"/>
      <c r="H51" s="472"/>
      <c r="I51" s="472"/>
      <c r="J51" s="472"/>
    </row>
    <row r="52" spans="1:10" s="471" customFormat="1" ht="12.75">
      <c r="A52" s="468"/>
      <c r="B52" s="469"/>
      <c r="C52" s="470"/>
      <c r="H52" s="472"/>
      <c r="I52" s="472"/>
      <c r="J52" s="472"/>
    </row>
    <row r="53" spans="1:10" s="471" customFormat="1" ht="12.75">
      <c r="A53" s="468"/>
      <c r="B53" s="469"/>
      <c r="C53" s="470"/>
      <c r="H53" s="472"/>
      <c r="I53" s="472"/>
      <c r="J53" s="472"/>
    </row>
    <row r="54" spans="1:10" s="471" customFormat="1" ht="12.75">
      <c r="A54" s="468"/>
      <c r="B54" s="469"/>
      <c r="C54" s="470"/>
      <c r="H54" s="472"/>
      <c r="I54" s="472"/>
      <c r="J54" s="472"/>
    </row>
    <row r="55" spans="1:10" s="471" customFormat="1" ht="12.75">
      <c r="A55" s="468"/>
      <c r="B55" s="469"/>
      <c r="C55" s="470"/>
      <c r="H55" s="472"/>
      <c r="I55" s="472"/>
      <c r="J55" s="472"/>
    </row>
    <row r="56" spans="1:10" s="471" customFormat="1" ht="12.75">
      <c r="A56" s="468"/>
      <c r="B56" s="469"/>
      <c r="C56" s="470"/>
      <c r="H56" s="472"/>
      <c r="I56" s="472"/>
      <c r="J56" s="472"/>
    </row>
    <row r="57" spans="1:10" s="471" customFormat="1" ht="12.75">
      <c r="A57" s="468"/>
      <c r="B57" s="469"/>
      <c r="C57" s="470"/>
      <c r="H57" s="472"/>
      <c r="I57" s="472"/>
      <c r="J57" s="472"/>
    </row>
    <row r="58" spans="1:10" s="471" customFormat="1" ht="12.75">
      <c r="A58" s="468"/>
      <c r="B58" s="469"/>
      <c r="C58" s="470"/>
      <c r="H58" s="472"/>
      <c r="I58" s="472"/>
      <c r="J58" s="472"/>
    </row>
    <row r="59" spans="1:10" s="471" customFormat="1" ht="12.75">
      <c r="A59" s="468"/>
      <c r="B59" s="469"/>
      <c r="C59" s="470"/>
      <c r="H59" s="472"/>
      <c r="I59" s="472"/>
      <c r="J59" s="472"/>
    </row>
    <row r="60" spans="1:10" s="471" customFormat="1" ht="12.75">
      <c r="A60" s="468"/>
      <c r="B60" s="469"/>
      <c r="C60" s="470"/>
      <c r="H60" s="472"/>
      <c r="I60" s="472"/>
      <c r="J60" s="472"/>
    </row>
    <row r="61" spans="1:10" s="471" customFormat="1" ht="12.75">
      <c r="A61" s="468"/>
      <c r="B61" s="469"/>
      <c r="C61" s="470"/>
      <c r="H61" s="472"/>
      <c r="I61" s="472"/>
      <c r="J61" s="472"/>
    </row>
    <row r="62" spans="1:10" s="471" customFormat="1" ht="12.75">
      <c r="A62" s="468"/>
      <c r="B62" s="469"/>
      <c r="C62" s="470"/>
      <c r="H62" s="472"/>
      <c r="I62" s="472"/>
      <c r="J62" s="472"/>
    </row>
    <row r="63" spans="1:10" s="471" customFormat="1" ht="12.75">
      <c r="A63" s="468"/>
      <c r="B63" s="469"/>
      <c r="C63" s="470"/>
      <c r="H63" s="472"/>
      <c r="I63" s="472"/>
      <c r="J63" s="472"/>
    </row>
    <row r="64" spans="1:10" s="471" customFormat="1" ht="12.75">
      <c r="A64" s="468"/>
      <c r="B64" s="469"/>
      <c r="C64" s="470"/>
      <c r="H64" s="472"/>
      <c r="I64" s="472"/>
      <c r="J64" s="472"/>
    </row>
    <row r="65" spans="1:10" s="471" customFormat="1" ht="12.75">
      <c r="A65" s="468"/>
      <c r="B65" s="469"/>
      <c r="C65" s="470"/>
      <c r="H65" s="472"/>
      <c r="I65" s="472"/>
      <c r="J65" s="472"/>
    </row>
    <row r="66" spans="1:10" s="471" customFormat="1" ht="12.75">
      <c r="A66" s="468"/>
      <c r="B66" s="469"/>
      <c r="C66" s="470"/>
      <c r="H66" s="472"/>
      <c r="I66" s="472"/>
      <c r="J66" s="472"/>
    </row>
    <row r="67" spans="1:10" s="471" customFormat="1" ht="12.75">
      <c r="A67" s="468"/>
      <c r="B67" s="469"/>
      <c r="C67" s="470"/>
      <c r="H67" s="472"/>
      <c r="I67" s="472"/>
      <c r="J67" s="472"/>
    </row>
    <row r="68" spans="1:10" s="471" customFormat="1" ht="12.75">
      <c r="A68" s="468"/>
      <c r="B68" s="469"/>
      <c r="C68" s="470"/>
      <c r="H68" s="472"/>
      <c r="I68" s="472"/>
      <c r="J68" s="472"/>
    </row>
    <row r="69" spans="1:10" s="471" customFormat="1" ht="12.75">
      <c r="A69" s="468"/>
      <c r="B69" s="469"/>
      <c r="C69" s="470"/>
      <c r="H69" s="472"/>
      <c r="I69" s="472"/>
      <c r="J69" s="472"/>
    </row>
  </sheetData>
  <mergeCells count="4">
    <mergeCell ref="D7:E7"/>
    <mergeCell ref="G7:I7"/>
    <mergeCell ref="K7:L7"/>
    <mergeCell ref="N7:O7"/>
  </mergeCells>
  <printOptions horizontalCentered="1"/>
  <pageMargins left="0.3937007874015748" right="0.3937007874015748" top="0.984251968503937" bottom="0.984251968503937" header="0.5118110236220472" footer="0.5118110236220472"/>
  <pageSetup firstPageNumber="12" useFirstPageNumber="1" horizontalDpi="600" verticalDpi="600" orientation="landscape" paperSize="9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D3" sqref="D3"/>
    </sheetView>
  </sheetViews>
  <sheetFormatPr defaultColWidth="9.00390625" defaultRowHeight="12.75"/>
  <cols>
    <col min="1" max="1" width="5.25390625" style="1" customWidth="1"/>
    <col min="2" max="2" width="7.625" style="1" customWidth="1"/>
    <col min="3" max="3" width="47.75390625" style="1" customWidth="1"/>
    <col min="4" max="4" width="17.375" style="1" customWidth="1"/>
    <col min="5" max="5" width="15.00390625" style="1" customWidth="1"/>
    <col min="6" max="6" width="13.375" style="1" customWidth="1"/>
    <col min="7" max="7" width="11.875" style="1" customWidth="1"/>
    <col min="8" max="8" width="12.375" style="1" customWidth="1"/>
    <col min="9" max="9" width="9.125" style="1" customWidth="1"/>
    <col min="10" max="10" width="11.00390625" style="1" customWidth="1"/>
    <col min="11" max="16384" width="9.125" style="1" customWidth="1"/>
  </cols>
  <sheetData>
    <row r="1" spans="6:33" ht="15" customHeight="1">
      <c r="F1" s="1" t="s">
        <v>112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6:33" ht="15" customHeight="1">
      <c r="F2" s="1" t="s">
        <v>239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6:33" ht="15" customHeight="1">
      <c r="F3" s="1" t="s">
        <v>33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3:33" ht="15" customHeight="1">
      <c r="C4" s="17" t="s">
        <v>222</v>
      </c>
      <c r="F4" s="1" t="s">
        <v>196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7:33" ht="12.75"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3:33" ht="13.5" thickBot="1">
      <c r="C6" s="423"/>
      <c r="E6" s="424"/>
      <c r="F6" s="424"/>
      <c r="G6"/>
      <c r="H6" s="3" t="s">
        <v>35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50.25" customHeight="1" thickBot="1" thickTop="1">
      <c r="A7" s="653" t="s">
        <v>64</v>
      </c>
      <c r="B7" s="653" t="s">
        <v>37</v>
      </c>
      <c r="C7" s="653" t="s">
        <v>223</v>
      </c>
      <c r="D7" s="651" t="s">
        <v>229</v>
      </c>
      <c r="E7" s="652"/>
      <c r="F7" s="5" t="s">
        <v>12</v>
      </c>
      <c r="G7" s="651" t="s">
        <v>230</v>
      </c>
      <c r="H7" s="65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39.75" customHeight="1" thickBot="1" thickTop="1">
      <c r="A8" s="654"/>
      <c r="B8" s="654"/>
      <c r="C8" s="654"/>
      <c r="D8" s="419" t="s">
        <v>231</v>
      </c>
      <c r="E8" s="5" t="s">
        <v>232</v>
      </c>
      <c r="F8" s="5"/>
      <c r="G8" s="419" t="s">
        <v>231</v>
      </c>
      <c r="H8" s="5" t="s">
        <v>232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6.5" customHeight="1" thickBot="1" thickTop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21" customHeight="1" thickTop="1">
      <c r="A10" s="420">
        <v>921</v>
      </c>
      <c r="B10" s="420"/>
      <c r="C10" s="420" t="s">
        <v>218</v>
      </c>
      <c r="D10" s="421">
        <v>11989800</v>
      </c>
      <c r="E10" s="421">
        <v>306000</v>
      </c>
      <c r="F10" s="421">
        <f>F11</f>
        <v>-14305</v>
      </c>
      <c r="G10" s="421">
        <f>D10</f>
        <v>11989800</v>
      </c>
      <c r="H10" s="421">
        <f>E10+F10</f>
        <v>291695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21" customHeight="1" thickBot="1">
      <c r="A11" s="300"/>
      <c r="B11" s="300"/>
      <c r="C11" s="434" t="s">
        <v>73</v>
      </c>
      <c r="D11" s="435">
        <v>11695500</v>
      </c>
      <c r="E11" s="435">
        <v>306000</v>
      </c>
      <c r="F11" s="435">
        <f>SUM(F12:F12)</f>
        <v>-14305</v>
      </c>
      <c r="G11" s="435">
        <f>D11</f>
        <v>11695500</v>
      </c>
      <c r="H11" s="435">
        <f>E11+F11</f>
        <v>291695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28.5" customHeight="1" thickTop="1">
      <c r="A12" s="422"/>
      <c r="B12" s="446">
        <v>92116</v>
      </c>
      <c r="C12" s="447" t="s">
        <v>144</v>
      </c>
      <c r="D12" s="593">
        <v>4765000</v>
      </c>
      <c r="E12" s="448">
        <v>140000</v>
      </c>
      <c r="F12" s="448">
        <v>-14305</v>
      </c>
      <c r="G12" s="448">
        <f>D12</f>
        <v>4765000</v>
      </c>
      <c r="H12" s="448">
        <f>E12+F12</f>
        <v>125695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7:33" ht="12.75"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7:33" ht="12.75"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7:33" ht="12.75"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7:33" ht="12.75"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7:33" ht="12.75"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7:33" ht="12.75"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7:33" ht="12.75"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3:33" ht="12.75">
      <c r="C20" s="1" t="s">
        <v>254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3:33" ht="12.75">
      <c r="C21" s="1" t="s">
        <v>255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3:33" ht="12.75">
      <c r="C22" s="1" t="s">
        <v>256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7:33" ht="12.75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7:33" ht="12.75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7:33" ht="12.7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7:33" ht="12.75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7:33" ht="12.75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7:33" ht="12.75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7:33" ht="12.7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7:33" ht="12.75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7:33" ht="12.7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7:33" ht="12.7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7:33" ht="12.7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7:33" ht="12.7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</sheetData>
  <mergeCells count="5">
    <mergeCell ref="G7:H7"/>
    <mergeCell ref="A7:A8"/>
    <mergeCell ref="B7:B8"/>
    <mergeCell ref="C7:C8"/>
    <mergeCell ref="D7:E7"/>
  </mergeCells>
  <printOptions horizontalCentered="1"/>
  <pageMargins left="0.7874015748031497" right="0.7874015748031497" top="0.984251968503937" bottom="0.984251968503937" header="0.5118110236220472" footer="0.5118110236220472"/>
  <pageSetup firstPageNumber="13" useFirstPageNumber="1"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41"/>
  <dimension ref="A1:I34"/>
  <sheetViews>
    <sheetView zoomScaleSheetLayoutView="75" workbookViewId="0" topLeftCell="A1">
      <selection activeCell="C3" sqref="C3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439" t="s">
        <v>220</v>
      </c>
      <c r="H1" s="28"/>
    </row>
    <row r="2" spans="1:7" ht="13.5" customHeight="1">
      <c r="A2" s="136" t="s">
        <v>9</v>
      </c>
      <c r="B2" s="136"/>
      <c r="C2" s="136"/>
      <c r="D2" s="29"/>
      <c r="G2" s="1" t="s">
        <v>239</v>
      </c>
    </row>
    <row r="3" spans="1:7" ht="13.5" customHeight="1">
      <c r="A3" s="136" t="s">
        <v>101</v>
      </c>
      <c r="C3" s="141"/>
      <c r="D3" s="30"/>
      <c r="G3" s="1" t="s">
        <v>33</v>
      </c>
    </row>
    <row r="4" spans="1:7" ht="13.5" customHeight="1">
      <c r="A4" s="136" t="s">
        <v>85</v>
      </c>
      <c r="C4" s="141"/>
      <c r="D4" s="30"/>
      <c r="G4" s="1" t="s">
        <v>205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35</v>
      </c>
    </row>
    <row r="7" spans="1:9" ht="15" customHeight="1" thickTop="1">
      <c r="A7" s="34"/>
      <c r="B7" s="34"/>
      <c r="C7" s="35" t="s">
        <v>66</v>
      </c>
      <c r="D7" s="656" t="s">
        <v>77</v>
      </c>
      <c r="E7" s="653" t="s">
        <v>12</v>
      </c>
      <c r="F7" s="121"/>
      <c r="G7" s="656" t="s">
        <v>78</v>
      </c>
      <c r="H7" s="653" t="s">
        <v>12</v>
      </c>
      <c r="I7" s="653" t="s">
        <v>10</v>
      </c>
    </row>
    <row r="8" spans="1:9" ht="83.25" customHeight="1" thickBot="1">
      <c r="A8" s="115" t="s">
        <v>64</v>
      </c>
      <c r="B8" s="36" t="s">
        <v>102</v>
      </c>
      <c r="C8" s="36" t="s">
        <v>15</v>
      </c>
      <c r="D8" s="657"/>
      <c r="E8" s="654"/>
      <c r="F8" s="36" t="s">
        <v>74</v>
      </c>
      <c r="G8" s="659"/>
      <c r="H8" s="658"/>
      <c r="I8" s="655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78"/>
      <c r="B10" s="179"/>
      <c r="C10" s="176" t="s">
        <v>13</v>
      </c>
      <c r="D10" s="182">
        <v>89643959</v>
      </c>
      <c r="E10" s="174">
        <f>E12+E18</f>
        <v>-749133</v>
      </c>
      <c r="F10" s="174">
        <f>D10+E10</f>
        <v>88894826</v>
      </c>
      <c r="G10" s="174">
        <v>82719559</v>
      </c>
      <c r="H10" s="174">
        <f>H12+H18</f>
        <v>-749133</v>
      </c>
      <c r="I10" s="174">
        <f>G10+H10</f>
        <v>81970426</v>
      </c>
    </row>
    <row r="11" spans="1:9" ht="12" customHeight="1">
      <c r="A11" s="165"/>
      <c r="B11" s="143"/>
      <c r="C11" s="177" t="s">
        <v>43</v>
      </c>
      <c r="D11" s="200"/>
      <c r="E11" s="175"/>
      <c r="F11" s="175"/>
      <c r="G11" s="175"/>
      <c r="H11" s="175"/>
      <c r="I11" s="180"/>
    </row>
    <row r="12" spans="1:9" ht="18" customHeight="1" thickBot="1">
      <c r="A12" s="283"/>
      <c r="B12" s="158"/>
      <c r="C12" s="276" t="s">
        <v>14</v>
      </c>
      <c r="D12" s="99">
        <v>62104197</v>
      </c>
      <c r="E12" s="277">
        <f>E13</f>
        <v>-749133</v>
      </c>
      <c r="F12" s="277">
        <f>D12+E12</f>
        <v>61355064</v>
      </c>
      <c r="G12" s="277">
        <v>60740197</v>
      </c>
      <c r="H12" s="277">
        <f>H13</f>
        <v>-749133</v>
      </c>
      <c r="I12" s="99">
        <f>G12+H12</f>
        <v>59991064</v>
      </c>
    </row>
    <row r="13" spans="1:9" ht="19.5" customHeight="1" thickTop="1">
      <c r="A13" s="137">
        <v>852</v>
      </c>
      <c r="B13" s="150"/>
      <c r="C13" s="284" t="s">
        <v>32</v>
      </c>
      <c r="D13" s="120">
        <v>57855889</v>
      </c>
      <c r="E13" s="120">
        <f>E14</f>
        <v>-749133</v>
      </c>
      <c r="F13" s="120">
        <f>D13+E13</f>
        <v>57106756</v>
      </c>
      <c r="G13" s="120">
        <v>57777889</v>
      </c>
      <c r="H13" s="120">
        <f>H14</f>
        <v>-749133</v>
      </c>
      <c r="I13" s="120">
        <f>G13+H13</f>
        <v>57028756</v>
      </c>
    </row>
    <row r="14" spans="1:9" s="51" customFormat="1" ht="25.5" customHeight="1">
      <c r="A14" s="342"/>
      <c r="B14" s="343">
        <v>85212</v>
      </c>
      <c r="C14" s="442" t="s">
        <v>125</v>
      </c>
      <c r="D14" s="292">
        <v>48430864</v>
      </c>
      <c r="E14" s="292">
        <f>E15</f>
        <v>-749133</v>
      </c>
      <c r="F14" s="292">
        <f>D14+E14</f>
        <v>47681731</v>
      </c>
      <c r="G14" s="292">
        <v>48430864</v>
      </c>
      <c r="H14" s="292">
        <f>H17</f>
        <v>-749133</v>
      </c>
      <c r="I14" s="292">
        <f>G14+H14</f>
        <v>47681731</v>
      </c>
    </row>
    <row r="15" spans="1:9" s="51" customFormat="1" ht="25.5" customHeight="1">
      <c r="A15" s="342"/>
      <c r="B15" s="581"/>
      <c r="C15" s="443" t="s">
        <v>126</v>
      </c>
      <c r="D15" s="293">
        <f>D16</f>
        <v>48430864</v>
      </c>
      <c r="E15" s="293">
        <f>E16</f>
        <v>-749133</v>
      </c>
      <c r="F15" s="293">
        <f>D15+E15</f>
        <v>47681731</v>
      </c>
      <c r="G15" s="293"/>
      <c r="H15" s="582"/>
      <c r="I15" s="582"/>
    </row>
    <row r="16" spans="1:9" s="51" customFormat="1" ht="25.5" customHeight="1">
      <c r="A16" s="342"/>
      <c r="B16" s="581">
        <v>2010</v>
      </c>
      <c r="C16" s="280" t="s">
        <v>236</v>
      </c>
      <c r="D16" s="584">
        <v>48430864</v>
      </c>
      <c r="E16" s="584">
        <v>-749133</v>
      </c>
      <c r="F16" s="584">
        <f>D16+E16</f>
        <v>47681731</v>
      </c>
      <c r="G16" s="584"/>
      <c r="H16" s="583"/>
      <c r="I16" s="583"/>
    </row>
    <row r="17" spans="1:9" s="51" customFormat="1" ht="19.5" customHeight="1">
      <c r="A17" s="344"/>
      <c r="B17" s="356"/>
      <c r="C17" s="267" t="s">
        <v>127</v>
      </c>
      <c r="D17" s="586"/>
      <c r="E17" s="586"/>
      <c r="F17" s="586"/>
      <c r="G17" s="586">
        <v>47076674</v>
      </c>
      <c r="H17" s="586">
        <v>-749133</v>
      </c>
      <c r="I17" s="586">
        <f aca="true" t="shared" si="0" ref="I17:I25">G17+H17</f>
        <v>46327541</v>
      </c>
    </row>
    <row r="18" spans="1:9" s="17" customFormat="1" ht="24.75" customHeight="1" thickBot="1">
      <c r="A18" s="585"/>
      <c r="B18" s="162"/>
      <c r="C18" s="117" t="s">
        <v>71</v>
      </c>
      <c r="D18" s="118">
        <v>27539762</v>
      </c>
      <c r="E18" s="118"/>
      <c r="F18" s="118">
        <f>D18+E18</f>
        <v>27539762</v>
      </c>
      <c r="G18" s="118">
        <v>21979362</v>
      </c>
      <c r="H18" s="118">
        <f>H19</f>
        <v>0</v>
      </c>
      <c r="I18" s="118">
        <f t="shared" si="0"/>
        <v>21979362</v>
      </c>
    </row>
    <row r="19" spans="1:9" s="17" customFormat="1" ht="17.25" customHeight="1" thickTop="1">
      <c r="A19" s="388">
        <v>853</v>
      </c>
      <c r="B19" s="389"/>
      <c r="C19" s="240" t="s">
        <v>130</v>
      </c>
      <c r="D19" s="312">
        <v>597598</v>
      </c>
      <c r="E19" s="312"/>
      <c r="F19" s="312">
        <f>D19+E19</f>
        <v>597598</v>
      </c>
      <c r="G19" s="312">
        <v>597598</v>
      </c>
      <c r="H19" s="312">
        <f>H20</f>
        <v>0</v>
      </c>
      <c r="I19" s="312">
        <f t="shared" si="0"/>
        <v>597598</v>
      </c>
    </row>
    <row r="20" spans="1:9" ht="18" customHeight="1">
      <c r="A20" s="258"/>
      <c r="B20" s="343">
        <v>85321</v>
      </c>
      <c r="C20" s="241" t="s">
        <v>131</v>
      </c>
      <c r="D20" s="244">
        <v>526000</v>
      </c>
      <c r="E20" s="244"/>
      <c r="F20" s="244">
        <f>D20+E20</f>
        <v>526000</v>
      </c>
      <c r="G20" s="244">
        <v>526000</v>
      </c>
      <c r="H20" s="244">
        <f>H21+H22+H23</f>
        <v>0</v>
      </c>
      <c r="I20" s="244">
        <f t="shared" si="0"/>
        <v>526000</v>
      </c>
    </row>
    <row r="21" spans="1:9" ht="19.5" customHeight="1">
      <c r="A21" s="239"/>
      <c r="B21" s="378"/>
      <c r="C21" s="316" t="s">
        <v>234</v>
      </c>
      <c r="D21" s="360"/>
      <c r="E21" s="360"/>
      <c r="F21" s="360"/>
      <c r="G21" s="360">
        <v>379542</v>
      </c>
      <c r="H21" s="360">
        <v>-4000</v>
      </c>
      <c r="I21" s="360">
        <f t="shared" si="0"/>
        <v>375542</v>
      </c>
    </row>
    <row r="22" spans="1:9" ht="19.5" customHeight="1">
      <c r="A22" s="239"/>
      <c r="B22" s="300"/>
      <c r="C22" s="578" t="s">
        <v>47</v>
      </c>
      <c r="D22" s="353"/>
      <c r="E22" s="353"/>
      <c r="F22" s="353"/>
      <c r="G22" s="353">
        <v>85458</v>
      </c>
      <c r="H22" s="353">
        <v>4219</v>
      </c>
      <c r="I22" s="353">
        <f t="shared" si="0"/>
        <v>89677</v>
      </c>
    </row>
    <row r="23" spans="1:9" s="11" customFormat="1" ht="19.5" customHeight="1">
      <c r="A23" s="237"/>
      <c r="B23" s="237"/>
      <c r="C23" s="251" t="s">
        <v>237</v>
      </c>
      <c r="D23" s="246"/>
      <c r="E23" s="246"/>
      <c r="F23" s="246"/>
      <c r="G23" s="246">
        <v>57000</v>
      </c>
      <c r="H23" s="246">
        <f>SUM(H24:H25)</f>
        <v>-219</v>
      </c>
      <c r="I23" s="246">
        <f t="shared" si="0"/>
        <v>56781</v>
      </c>
    </row>
    <row r="24" spans="1:9" s="11" customFormat="1" ht="17.25" customHeight="1" hidden="1">
      <c r="A24" s="236"/>
      <c r="B24" s="237">
        <v>4110</v>
      </c>
      <c r="C24" s="10" t="s">
        <v>49</v>
      </c>
      <c r="D24" s="238"/>
      <c r="E24" s="238"/>
      <c r="F24" s="238"/>
      <c r="G24" s="238">
        <v>48680</v>
      </c>
      <c r="H24" s="238">
        <v>1032</v>
      </c>
      <c r="I24" s="238">
        <f t="shared" si="0"/>
        <v>49712</v>
      </c>
    </row>
    <row r="25" spans="1:9" s="11" customFormat="1" ht="17.25" customHeight="1" hidden="1">
      <c r="A25" s="237"/>
      <c r="B25" s="237">
        <v>4120</v>
      </c>
      <c r="C25" s="10" t="s">
        <v>215</v>
      </c>
      <c r="D25" s="246"/>
      <c r="E25" s="246"/>
      <c r="F25" s="246"/>
      <c r="G25" s="246">
        <v>8320</v>
      </c>
      <c r="H25" s="246">
        <v>-1251</v>
      </c>
      <c r="I25" s="246">
        <f t="shared" si="0"/>
        <v>7069</v>
      </c>
    </row>
    <row r="26" ht="12.75">
      <c r="G26" s="8"/>
    </row>
    <row r="32" ht="12.75">
      <c r="C32" s="1" t="s">
        <v>254</v>
      </c>
    </row>
    <row r="33" ht="12.75">
      <c r="C33" s="1" t="s">
        <v>255</v>
      </c>
    </row>
    <row r="34" ht="12.75">
      <c r="C34" s="1" t="s">
        <v>256</v>
      </c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6692913385826772" header="0.5118110236220472" footer="0.5118110236220472"/>
  <pageSetup firstPageNumber="14" useFirstPageNumber="1" horizontalDpi="300" verticalDpi="3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J34"/>
  <sheetViews>
    <sheetView zoomScaleSheetLayoutView="75" workbookViewId="0" topLeftCell="A1">
      <selection activeCell="D2" sqref="D2"/>
    </sheetView>
  </sheetViews>
  <sheetFormatPr defaultColWidth="9.00390625" defaultRowHeight="12.75"/>
  <cols>
    <col min="1" max="1" width="5.375" style="1" customWidth="1"/>
    <col min="2" max="2" width="8.625" style="1" customWidth="1"/>
    <col min="3" max="3" width="8.25390625" style="1" customWidth="1"/>
    <col min="4" max="4" width="65.625" style="1" customWidth="1"/>
    <col min="5" max="5" width="23.875" style="1" customWidth="1"/>
    <col min="6" max="6" width="20.875" style="1" customWidth="1"/>
    <col min="7" max="7" width="24.125" style="1" customWidth="1"/>
    <col min="8" max="8" width="12.00390625" style="1" customWidth="1"/>
    <col min="9" max="9" width="11.125" style="1" customWidth="1"/>
    <col min="10" max="10" width="15.25390625" style="1" customWidth="1"/>
    <col min="11" max="16384" width="9.125" style="1" customWidth="1"/>
  </cols>
  <sheetData>
    <row r="1" spans="2:6" ht="15" customHeight="1">
      <c r="B1" s="17"/>
      <c r="C1" s="17"/>
      <c r="F1" s="1" t="s">
        <v>115</v>
      </c>
    </row>
    <row r="2" ht="15" customHeight="1">
      <c r="F2" s="1" t="s">
        <v>239</v>
      </c>
    </row>
    <row r="3" spans="4:6" ht="15" customHeight="1">
      <c r="D3" s="18" t="s">
        <v>81</v>
      </c>
      <c r="F3" s="1" t="s">
        <v>33</v>
      </c>
    </row>
    <row r="4" ht="15" customHeight="1">
      <c r="F4" s="1" t="s">
        <v>196</v>
      </c>
    </row>
    <row r="5" ht="17.25" customHeight="1" thickBot="1">
      <c r="G5" s="3" t="s">
        <v>35</v>
      </c>
    </row>
    <row r="6" spans="1:7" ht="67.5" customHeight="1" thickBot="1" thickTop="1">
      <c r="A6" s="213" t="s">
        <v>36</v>
      </c>
      <c r="B6" s="213" t="s">
        <v>37</v>
      </c>
      <c r="C6" s="83" t="s">
        <v>38</v>
      </c>
      <c r="D6" s="83" t="s">
        <v>56</v>
      </c>
      <c r="E6" s="83" t="s">
        <v>90</v>
      </c>
      <c r="F6" s="5" t="s">
        <v>67</v>
      </c>
      <c r="G6" s="5" t="s">
        <v>41</v>
      </c>
    </row>
    <row r="7" spans="1:7" s="20" customFormat="1" ht="15.75" customHeight="1" thickBot="1" thickTop="1">
      <c r="A7" s="212">
        <v>1</v>
      </c>
      <c r="B7" s="212">
        <v>2</v>
      </c>
      <c r="C7" s="212">
        <v>3</v>
      </c>
      <c r="D7" s="212">
        <v>4</v>
      </c>
      <c r="E7" s="212">
        <v>5</v>
      </c>
      <c r="F7" s="19">
        <v>6</v>
      </c>
      <c r="G7" s="19">
        <v>7</v>
      </c>
    </row>
    <row r="8" spans="1:10" ht="24" customHeight="1" thickBot="1" thickTop="1">
      <c r="A8" s="169"/>
      <c r="B8" s="169"/>
      <c r="C8" s="169"/>
      <c r="D8" s="170" t="s">
        <v>58</v>
      </c>
      <c r="E8" s="166">
        <v>782709250</v>
      </c>
      <c r="F8" s="166">
        <f>F10+F20</f>
        <v>749133</v>
      </c>
      <c r="G8" s="166">
        <f>E8-F8</f>
        <v>781960117</v>
      </c>
      <c r="H8" s="8"/>
      <c r="I8" s="8"/>
      <c r="J8" s="8"/>
    </row>
    <row r="9" spans="1:7" ht="13.5" customHeight="1" thickTop="1">
      <c r="A9" s="91"/>
      <c r="B9" s="91"/>
      <c r="C9" s="91"/>
      <c r="D9" s="91" t="s">
        <v>43</v>
      </c>
      <c r="E9" s="108"/>
      <c r="F9" s="108"/>
      <c r="G9" s="108"/>
    </row>
    <row r="10" spans="1:10" ht="19.5" customHeight="1" thickBot="1">
      <c r="A10" s="91"/>
      <c r="B10" s="91"/>
      <c r="C10" s="91"/>
      <c r="D10" s="171" t="s">
        <v>91</v>
      </c>
      <c r="E10" s="167">
        <v>549499509</v>
      </c>
      <c r="F10" s="167">
        <f>F11+F12+F13+F15</f>
        <v>749133</v>
      </c>
      <c r="G10" s="167">
        <f aca="true" t="shared" si="0" ref="G10:G25">E10-F10</f>
        <v>548750376</v>
      </c>
      <c r="H10" s="8"/>
      <c r="J10" s="8"/>
    </row>
    <row r="11" spans="1:7" s="17" customFormat="1" ht="19.5" customHeight="1" thickBot="1">
      <c r="A11" s="143"/>
      <c r="B11" s="143"/>
      <c r="C11" s="143"/>
      <c r="D11" s="172" t="s">
        <v>59</v>
      </c>
      <c r="E11" s="118">
        <v>375445074</v>
      </c>
      <c r="F11" s="172"/>
      <c r="G11" s="168">
        <f t="shared" si="0"/>
        <v>375445074</v>
      </c>
    </row>
    <row r="12" spans="1:7" s="17" customFormat="1" ht="19.5" customHeight="1" thickBot="1" thickTop="1">
      <c r="A12" s="143"/>
      <c r="B12" s="143"/>
      <c r="C12" s="143"/>
      <c r="D12" s="117" t="s">
        <v>0</v>
      </c>
      <c r="E12" s="270">
        <v>101484534</v>
      </c>
      <c r="F12" s="118"/>
      <c r="G12" s="118">
        <f t="shared" si="0"/>
        <v>101484534</v>
      </c>
    </row>
    <row r="13" spans="1:7" s="17" customFormat="1" ht="19.5" customHeight="1" thickBot="1" thickTop="1">
      <c r="A13" s="143"/>
      <c r="B13" s="143"/>
      <c r="C13" s="143"/>
      <c r="D13" s="117" t="s">
        <v>61</v>
      </c>
      <c r="E13" s="118">
        <v>11290404</v>
      </c>
      <c r="F13" s="118"/>
      <c r="G13" s="118">
        <f t="shared" si="0"/>
        <v>11290404</v>
      </c>
    </row>
    <row r="14" spans="1:7" s="17" customFormat="1" ht="27" customHeight="1" thickBot="1" thickTop="1">
      <c r="A14" s="143"/>
      <c r="B14" s="143"/>
      <c r="C14" s="143"/>
      <c r="D14" s="117" t="s">
        <v>110</v>
      </c>
      <c r="E14" s="103">
        <v>539300</v>
      </c>
      <c r="F14" s="103"/>
      <c r="G14" s="103">
        <f>E14-F14</f>
        <v>539300</v>
      </c>
    </row>
    <row r="15" spans="1:7" s="17" customFormat="1" ht="30.75" customHeight="1" thickBot="1" thickTop="1">
      <c r="A15" s="148"/>
      <c r="B15" s="148"/>
      <c r="C15" s="148"/>
      <c r="D15" s="117" t="s">
        <v>62</v>
      </c>
      <c r="E15" s="118">
        <v>60740197</v>
      </c>
      <c r="F15" s="118">
        <f>F16</f>
        <v>749133</v>
      </c>
      <c r="G15" s="118">
        <f t="shared" si="0"/>
        <v>59991064</v>
      </c>
    </row>
    <row r="16" spans="1:7" s="17" customFormat="1" ht="19.5" customHeight="1" thickTop="1">
      <c r="A16" s="284">
        <v>852</v>
      </c>
      <c r="B16" s="284"/>
      <c r="C16" s="284"/>
      <c r="D16" s="284" t="s">
        <v>32</v>
      </c>
      <c r="E16" s="295">
        <v>57777889</v>
      </c>
      <c r="F16" s="295">
        <f>F17</f>
        <v>749133</v>
      </c>
      <c r="G16" s="295">
        <f t="shared" si="0"/>
        <v>57028756</v>
      </c>
    </row>
    <row r="17" spans="1:7" s="17" customFormat="1" ht="25.5" customHeight="1">
      <c r="A17" s="368"/>
      <c r="B17" s="274">
        <v>85212</v>
      </c>
      <c r="C17" s="369"/>
      <c r="D17" s="442" t="s">
        <v>125</v>
      </c>
      <c r="E17" s="367">
        <v>48430864</v>
      </c>
      <c r="F17" s="367">
        <f>F18</f>
        <v>749133</v>
      </c>
      <c r="G17" s="367">
        <f t="shared" si="0"/>
        <v>47681731</v>
      </c>
    </row>
    <row r="18" spans="1:7" s="17" customFormat="1" ht="27" customHeight="1">
      <c r="A18" s="370"/>
      <c r="B18" s="371"/>
      <c r="C18" s="372"/>
      <c r="D18" s="443" t="s">
        <v>126</v>
      </c>
      <c r="E18" s="360">
        <v>48430864</v>
      </c>
      <c r="F18" s="360">
        <f>F19</f>
        <v>749133</v>
      </c>
      <c r="G18" s="360">
        <f t="shared" si="0"/>
        <v>47681731</v>
      </c>
    </row>
    <row r="19" spans="1:7" s="17" customFormat="1" ht="30" customHeight="1">
      <c r="A19" s="236"/>
      <c r="B19" s="236"/>
      <c r="C19" s="279">
        <v>2010</v>
      </c>
      <c r="D19" s="280" t="s">
        <v>236</v>
      </c>
      <c r="E19" s="256">
        <v>48430864</v>
      </c>
      <c r="F19" s="409">
        <v>749133</v>
      </c>
      <c r="G19" s="409">
        <f t="shared" si="0"/>
        <v>47681731</v>
      </c>
    </row>
    <row r="20" spans="1:8" ht="20.25" customHeight="1" thickBot="1">
      <c r="A20" s="91"/>
      <c r="B20" s="91"/>
      <c r="C20" s="91"/>
      <c r="D20" s="171" t="s">
        <v>92</v>
      </c>
      <c r="E20" s="167">
        <v>233209741</v>
      </c>
      <c r="F20" s="167"/>
      <c r="G20" s="167">
        <f t="shared" si="0"/>
        <v>233209741</v>
      </c>
      <c r="H20" s="8"/>
    </row>
    <row r="21" spans="1:7" s="144" customFormat="1" ht="21" customHeight="1" thickBot="1">
      <c r="A21" s="143"/>
      <c r="B21" s="143"/>
      <c r="C21" s="143"/>
      <c r="D21" s="173" t="s">
        <v>59</v>
      </c>
      <c r="E21" s="269">
        <v>63095330</v>
      </c>
      <c r="F21" s="168"/>
      <c r="G21" s="168">
        <f t="shared" si="0"/>
        <v>63095330</v>
      </c>
    </row>
    <row r="22" spans="1:7" s="17" customFormat="1" ht="21" customHeight="1" thickBot="1" thickTop="1">
      <c r="A22" s="143"/>
      <c r="B22" s="143"/>
      <c r="C22" s="143"/>
      <c r="D22" s="117" t="s">
        <v>60</v>
      </c>
      <c r="E22" s="103">
        <v>133273225</v>
      </c>
      <c r="F22" s="103"/>
      <c r="G22" s="103">
        <f t="shared" si="0"/>
        <v>133273225</v>
      </c>
    </row>
    <row r="23" spans="1:7" s="17" customFormat="1" ht="21" customHeight="1" thickBot="1" thickTop="1">
      <c r="A23" s="143"/>
      <c r="B23" s="143"/>
      <c r="C23" s="143"/>
      <c r="D23" s="263" t="s">
        <v>61</v>
      </c>
      <c r="E23" s="264">
        <v>9401401</v>
      </c>
      <c r="F23" s="264"/>
      <c r="G23" s="264">
        <f t="shared" si="0"/>
        <v>9401401</v>
      </c>
    </row>
    <row r="24" spans="1:7" s="17" customFormat="1" ht="27" customHeight="1" thickBot="1" thickTop="1">
      <c r="A24" s="143"/>
      <c r="B24" s="143"/>
      <c r="C24" s="143"/>
      <c r="D24" s="117" t="s">
        <v>110</v>
      </c>
      <c r="E24" s="103">
        <v>5460423</v>
      </c>
      <c r="F24" s="103"/>
      <c r="G24" s="103">
        <f t="shared" si="0"/>
        <v>5460423</v>
      </c>
    </row>
    <row r="25" spans="1:7" s="17" customFormat="1" ht="27" customHeight="1" thickTop="1">
      <c r="A25" s="148"/>
      <c r="B25" s="148"/>
      <c r="C25" s="148"/>
      <c r="D25" s="569" t="s">
        <v>63</v>
      </c>
      <c r="E25" s="570">
        <v>21979362</v>
      </c>
      <c r="F25" s="570"/>
      <c r="G25" s="570">
        <f t="shared" si="0"/>
        <v>21979362</v>
      </c>
    </row>
    <row r="26" spans="3:4" ht="12.75">
      <c r="C26" s="16"/>
      <c r="D26" s="16"/>
    </row>
    <row r="27" spans="3:4" ht="12.75">
      <c r="C27" s="392"/>
      <c r="D27" s="413"/>
    </row>
    <row r="32" ht="12.75">
      <c r="D32" s="1" t="s">
        <v>254</v>
      </c>
    </row>
    <row r="33" ht="12.75">
      <c r="D33" s="1" t="s">
        <v>255</v>
      </c>
    </row>
    <row r="34" ht="12.75">
      <c r="D34" s="1" t="s">
        <v>256</v>
      </c>
    </row>
  </sheetData>
  <printOptions horizontalCentered="1"/>
  <pageMargins left="0.38" right="0.35" top="0.6692913385826772" bottom="0.5905511811023623" header="0.5118110236220472" footer="0.3937007874015748"/>
  <pageSetup firstPageNumber="15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L113"/>
  <sheetViews>
    <sheetView zoomScaleSheetLayoutView="75" workbookViewId="0" topLeftCell="A1">
      <selection activeCell="D2" sqref="D2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bestFit="1" customWidth="1"/>
    <col min="12" max="12" width="11.00390625" style="1" customWidth="1"/>
    <col min="13" max="16384" width="9.125" style="1" customWidth="1"/>
  </cols>
  <sheetData>
    <row r="1" ht="18" customHeight="1">
      <c r="G1" s="1" t="s">
        <v>8</v>
      </c>
    </row>
    <row r="2" ht="18" customHeight="1">
      <c r="G2" s="1" t="s">
        <v>241</v>
      </c>
    </row>
    <row r="3" ht="18" customHeight="1">
      <c r="G3" s="1" t="s">
        <v>33</v>
      </c>
    </row>
    <row r="4" spans="4:7" ht="18" customHeight="1">
      <c r="D4" s="2" t="s">
        <v>82</v>
      </c>
      <c r="G4" s="1" t="s">
        <v>196</v>
      </c>
    </row>
    <row r="5" ht="12" customHeight="1" thickBot="1">
      <c r="H5" s="3" t="s">
        <v>35</v>
      </c>
    </row>
    <row r="6" spans="1:8" ht="78.75" customHeight="1" thickBot="1" thickTop="1">
      <c r="A6" s="4" t="s">
        <v>36</v>
      </c>
      <c r="B6" s="4" t="s">
        <v>37</v>
      </c>
      <c r="C6" s="5" t="s">
        <v>38</v>
      </c>
      <c r="D6" s="5" t="s">
        <v>39</v>
      </c>
      <c r="E6" s="5" t="s">
        <v>79</v>
      </c>
      <c r="F6" s="5" t="s">
        <v>67</v>
      </c>
      <c r="G6" s="5" t="s">
        <v>57</v>
      </c>
      <c r="H6" s="5" t="s">
        <v>41</v>
      </c>
    </row>
    <row r="7" spans="1:8" ht="18.7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2" ht="24" customHeight="1" thickBot="1" thickTop="1">
      <c r="A8" s="143"/>
      <c r="B8" s="179"/>
      <c r="C8" s="179"/>
      <c r="D8" s="188" t="s">
        <v>42</v>
      </c>
      <c r="E8" s="182">
        <v>797134702</v>
      </c>
      <c r="F8" s="182">
        <f>F10++F87+F88</f>
        <v>1361421</v>
      </c>
      <c r="G8" s="182">
        <f>G10++G87+G88</f>
        <v>612288</v>
      </c>
      <c r="H8" s="182">
        <f>E8+G8-F8</f>
        <v>796385569</v>
      </c>
      <c r="I8" s="8">
        <f>G8-F8</f>
        <v>-749133</v>
      </c>
      <c r="J8" s="8"/>
      <c r="K8" s="8"/>
      <c r="L8" s="8"/>
    </row>
    <row r="9" spans="1:10" ht="19.5" customHeight="1">
      <c r="A9" s="91"/>
      <c r="B9" s="91"/>
      <c r="C9" s="91"/>
      <c r="D9" s="91" t="s">
        <v>43</v>
      </c>
      <c r="E9" s="135"/>
      <c r="F9" s="135"/>
      <c r="G9" s="135"/>
      <c r="H9" s="135"/>
      <c r="J9" s="9"/>
    </row>
    <row r="10" spans="1:12" ht="21" customHeight="1" thickBot="1">
      <c r="A10" s="148"/>
      <c r="B10" s="148"/>
      <c r="C10" s="148"/>
      <c r="D10" s="102" t="s">
        <v>44</v>
      </c>
      <c r="E10" s="271">
        <v>708305420</v>
      </c>
      <c r="F10" s="99">
        <f>F11+F15+F22+F35+F39+F59+F74+F80</f>
        <v>607037</v>
      </c>
      <c r="G10" s="99">
        <f>G11+G15+G22+G35+G39+G59+G74+G80</f>
        <v>607037</v>
      </c>
      <c r="H10" s="99">
        <f>E10+G10-F10</f>
        <v>708305420</v>
      </c>
      <c r="I10" s="8"/>
      <c r="J10" s="8"/>
      <c r="L10" s="8"/>
    </row>
    <row r="11" spans="1:12" ht="19.5" customHeight="1" thickTop="1">
      <c r="A11" s="240">
        <v>500</v>
      </c>
      <c r="B11" s="240"/>
      <c r="C11" s="240"/>
      <c r="D11" s="240" t="s">
        <v>117</v>
      </c>
      <c r="E11" s="312">
        <v>4800</v>
      </c>
      <c r="F11" s="312"/>
      <c r="G11" s="312">
        <f>G12</f>
        <v>30</v>
      </c>
      <c r="H11" s="312">
        <f>E11+G11-F11</f>
        <v>4830</v>
      </c>
      <c r="I11" s="8"/>
      <c r="J11" s="8"/>
      <c r="L11" s="8"/>
    </row>
    <row r="12" spans="1:12" s="13" customFormat="1" ht="19.5" customHeight="1">
      <c r="A12" s="239"/>
      <c r="B12" s="257">
        <v>50095</v>
      </c>
      <c r="C12" s="257"/>
      <c r="D12" s="257" t="s">
        <v>50</v>
      </c>
      <c r="E12" s="297">
        <v>4800</v>
      </c>
      <c r="F12" s="297"/>
      <c r="G12" s="297">
        <f>G13</f>
        <v>30</v>
      </c>
      <c r="H12" s="324">
        <f>E12+G12-F12</f>
        <v>4830</v>
      </c>
      <c r="I12" s="14"/>
      <c r="J12" s="14"/>
      <c r="L12" s="14"/>
    </row>
    <row r="13" spans="1:12" s="13" customFormat="1" ht="19.5" customHeight="1">
      <c r="A13" s="239"/>
      <c r="B13" s="239"/>
      <c r="C13" s="239"/>
      <c r="D13" s="243" t="s">
        <v>197</v>
      </c>
      <c r="E13" s="245">
        <v>4800</v>
      </c>
      <c r="F13" s="245"/>
      <c r="G13" s="245">
        <f>G14</f>
        <v>30</v>
      </c>
      <c r="H13" s="261">
        <f>E13+G13-F13</f>
        <v>4830</v>
      </c>
      <c r="I13" s="14"/>
      <c r="J13" s="14"/>
      <c r="L13" s="14"/>
    </row>
    <row r="14" spans="1:12" s="290" customFormat="1" ht="19.5" customHeight="1">
      <c r="A14" s="237"/>
      <c r="B14" s="237"/>
      <c r="C14" s="237">
        <v>4170</v>
      </c>
      <c r="D14" s="403" t="s">
        <v>98</v>
      </c>
      <c r="E14" s="399">
        <v>4800</v>
      </c>
      <c r="F14" s="399"/>
      <c r="G14" s="399">
        <v>30</v>
      </c>
      <c r="H14" s="399">
        <f>E14+G14-F14</f>
        <v>4830</v>
      </c>
      <c r="I14" s="291"/>
      <c r="J14" s="291"/>
      <c r="L14" s="291"/>
    </row>
    <row r="15" spans="1:12" ht="19.5" customHeight="1">
      <c r="A15" s="240">
        <v>700</v>
      </c>
      <c r="B15" s="240"/>
      <c r="C15" s="240"/>
      <c r="D15" s="240" t="s">
        <v>95</v>
      </c>
      <c r="E15" s="312">
        <v>14335586</v>
      </c>
      <c r="F15" s="312">
        <f>F16</f>
        <v>100000</v>
      </c>
      <c r="G15" s="312">
        <f>G16</f>
        <v>100000</v>
      </c>
      <c r="H15" s="312">
        <f aca="true" t="shared" si="0" ref="H15:H34">E15+G15-F15</f>
        <v>14335586</v>
      </c>
      <c r="I15" s="8"/>
      <c r="J15" s="8"/>
      <c r="L15" s="8"/>
    </row>
    <row r="16" spans="1:12" s="13" customFormat="1" ht="19.5" customHeight="1">
      <c r="A16" s="239"/>
      <c r="B16" s="257">
        <v>70001</v>
      </c>
      <c r="C16" s="257"/>
      <c r="D16" s="257" t="s">
        <v>147</v>
      </c>
      <c r="E16" s="297">
        <v>6200000</v>
      </c>
      <c r="F16" s="297">
        <f>F17</f>
        <v>100000</v>
      </c>
      <c r="G16" s="297">
        <f>G17</f>
        <v>100000</v>
      </c>
      <c r="H16" s="324">
        <f t="shared" si="0"/>
        <v>6200000</v>
      </c>
      <c r="I16" s="14"/>
      <c r="J16" s="14"/>
      <c r="L16" s="14"/>
    </row>
    <row r="17" spans="1:12" s="13" customFormat="1" ht="19.5" customHeight="1">
      <c r="A17" s="239"/>
      <c r="B17" s="239"/>
      <c r="C17" s="239"/>
      <c r="D17" s="243" t="s">
        <v>252</v>
      </c>
      <c r="E17" s="245">
        <v>6200000</v>
      </c>
      <c r="F17" s="245">
        <f>F19+F21</f>
        <v>100000</v>
      </c>
      <c r="G17" s="245">
        <f>G19+G21</f>
        <v>100000</v>
      </c>
      <c r="H17" s="261">
        <f t="shared" si="0"/>
        <v>6200000</v>
      </c>
      <c r="I17" s="14"/>
      <c r="J17" s="14"/>
      <c r="L17" s="14"/>
    </row>
    <row r="18" spans="1:12" s="290" customFormat="1" ht="19.5" customHeight="1">
      <c r="A18" s="236"/>
      <c r="B18" s="236"/>
      <c r="C18" s="236"/>
      <c r="D18" s="384" t="s">
        <v>148</v>
      </c>
      <c r="E18" s="385">
        <v>2454954</v>
      </c>
      <c r="F18" s="385">
        <v>100000</v>
      </c>
      <c r="G18" s="385"/>
      <c r="H18" s="414">
        <f t="shared" si="0"/>
        <v>2354954</v>
      </c>
      <c r="I18" s="291"/>
      <c r="J18" s="291"/>
      <c r="L18" s="291"/>
    </row>
    <row r="19" spans="1:12" s="290" customFormat="1" ht="19.5" customHeight="1">
      <c r="A19" s="236"/>
      <c r="B19" s="236"/>
      <c r="C19" s="268">
        <v>2650</v>
      </c>
      <c r="D19" s="10" t="s">
        <v>146</v>
      </c>
      <c r="E19" s="326">
        <v>5200000</v>
      </c>
      <c r="F19" s="326">
        <f>F18</f>
        <v>100000</v>
      </c>
      <c r="G19" s="326"/>
      <c r="H19" s="326">
        <f t="shared" si="0"/>
        <v>5100000</v>
      </c>
      <c r="I19" s="291"/>
      <c r="J19" s="291"/>
      <c r="L19" s="291"/>
    </row>
    <row r="20" spans="1:12" s="290" customFormat="1" ht="19.5" customHeight="1">
      <c r="A20" s="236"/>
      <c r="B20" s="236"/>
      <c r="C20" s="449"/>
      <c r="D20" s="451" t="s">
        <v>150</v>
      </c>
      <c r="E20" s="452">
        <v>1000000</v>
      </c>
      <c r="F20" s="452"/>
      <c r="G20" s="452">
        <v>100000</v>
      </c>
      <c r="H20" s="452">
        <f t="shared" si="0"/>
        <v>1100000</v>
      </c>
      <c r="I20" s="291"/>
      <c r="J20" s="291"/>
      <c r="L20" s="291"/>
    </row>
    <row r="21" spans="1:12" s="290" customFormat="1" ht="25.5" customHeight="1">
      <c r="A21" s="237"/>
      <c r="B21" s="237"/>
      <c r="C21" s="10">
        <v>6210</v>
      </c>
      <c r="D21" s="288" t="s">
        <v>151</v>
      </c>
      <c r="E21" s="262">
        <v>1000000</v>
      </c>
      <c r="F21" s="262"/>
      <c r="G21" s="262">
        <f>G20</f>
        <v>100000</v>
      </c>
      <c r="H21" s="262">
        <f t="shared" si="0"/>
        <v>1100000</v>
      </c>
      <c r="I21" s="291"/>
      <c r="J21" s="291"/>
      <c r="L21" s="291"/>
    </row>
    <row r="22" spans="1:12" ht="18.75" customHeight="1">
      <c r="A22" s="313">
        <v>754</v>
      </c>
      <c r="B22" s="313"/>
      <c r="C22" s="313"/>
      <c r="D22" s="240" t="s">
        <v>118</v>
      </c>
      <c r="E22" s="295">
        <v>5818000</v>
      </c>
      <c r="F22" s="295">
        <f>F23+F30</f>
        <v>45039</v>
      </c>
      <c r="G22" s="295">
        <f>G23+G30</f>
        <v>45039</v>
      </c>
      <c r="H22" s="295">
        <f t="shared" si="0"/>
        <v>5818000</v>
      </c>
      <c r="I22" s="8"/>
      <c r="J22" s="8"/>
      <c r="L22" s="8"/>
    </row>
    <row r="23" spans="1:12" ht="18.75" customHeight="1">
      <c r="A23" s="239"/>
      <c r="B23" s="241">
        <v>75416</v>
      </c>
      <c r="C23" s="241"/>
      <c r="D23" s="281" t="s">
        <v>119</v>
      </c>
      <c r="E23" s="244">
        <v>4675000</v>
      </c>
      <c r="F23" s="244">
        <f>F24+F27</f>
        <v>6500</v>
      </c>
      <c r="G23" s="244">
        <f>G24+G27</f>
        <v>6500</v>
      </c>
      <c r="H23" s="244">
        <f t="shared" si="0"/>
        <v>4675000</v>
      </c>
      <c r="I23" s="8"/>
      <c r="J23" s="8"/>
      <c r="L23" s="8"/>
    </row>
    <row r="24" spans="1:12" ht="18.75" customHeight="1">
      <c r="A24" s="239"/>
      <c r="B24" s="239"/>
      <c r="C24" s="239"/>
      <c r="D24" s="289" t="s">
        <v>47</v>
      </c>
      <c r="E24" s="272">
        <v>751300</v>
      </c>
      <c r="F24" s="272"/>
      <c r="G24" s="272">
        <f>SUM(G25:G26)</f>
        <v>6500</v>
      </c>
      <c r="H24" s="272">
        <f t="shared" si="0"/>
        <v>757800</v>
      </c>
      <c r="I24" s="8"/>
      <c r="J24" s="8"/>
      <c r="L24" s="8"/>
    </row>
    <row r="25" spans="1:12" ht="18.75" customHeight="1">
      <c r="A25" s="239"/>
      <c r="B25" s="239"/>
      <c r="C25" s="237">
        <v>4210</v>
      </c>
      <c r="D25" s="304" t="s">
        <v>46</v>
      </c>
      <c r="E25" s="246">
        <v>182873</v>
      </c>
      <c r="F25" s="246"/>
      <c r="G25" s="246">
        <v>3500</v>
      </c>
      <c r="H25" s="246">
        <f t="shared" si="0"/>
        <v>186373</v>
      </c>
      <c r="I25" s="8"/>
      <c r="J25" s="8"/>
      <c r="L25" s="8"/>
    </row>
    <row r="26" spans="1:12" ht="18.75" customHeight="1">
      <c r="A26" s="239"/>
      <c r="B26" s="239"/>
      <c r="C26" s="237">
        <v>4300</v>
      </c>
      <c r="D26" s="10" t="s">
        <v>45</v>
      </c>
      <c r="E26" s="238">
        <v>185871</v>
      </c>
      <c r="F26" s="238"/>
      <c r="G26" s="238">
        <v>3000</v>
      </c>
      <c r="H26" s="238">
        <f t="shared" si="0"/>
        <v>188871</v>
      </c>
      <c r="I26" s="8"/>
      <c r="J26" s="8"/>
      <c r="L26" s="8"/>
    </row>
    <row r="27" spans="1:12" ht="18.75" customHeight="1">
      <c r="A27" s="239"/>
      <c r="B27" s="239"/>
      <c r="C27" s="242"/>
      <c r="D27" s="282" t="s">
        <v>185</v>
      </c>
      <c r="E27" s="272">
        <v>171700</v>
      </c>
      <c r="F27" s="272">
        <f>F28</f>
        <v>6500</v>
      </c>
      <c r="G27" s="272"/>
      <c r="H27" s="272">
        <f t="shared" si="0"/>
        <v>165200</v>
      </c>
      <c r="I27" s="8"/>
      <c r="J27" s="8"/>
      <c r="L27" s="8"/>
    </row>
    <row r="28" spans="1:12" ht="18.75" customHeight="1">
      <c r="A28" s="251"/>
      <c r="B28" s="251"/>
      <c r="C28" s="237">
        <v>6060</v>
      </c>
      <c r="D28" s="250" t="s">
        <v>233</v>
      </c>
      <c r="E28" s="246">
        <v>171700</v>
      </c>
      <c r="F28" s="246">
        <v>6500</v>
      </c>
      <c r="G28" s="246"/>
      <c r="H28" s="246">
        <f t="shared" si="0"/>
        <v>165200</v>
      </c>
      <c r="I28" s="8"/>
      <c r="J28" s="8"/>
      <c r="L28" s="8"/>
    </row>
    <row r="29" spans="1:12" ht="18.75" customHeight="1">
      <c r="A29" s="597"/>
      <c r="B29" s="597"/>
      <c r="C29" s="598"/>
      <c r="D29" s="599"/>
      <c r="E29" s="600"/>
      <c r="F29" s="600"/>
      <c r="G29" s="600"/>
      <c r="H29" s="600"/>
      <c r="I29" s="8"/>
      <c r="J29" s="8"/>
      <c r="L29" s="8"/>
    </row>
    <row r="30" spans="1:12" ht="19.5" customHeight="1">
      <c r="A30" s="239"/>
      <c r="B30" s="241">
        <v>75495</v>
      </c>
      <c r="C30" s="241"/>
      <c r="D30" s="281" t="s">
        <v>50</v>
      </c>
      <c r="E30" s="244">
        <v>283000</v>
      </c>
      <c r="F30" s="244">
        <f>F31</f>
        <v>38539</v>
      </c>
      <c r="G30" s="244">
        <f>G31</f>
        <v>38539</v>
      </c>
      <c r="H30" s="244">
        <f t="shared" si="0"/>
        <v>283000</v>
      </c>
      <c r="I30" s="8"/>
      <c r="J30" s="8"/>
      <c r="L30" s="8"/>
    </row>
    <row r="31" spans="1:12" ht="19.5" customHeight="1">
      <c r="A31" s="239"/>
      <c r="B31" s="239"/>
      <c r="C31" s="239"/>
      <c r="D31" s="289" t="s">
        <v>253</v>
      </c>
      <c r="E31" s="272">
        <v>100000</v>
      </c>
      <c r="F31" s="272">
        <f>SUM(F32:F33)</f>
        <v>38539</v>
      </c>
      <c r="G31" s="272">
        <f>SUM(G32:G33)</f>
        <v>38539</v>
      </c>
      <c r="H31" s="272">
        <f t="shared" si="0"/>
        <v>100000</v>
      </c>
      <c r="I31" s="8"/>
      <c r="J31" s="8"/>
      <c r="L31" s="8"/>
    </row>
    <row r="32" spans="1:12" ht="18" customHeight="1">
      <c r="A32" s="239"/>
      <c r="B32" s="239"/>
      <c r="C32" s="237">
        <v>4210</v>
      </c>
      <c r="D32" s="304" t="s">
        <v>46</v>
      </c>
      <c r="E32" s="246">
        <v>17000</v>
      </c>
      <c r="F32" s="246"/>
      <c r="G32" s="246">
        <v>38539</v>
      </c>
      <c r="H32" s="246">
        <f t="shared" si="0"/>
        <v>55539</v>
      </c>
      <c r="I32" s="8"/>
      <c r="J32" s="8"/>
      <c r="L32" s="8"/>
    </row>
    <row r="33" spans="1:12" ht="25.5" customHeight="1">
      <c r="A33" s="239"/>
      <c r="B33" s="239"/>
      <c r="C33" s="242"/>
      <c r="D33" s="243" t="s">
        <v>198</v>
      </c>
      <c r="E33" s="272">
        <v>80000</v>
      </c>
      <c r="F33" s="272">
        <f>F34</f>
        <v>38539</v>
      </c>
      <c r="G33" s="272"/>
      <c r="H33" s="272">
        <f t="shared" si="0"/>
        <v>41461</v>
      </c>
      <c r="I33" s="8"/>
      <c r="J33" s="8"/>
      <c r="L33" s="8"/>
    </row>
    <row r="34" spans="1:12" ht="18.75" customHeight="1">
      <c r="A34" s="239"/>
      <c r="B34" s="239"/>
      <c r="C34" s="237">
        <v>6060</v>
      </c>
      <c r="D34" s="250" t="s">
        <v>233</v>
      </c>
      <c r="E34" s="246">
        <v>80000</v>
      </c>
      <c r="F34" s="246">
        <v>38539</v>
      </c>
      <c r="G34" s="246"/>
      <c r="H34" s="246">
        <f t="shared" si="0"/>
        <v>41461</v>
      </c>
      <c r="I34" s="8"/>
      <c r="J34" s="8"/>
      <c r="L34" s="8"/>
    </row>
    <row r="35" spans="1:12" ht="18" customHeight="1">
      <c r="A35" s="313">
        <v>758</v>
      </c>
      <c r="B35" s="313"/>
      <c r="C35" s="313"/>
      <c r="D35" s="313" t="s">
        <v>106</v>
      </c>
      <c r="E35" s="314">
        <v>3855571</v>
      </c>
      <c r="F35" s="314">
        <f>F36</f>
        <v>30</v>
      </c>
      <c r="G35" s="314"/>
      <c r="H35" s="314">
        <f>E35+G35-F35</f>
        <v>3855541</v>
      </c>
      <c r="I35" s="8"/>
      <c r="J35" s="8"/>
      <c r="L35" s="8"/>
    </row>
    <row r="36" spans="1:12" ht="17.25" customHeight="1">
      <c r="A36" s="239"/>
      <c r="B36" s="241">
        <v>75818</v>
      </c>
      <c r="C36" s="241"/>
      <c r="D36" s="241" t="s">
        <v>107</v>
      </c>
      <c r="E36" s="244">
        <v>1134027</v>
      </c>
      <c r="F36" s="244">
        <f>F37</f>
        <v>30</v>
      </c>
      <c r="G36" s="244"/>
      <c r="H36" s="244">
        <f>E36+G36-F36</f>
        <v>1133997</v>
      </c>
      <c r="I36" s="8"/>
      <c r="J36" s="8"/>
      <c r="L36" s="8"/>
    </row>
    <row r="37" spans="1:12" ht="18.75" customHeight="1">
      <c r="A37" s="239"/>
      <c r="B37" s="239"/>
      <c r="C37" s="239"/>
      <c r="D37" s="243" t="s">
        <v>108</v>
      </c>
      <c r="E37" s="252">
        <v>10912</v>
      </c>
      <c r="F37" s="245">
        <f>F38</f>
        <v>30</v>
      </c>
      <c r="G37" s="252"/>
      <c r="H37" s="252">
        <f>E37+G37-F37</f>
        <v>10882</v>
      </c>
      <c r="I37" s="8"/>
      <c r="J37" s="8"/>
      <c r="L37" s="8"/>
    </row>
    <row r="38" spans="1:12" ht="16.5" customHeight="1">
      <c r="A38" s="239"/>
      <c r="B38" s="239"/>
      <c r="C38" s="237">
        <v>4810</v>
      </c>
      <c r="D38" s="304" t="s">
        <v>116</v>
      </c>
      <c r="E38" s="305">
        <v>10912</v>
      </c>
      <c r="F38" s="305">
        <v>30</v>
      </c>
      <c r="G38" s="305"/>
      <c r="H38" s="305">
        <f>E38+G38-F38</f>
        <v>10882</v>
      </c>
      <c r="I38" s="8"/>
      <c r="J38" s="8"/>
      <c r="L38" s="8"/>
    </row>
    <row r="39" spans="1:12" ht="18" customHeight="1">
      <c r="A39" s="110">
        <v>851</v>
      </c>
      <c r="B39" s="110"/>
      <c r="C39" s="153"/>
      <c r="D39" s="119" t="s">
        <v>103</v>
      </c>
      <c r="E39" s="120">
        <v>9930000</v>
      </c>
      <c r="F39" s="120">
        <f>F40</f>
        <v>400000</v>
      </c>
      <c r="G39" s="120">
        <f>G40</f>
        <v>400000</v>
      </c>
      <c r="H39" s="120">
        <f aca="true" t="shared" si="1" ref="H39:H73">E39+G39-F39</f>
        <v>9930000</v>
      </c>
      <c r="J39" s="8"/>
      <c r="L39" s="8"/>
    </row>
    <row r="40" spans="1:12" ht="18" customHeight="1">
      <c r="A40" s="91"/>
      <c r="B40" s="145">
        <v>85154</v>
      </c>
      <c r="C40" s="148"/>
      <c r="D40" s="146" t="s">
        <v>104</v>
      </c>
      <c r="E40" s="147">
        <v>4800000</v>
      </c>
      <c r="F40" s="147">
        <f>F41</f>
        <v>400000</v>
      </c>
      <c r="G40" s="147">
        <f>G41</f>
        <v>400000</v>
      </c>
      <c r="H40" s="147">
        <f t="shared" si="1"/>
        <v>4800000</v>
      </c>
      <c r="J40" s="8"/>
      <c r="L40" s="8"/>
    </row>
    <row r="41" spans="1:12" ht="27" customHeight="1">
      <c r="A41" s="91"/>
      <c r="B41" s="91"/>
      <c r="C41" s="91"/>
      <c r="D41" s="306" t="s">
        <v>226</v>
      </c>
      <c r="E41" s="308">
        <v>4800000</v>
      </c>
      <c r="F41" s="308">
        <f>F42+F45+F48+F50+F53+F56</f>
        <v>400000</v>
      </c>
      <c r="G41" s="308">
        <f>G42+G45+G48+G50+G53+G56</f>
        <v>400000</v>
      </c>
      <c r="H41" s="308">
        <f t="shared" si="1"/>
        <v>4800000</v>
      </c>
      <c r="J41" s="8"/>
      <c r="L41" s="8"/>
    </row>
    <row r="42" spans="1:12" ht="27" customHeight="1">
      <c r="A42" s="91"/>
      <c r="B42" s="91"/>
      <c r="C42" s="91"/>
      <c r="D42" s="307" t="s">
        <v>136</v>
      </c>
      <c r="E42" s="445">
        <v>900000</v>
      </c>
      <c r="F42" s="445">
        <f>SUM(F43:F44)</f>
        <v>90900</v>
      </c>
      <c r="G42" s="445"/>
      <c r="H42" s="445">
        <f t="shared" si="1"/>
        <v>809100</v>
      </c>
      <c r="J42" s="8"/>
      <c r="L42" s="8"/>
    </row>
    <row r="43" spans="1:12" s="11" customFormat="1" ht="19.5" customHeight="1">
      <c r="A43" s="105"/>
      <c r="B43" s="105"/>
      <c r="C43" s="106">
        <v>4280</v>
      </c>
      <c r="D43" s="111" t="s">
        <v>235</v>
      </c>
      <c r="E43" s="112">
        <v>250000</v>
      </c>
      <c r="F43" s="112">
        <v>76900</v>
      </c>
      <c r="G43" s="112"/>
      <c r="H43" s="112">
        <f t="shared" si="1"/>
        <v>173100</v>
      </c>
      <c r="J43" s="12"/>
      <c r="L43" s="12"/>
    </row>
    <row r="44" spans="1:12" s="11" customFormat="1" ht="19.5" customHeight="1">
      <c r="A44" s="105"/>
      <c r="B44" s="105"/>
      <c r="C44" s="417">
        <v>4300</v>
      </c>
      <c r="D44" s="432" t="s">
        <v>45</v>
      </c>
      <c r="E44" s="398">
        <v>51000</v>
      </c>
      <c r="F44" s="398">
        <v>14000</v>
      </c>
      <c r="G44" s="398"/>
      <c r="H44" s="398">
        <f t="shared" si="1"/>
        <v>37000</v>
      </c>
      <c r="J44" s="12"/>
      <c r="L44" s="12"/>
    </row>
    <row r="45" spans="1:12" ht="38.25" customHeight="1">
      <c r="A45" s="91"/>
      <c r="B45" s="91"/>
      <c r="C45" s="91"/>
      <c r="D45" s="594" t="s">
        <v>137</v>
      </c>
      <c r="E45" s="445">
        <v>901200</v>
      </c>
      <c r="F45" s="445">
        <f>SUM(F46:F47)</f>
        <v>50500</v>
      </c>
      <c r="G45" s="445"/>
      <c r="H45" s="445">
        <f t="shared" si="1"/>
        <v>850700</v>
      </c>
      <c r="J45" s="8"/>
      <c r="L45" s="8"/>
    </row>
    <row r="46" spans="1:12" s="11" customFormat="1" ht="19.5" customHeight="1">
      <c r="A46" s="105"/>
      <c r="B46" s="105"/>
      <c r="C46" s="106">
        <v>4170</v>
      </c>
      <c r="D46" s="111" t="s">
        <v>98</v>
      </c>
      <c r="E46" s="112">
        <v>207522</v>
      </c>
      <c r="F46" s="112">
        <v>25000</v>
      </c>
      <c r="G46" s="112"/>
      <c r="H46" s="112">
        <f t="shared" si="1"/>
        <v>182522</v>
      </c>
      <c r="J46" s="12"/>
      <c r="L46" s="12"/>
    </row>
    <row r="47" spans="1:12" s="11" customFormat="1" ht="19.5" customHeight="1">
      <c r="A47" s="105"/>
      <c r="B47" s="105"/>
      <c r="C47" s="417">
        <v>4300</v>
      </c>
      <c r="D47" s="432" t="s">
        <v>45</v>
      </c>
      <c r="E47" s="398">
        <v>113195</v>
      </c>
      <c r="F47" s="398">
        <v>25500</v>
      </c>
      <c r="G47" s="398"/>
      <c r="H47" s="398">
        <f t="shared" si="1"/>
        <v>87695</v>
      </c>
      <c r="J47" s="12"/>
      <c r="L47" s="12"/>
    </row>
    <row r="48" spans="1:12" ht="89.25" customHeight="1">
      <c r="A48" s="239"/>
      <c r="B48" s="239"/>
      <c r="C48" s="242"/>
      <c r="D48" s="243" t="s">
        <v>227</v>
      </c>
      <c r="E48" s="245">
        <v>1198800</v>
      </c>
      <c r="F48" s="245">
        <f>F49</f>
        <v>15100</v>
      </c>
      <c r="G48" s="245"/>
      <c r="H48" s="245">
        <f t="shared" si="1"/>
        <v>1183700</v>
      </c>
      <c r="J48" s="8"/>
      <c r="L48" s="8"/>
    </row>
    <row r="49" spans="1:12" ht="18" customHeight="1">
      <c r="A49" s="239"/>
      <c r="B49" s="239"/>
      <c r="C49" s="237">
        <v>4300</v>
      </c>
      <c r="D49" s="10" t="s">
        <v>45</v>
      </c>
      <c r="E49" s="238">
        <v>345063</v>
      </c>
      <c r="F49" s="238">
        <v>15100</v>
      </c>
      <c r="G49" s="238"/>
      <c r="H49" s="238">
        <f t="shared" si="1"/>
        <v>329963</v>
      </c>
      <c r="J49" s="8"/>
      <c r="L49" s="8"/>
    </row>
    <row r="50" spans="1:12" ht="25.5" customHeight="1">
      <c r="A50" s="91"/>
      <c r="B50" s="91"/>
      <c r="C50" s="91"/>
      <c r="D50" s="243" t="s">
        <v>138</v>
      </c>
      <c r="E50" s="149">
        <v>1000000</v>
      </c>
      <c r="F50" s="445"/>
      <c r="G50" s="445">
        <f>G52</f>
        <v>400000</v>
      </c>
      <c r="H50" s="445">
        <f t="shared" si="1"/>
        <v>1400000</v>
      </c>
      <c r="J50" s="8"/>
      <c r="L50" s="8"/>
    </row>
    <row r="51" spans="1:12" s="11" customFormat="1" ht="19.5" customHeight="1">
      <c r="A51" s="105"/>
      <c r="B51" s="105"/>
      <c r="C51" s="105"/>
      <c r="D51" s="384" t="s">
        <v>199</v>
      </c>
      <c r="E51" s="595">
        <v>1000000</v>
      </c>
      <c r="F51" s="595"/>
      <c r="G51" s="595">
        <v>400000</v>
      </c>
      <c r="H51" s="595">
        <f t="shared" si="1"/>
        <v>1400000</v>
      </c>
      <c r="J51" s="12"/>
      <c r="L51" s="12"/>
    </row>
    <row r="52" spans="1:12" s="11" customFormat="1" ht="19.5" customHeight="1">
      <c r="A52" s="105"/>
      <c r="B52" s="105"/>
      <c r="C52" s="106">
        <v>6050</v>
      </c>
      <c r="D52" s="10" t="s">
        <v>96</v>
      </c>
      <c r="E52" s="112">
        <v>1000000</v>
      </c>
      <c r="F52" s="112"/>
      <c r="G52" s="112">
        <f>G51</f>
        <v>400000</v>
      </c>
      <c r="H52" s="112">
        <f t="shared" si="1"/>
        <v>1400000</v>
      </c>
      <c r="J52" s="12"/>
      <c r="L52" s="12"/>
    </row>
    <row r="53" spans="1:12" ht="25.5" customHeight="1">
      <c r="A53" s="91"/>
      <c r="B53" s="91"/>
      <c r="C53" s="91"/>
      <c r="D53" s="243" t="s">
        <v>140</v>
      </c>
      <c r="E53" s="445">
        <v>150000</v>
      </c>
      <c r="F53" s="445">
        <f>SUM(F54:F55)</f>
        <v>100000</v>
      </c>
      <c r="G53" s="445"/>
      <c r="H53" s="445">
        <f t="shared" si="1"/>
        <v>50000</v>
      </c>
      <c r="J53" s="8"/>
      <c r="L53" s="8"/>
    </row>
    <row r="54" spans="1:12" s="11" customFormat="1" ht="19.5" customHeight="1">
      <c r="A54" s="106"/>
      <c r="B54" s="106"/>
      <c r="C54" s="106">
        <v>4170</v>
      </c>
      <c r="D54" s="111" t="s">
        <v>98</v>
      </c>
      <c r="E54" s="112">
        <v>50000</v>
      </c>
      <c r="F54" s="112">
        <v>41000</v>
      </c>
      <c r="G54" s="112"/>
      <c r="H54" s="112">
        <f t="shared" si="1"/>
        <v>9000</v>
      </c>
      <c r="J54" s="12"/>
      <c r="L54" s="12"/>
    </row>
    <row r="55" spans="1:12" s="11" customFormat="1" ht="18.75" customHeight="1">
      <c r="A55" s="431"/>
      <c r="B55" s="431"/>
      <c r="C55" s="106">
        <v>4300</v>
      </c>
      <c r="D55" s="111" t="s">
        <v>45</v>
      </c>
      <c r="E55" s="112">
        <v>64370</v>
      </c>
      <c r="F55" s="112">
        <v>59000</v>
      </c>
      <c r="G55" s="112"/>
      <c r="H55" s="112">
        <f t="shared" si="1"/>
        <v>5370</v>
      </c>
      <c r="J55" s="12"/>
      <c r="L55" s="12"/>
    </row>
    <row r="56" spans="1:12" ht="18.75" customHeight="1">
      <c r="A56" s="91"/>
      <c r="B56" s="91"/>
      <c r="C56" s="91"/>
      <c r="D56" s="397" t="s">
        <v>141</v>
      </c>
      <c r="E56" s="572">
        <v>450000</v>
      </c>
      <c r="F56" s="572">
        <f>SUM(F57:F58)</f>
        <v>143500</v>
      </c>
      <c r="G56" s="572"/>
      <c r="H56" s="572">
        <f t="shared" si="1"/>
        <v>306500</v>
      </c>
      <c r="J56" s="8"/>
      <c r="L56" s="8"/>
    </row>
    <row r="57" spans="1:12" s="11" customFormat="1" ht="18.75" customHeight="1">
      <c r="A57" s="105"/>
      <c r="B57" s="105"/>
      <c r="C57" s="106">
        <v>4170</v>
      </c>
      <c r="D57" s="111" t="s">
        <v>98</v>
      </c>
      <c r="E57" s="112">
        <v>7000</v>
      </c>
      <c r="F57" s="112">
        <v>6000</v>
      </c>
      <c r="G57" s="112"/>
      <c r="H57" s="112">
        <f t="shared" si="1"/>
        <v>1000</v>
      </c>
      <c r="J57" s="12"/>
      <c r="L57" s="12"/>
    </row>
    <row r="58" spans="1:12" s="11" customFormat="1" ht="18.75" customHeight="1">
      <c r="A58" s="106"/>
      <c r="B58" s="106"/>
      <c r="C58" s="417">
        <v>4300</v>
      </c>
      <c r="D58" s="432" t="s">
        <v>45</v>
      </c>
      <c r="E58" s="398">
        <v>226140</v>
      </c>
      <c r="F58" s="398">
        <v>137500</v>
      </c>
      <c r="G58" s="398"/>
      <c r="H58" s="398">
        <f t="shared" si="1"/>
        <v>88640</v>
      </c>
      <c r="J58" s="12"/>
      <c r="L58" s="12"/>
    </row>
    <row r="59" spans="1:12" ht="18.75" customHeight="1">
      <c r="A59" s="240">
        <v>852</v>
      </c>
      <c r="B59" s="240"/>
      <c r="C59" s="240"/>
      <c r="D59" s="240" t="s">
        <v>32</v>
      </c>
      <c r="E59" s="301">
        <v>87055913</v>
      </c>
      <c r="F59" s="301">
        <f>F60+F67+F70</f>
        <v>45213</v>
      </c>
      <c r="G59" s="301">
        <f>G60+G67+G70</f>
        <v>45213</v>
      </c>
      <c r="H59" s="301">
        <f t="shared" si="1"/>
        <v>87055913</v>
      </c>
      <c r="I59" s="8"/>
      <c r="J59" s="8"/>
      <c r="L59" s="8"/>
    </row>
    <row r="60" spans="1:12" s="13" customFormat="1" ht="18.75" customHeight="1">
      <c r="A60" s="239"/>
      <c r="B60" s="241">
        <v>85202</v>
      </c>
      <c r="C60" s="241"/>
      <c r="D60" s="241" t="s">
        <v>2</v>
      </c>
      <c r="E60" s="244">
        <v>15325692</v>
      </c>
      <c r="F60" s="244">
        <f>F61+F63+F65</f>
        <v>7600</v>
      </c>
      <c r="G60" s="244">
        <f>G61+G63+G65</f>
        <v>37600</v>
      </c>
      <c r="H60" s="379">
        <f t="shared" si="1"/>
        <v>15355692</v>
      </c>
      <c r="I60" s="14"/>
      <c r="J60" s="14"/>
      <c r="L60" s="14"/>
    </row>
    <row r="61" spans="1:12" s="13" customFormat="1" ht="18.75" customHeight="1">
      <c r="A61" s="239"/>
      <c r="B61" s="239"/>
      <c r="C61" s="239"/>
      <c r="D61" s="282" t="s">
        <v>234</v>
      </c>
      <c r="E61" s="272">
        <v>7400000</v>
      </c>
      <c r="F61" s="272">
        <f>F62</f>
        <v>7600</v>
      </c>
      <c r="G61" s="272"/>
      <c r="H61" s="325">
        <f t="shared" si="1"/>
        <v>7392400</v>
      </c>
      <c r="I61" s="14"/>
      <c r="J61" s="14"/>
      <c r="L61" s="14"/>
    </row>
    <row r="62" spans="1:12" ht="18.75" customHeight="1">
      <c r="A62" s="239"/>
      <c r="B62" s="239"/>
      <c r="C62" s="237">
        <v>4170</v>
      </c>
      <c r="D62" s="10" t="s">
        <v>98</v>
      </c>
      <c r="E62" s="238">
        <v>62176</v>
      </c>
      <c r="F62" s="238">
        <v>7600</v>
      </c>
      <c r="G62" s="238"/>
      <c r="H62" s="238">
        <f>E62+G62-F62</f>
        <v>54576</v>
      </c>
      <c r="J62" s="8"/>
      <c r="L62" s="8"/>
    </row>
    <row r="63" spans="1:12" s="13" customFormat="1" ht="18.75" customHeight="1">
      <c r="A63" s="239"/>
      <c r="B63" s="239"/>
      <c r="C63" s="239"/>
      <c r="D63" s="243" t="s">
        <v>47</v>
      </c>
      <c r="E63" s="245">
        <v>3931330</v>
      </c>
      <c r="F63" s="245"/>
      <c r="G63" s="245">
        <f>G64</f>
        <v>7600</v>
      </c>
      <c r="H63" s="261">
        <f>E63+G63-F63</f>
        <v>3938930</v>
      </c>
      <c r="I63" s="14"/>
      <c r="J63" s="14"/>
      <c r="L63" s="14"/>
    </row>
    <row r="64" spans="1:12" s="290" customFormat="1" ht="18.75" customHeight="1">
      <c r="A64" s="236"/>
      <c r="B64" s="236"/>
      <c r="C64" s="237">
        <v>4260</v>
      </c>
      <c r="D64" s="403" t="s">
        <v>48</v>
      </c>
      <c r="E64" s="399">
        <v>847100</v>
      </c>
      <c r="F64" s="399"/>
      <c r="G64" s="399">
        <v>7600</v>
      </c>
      <c r="H64" s="399">
        <f>E64+G64-F64</f>
        <v>854700</v>
      </c>
      <c r="I64" s="291"/>
      <c r="J64" s="291"/>
      <c r="L64" s="291"/>
    </row>
    <row r="65" spans="1:12" s="13" customFormat="1" ht="25.5" customHeight="1">
      <c r="A65" s="239"/>
      <c r="B65" s="239"/>
      <c r="C65" s="239"/>
      <c r="D65" s="418" t="s">
        <v>186</v>
      </c>
      <c r="E65" s="325">
        <v>450000</v>
      </c>
      <c r="F65" s="325"/>
      <c r="G65" s="325">
        <f>G66</f>
        <v>30000</v>
      </c>
      <c r="H65" s="325">
        <f>E65+G65-F65</f>
        <v>480000</v>
      </c>
      <c r="I65" s="14"/>
      <c r="J65" s="14"/>
      <c r="L65" s="14"/>
    </row>
    <row r="66" spans="1:12" s="290" customFormat="1" ht="25.5" customHeight="1">
      <c r="A66" s="236"/>
      <c r="B66" s="236"/>
      <c r="C66" s="237">
        <v>4330</v>
      </c>
      <c r="D66" s="10" t="s">
        <v>122</v>
      </c>
      <c r="E66" s="327">
        <v>450000</v>
      </c>
      <c r="F66" s="327"/>
      <c r="G66" s="327">
        <v>30000</v>
      </c>
      <c r="H66" s="327">
        <f>E66+G66-F66</f>
        <v>480000</v>
      </c>
      <c r="I66" s="291"/>
      <c r="J66" s="291"/>
      <c r="L66" s="291"/>
    </row>
    <row r="67" spans="1:12" ht="18.75" customHeight="1">
      <c r="A67" s="239"/>
      <c r="B67" s="257">
        <v>85228</v>
      </c>
      <c r="C67" s="257"/>
      <c r="D67" s="241" t="s">
        <v>123</v>
      </c>
      <c r="E67" s="324">
        <v>7300000</v>
      </c>
      <c r="F67" s="324">
        <f>F68</f>
        <v>30000</v>
      </c>
      <c r="G67" s="324"/>
      <c r="H67" s="324">
        <f t="shared" si="1"/>
        <v>7270000</v>
      </c>
      <c r="I67" s="8"/>
      <c r="J67" s="8"/>
      <c r="L67" s="8"/>
    </row>
    <row r="68" spans="1:12" ht="18.75" customHeight="1">
      <c r="A68" s="239"/>
      <c r="B68" s="239"/>
      <c r="C68" s="242"/>
      <c r="D68" s="247" t="s">
        <v>124</v>
      </c>
      <c r="E68" s="245">
        <v>7300000</v>
      </c>
      <c r="F68" s="245">
        <f>F69</f>
        <v>30000</v>
      </c>
      <c r="G68" s="245"/>
      <c r="H68" s="245">
        <f t="shared" si="1"/>
        <v>7270000</v>
      </c>
      <c r="I68" s="8"/>
      <c r="J68" s="8"/>
      <c r="L68" s="8"/>
    </row>
    <row r="69" spans="1:12" ht="18.75" customHeight="1">
      <c r="A69" s="239"/>
      <c r="B69" s="251"/>
      <c r="C69" s="237">
        <v>4300</v>
      </c>
      <c r="D69" s="237" t="s">
        <v>45</v>
      </c>
      <c r="E69" s="246">
        <v>7300000</v>
      </c>
      <c r="F69" s="246">
        <v>30000</v>
      </c>
      <c r="G69" s="246"/>
      <c r="H69" s="246">
        <f t="shared" si="1"/>
        <v>7270000</v>
      </c>
      <c r="I69" s="8"/>
      <c r="J69" s="8"/>
      <c r="L69" s="8"/>
    </row>
    <row r="70" spans="1:12" ht="18.75" customHeight="1">
      <c r="A70" s="239"/>
      <c r="B70" s="257">
        <v>85295</v>
      </c>
      <c r="C70" s="257"/>
      <c r="D70" s="241" t="s">
        <v>50</v>
      </c>
      <c r="E70" s="324">
        <v>2864398</v>
      </c>
      <c r="F70" s="324">
        <f>F71</f>
        <v>7613</v>
      </c>
      <c r="G70" s="324">
        <f>G71</f>
        <v>7613</v>
      </c>
      <c r="H70" s="324">
        <f t="shared" si="1"/>
        <v>2864398</v>
      </c>
      <c r="I70" s="8"/>
      <c r="J70" s="8"/>
      <c r="L70" s="8"/>
    </row>
    <row r="71" spans="1:12" ht="25.5" customHeight="1">
      <c r="A71" s="239"/>
      <c r="B71" s="239"/>
      <c r="C71" s="242"/>
      <c r="D71" s="243" t="s">
        <v>212</v>
      </c>
      <c r="E71" s="245">
        <v>750000</v>
      </c>
      <c r="F71" s="245">
        <f>SUM(F72:F73)</f>
        <v>7613</v>
      </c>
      <c r="G71" s="245">
        <f>SUM(G72:G73)</f>
        <v>7613</v>
      </c>
      <c r="H71" s="245">
        <f t="shared" si="1"/>
        <v>750000</v>
      </c>
      <c r="I71" s="8"/>
      <c r="J71" s="8"/>
      <c r="L71" s="8"/>
    </row>
    <row r="72" spans="1:12" ht="25.5" customHeight="1">
      <c r="A72" s="239"/>
      <c r="B72" s="239"/>
      <c r="C72" s="237">
        <v>2810</v>
      </c>
      <c r="D72" s="10" t="s">
        <v>214</v>
      </c>
      <c r="E72" s="246">
        <v>441000</v>
      </c>
      <c r="F72" s="246">
        <v>7613</v>
      </c>
      <c r="G72" s="246"/>
      <c r="H72" s="246">
        <f t="shared" si="1"/>
        <v>433387</v>
      </c>
      <c r="I72" s="8"/>
      <c r="J72" s="8"/>
      <c r="L72" s="8"/>
    </row>
    <row r="73" spans="1:12" ht="25.5" customHeight="1">
      <c r="A73" s="251"/>
      <c r="B73" s="251"/>
      <c r="C73" s="237">
        <v>2820</v>
      </c>
      <c r="D73" s="10" t="s">
        <v>238</v>
      </c>
      <c r="E73" s="246">
        <v>225000</v>
      </c>
      <c r="F73" s="246"/>
      <c r="G73" s="246">
        <v>7613</v>
      </c>
      <c r="H73" s="246">
        <f t="shared" si="1"/>
        <v>232613</v>
      </c>
      <c r="I73" s="8"/>
      <c r="J73" s="8"/>
      <c r="L73" s="8"/>
    </row>
    <row r="74" spans="1:12" ht="18" customHeight="1">
      <c r="A74" s="240">
        <v>921</v>
      </c>
      <c r="B74" s="240"/>
      <c r="C74" s="240"/>
      <c r="D74" s="240" t="s">
        <v>105</v>
      </c>
      <c r="E74" s="301">
        <v>13647500</v>
      </c>
      <c r="F74" s="301">
        <f>F75</f>
        <v>14305</v>
      </c>
      <c r="G74" s="301">
        <f>G75</f>
        <v>14305</v>
      </c>
      <c r="H74" s="301">
        <f aca="true" t="shared" si="2" ref="H74:H85">E74+G74-F74</f>
        <v>13647500</v>
      </c>
      <c r="J74" s="8"/>
      <c r="L74" s="8"/>
    </row>
    <row r="75" spans="1:12" ht="18" customHeight="1">
      <c r="A75" s="239"/>
      <c r="B75" s="257">
        <v>92116</v>
      </c>
      <c r="C75" s="257"/>
      <c r="D75" s="257" t="s">
        <v>225</v>
      </c>
      <c r="E75" s="324">
        <v>4795000</v>
      </c>
      <c r="F75" s="324">
        <f>F76</f>
        <v>14305</v>
      </c>
      <c r="G75" s="324">
        <f>G76</f>
        <v>14305</v>
      </c>
      <c r="H75" s="324">
        <f>E75+G75-F75</f>
        <v>4795000</v>
      </c>
      <c r="J75" s="8"/>
      <c r="L75" s="8"/>
    </row>
    <row r="76" spans="1:12" ht="51" customHeight="1">
      <c r="A76" s="239"/>
      <c r="B76" s="239"/>
      <c r="C76" s="239"/>
      <c r="D76" s="285" t="s">
        <v>143</v>
      </c>
      <c r="E76" s="325">
        <v>140000</v>
      </c>
      <c r="F76" s="325">
        <f>SUM(F77:F78)</f>
        <v>14305</v>
      </c>
      <c r="G76" s="325">
        <f>SUM(G77:G78)</f>
        <v>14305</v>
      </c>
      <c r="H76" s="325">
        <f>E76+G76-F76</f>
        <v>140000</v>
      </c>
      <c r="J76" s="8"/>
      <c r="L76" s="8"/>
    </row>
    <row r="77" spans="1:12" s="11" customFormat="1" ht="27" customHeight="1">
      <c r="A77" s="236"/>
      <c r="B77" s="236"/>
      <c r="C77" s="237">
        <v>2800</v>
      </c>
      <c r="D77" s="288" t="s">
        <v>200</v>
      </c>
      <c r="E77" s="326"/>
      <c r="F77" s="326"/>
      <c r="G77" s="326">
        <v>14305</v>
      </c>
      <c r="H77" s="326">
        <f>E77+G77-F77</f>
        <v>14305</v>
      </c>
      <c r="J77" s="12"/>
      <c r="L77" s="12"/>
    </row>
    <row r="78" spans="1:12" s="11" customFormat="1" ht="39.75" customHeight="1">
      <c r="A78" s="237"/>
      <c r="B78" s="444"/>
      <c r="C78" s="408">
        <v>6220</v>
      </c>
      <c r="D78" s="288" t="s">
        <v>142</v>
      </c>
      <c r="E78" s="262">
        <v>140000</v>
      </c>
      <c r="F78" s="262">
        <v>14305</v>
      </c>
      <c r="G78" s="262"/>
      <c r="H78" s="262">
        <f>E78+G78-F78</f>
        <v>125695</v>
      </c>
      <c r="J78" s="12"/>
      <c r="L78" s="12"/>
    </row>
    <row r="79" spans="1:12" s="11" customFormat="1" ht="39.75" customHeight="1">
      <c r="A79" s="598"/>
      <c r="B79" s="612"/>
      <c r="C79" s="613"/>
      <c r="D79" s="614"/>
      <c r="E79" s="615"/>
      <c r="F79" s="615"/>
      <c r="G79" s="615"/>
      <c r="H79" s="615"/>
      <c r="J79" s="12"/>
      <c r="L79" s="12"/>
    </row>
    <row r="80" spans="1:12" ht="18.75" customHeight="1">
      <c r="A80" s="240">
        <v>926</v>
      </c>
      <c r="B80" s="240"/>
      <c r="C80" s="240"/>
      <c r="D80" s="240" t="s">
        <v>216</v>
      </c>
      <c r="E80" s="312">
        <v>15056000</v>
      </c>
      <c r="F80" s="312">
        <f>F81</f>
        <v>2450</v>
      </c>
      <c r="G80" s="312">
        <f>G81</f>
        <v>2450</v>
      </c>
      <c r="H80" s="312">
        <f t="shared" si="2"/>
        <v>15056000</v>
      </c>
      <c r="J80" s="8"/>
      <c r="L80" s="8"/>
    </row>
    <row r="81" spans="1:12" ht="18.75" customHeight="1">
      <c r="A81" s="329"/>
      <c r="B81" s="330">
        <v>92605</v>
      </c>
      <c r="C81" s="330"/>
      <c r="D81" s="330" t="s">
        <v>217</v>
      </c>
      <c r="E81" s="331">
        <v>2090000</v>
      </c>
      <c r="F81" s="331">
        <f>F82+F85</f>
        <v>2450</v>
      </c>
      <c r="G81" s="331">
        <f>G82+G85</f>
        <v>2450</v>
      </c>
      <c r="H81" s="331">
        <f t="shared" si="2"/>
        <v>2090000</v>
      </c>
      <c r="J81" s="8"/>
      <c r="L81" s="8"/>
    </row>
    <row r="82" spans="1:12" ht="18.75" customHeight="1">
      <c r="A82" s="239"/>
      <c r="B82" s="239"/>
      <c r="C82" s="242"/>
      <c r="D82" s="243" t="s">
        <v>132</v>
      </c>
      <c r="E82" s="245">
        <v>880000</v>
      </c>
      <c r="F82" s="245">
        <f>SUM(F83:F84)</f>
        <v>2090</v>
      </c>
      <c r="G82" s="245">
        <f>SUM(G83:G84)</f>
        <v>2450</v>
      </c>
      <c r="H82" s="245">
        <f t="shared" si="2"/>
        <v>880360</v>
      </c>
      <c r="J82" s="8"/>
      <c r="L82" s="8"/>
    </row>
    <row r="83" spans="1:12" ht="18.75" customHeight="1">
      <c r="A83" s="239"/>
      <c r="B83" s="239"/>
      <c r="C83" s="237">
        <v>4210</v>
      </c>
      <c r="D83" s="237" t="s">
        <v>46</v>
      </c>
      <c r="E83" s="246">
        <v>8000</v>
      </c>
      <c r="F83" s="246">
        <v>2090</v>
      </c>
      <c r="G83" s="246"/>
      <c r="H83" s="246">
        <f t="shared" si="2"/>
        <v>5910</v>
      </c>
      <c r="J83" s="8"/>
      <c r="L83" s="8"/>
    </row>
    <row r="84" spans="1:12" ht="18.75" customHeight="1">
      <c r="A84" s="239"/>
      <c r="B84" s="239"/>
      <c r="C84" s="273">
        <v>4300</v>
      </c>
      <c r="D84" s="273" t="s">
        <v>45</v>
      </c>
      <c r="E84" s="255">
        <v>1000</v>
      </c>
      <c r="F84" s="255"/>
      <c r="G84" s="255">
        <v>2450</v>
      </c>
      <c r="H84" s="255">
        <f t="shared" si="2"/>
        <v>3450</v>
      </c>
      <c r="J84" s="8"/>
      <c r="L84" s="8"/>
    </row>
    <row r="85" spans="1:12" ht="25.5" customHeight="1">
      <c r="A85" s="239"/>
      <c r="B85" s="239"/>
      <c r="C85" s="236"/>
      <c r="D85" s="397" t="s">
        <v>135</v>
      </c>
      <c r="E85" s="416">
        <v>40000</v>
      </c>
      <c r="F85" s="416">
        <f>F86</f>
        <v>360</v>
      </c>
      <c r="G85" s="416"/>
      <c r="H85" s="416">
        <f t="shared" si="2"/>
        <v>39640</v>
      </c>
      <c r="J85" s="8"/>
      <c r="L85" s="8"/>
    </row>
    <row r="86" spans="1:12" ht="25.5" customHeight="1">
      <c r="A86" s="239"/>
      <c r="B86" s="239"/>
      <c r="C86" s="237">
        <v>3040</v>
      </c>
      <c r="D86" s="10" t="s">
        <v>134</v>
      </c>
      <c r="E86" s="246">
        <v>40000</v>
      </c>
      <c r="F86" s="246">
        <v>360</v>
      </c>
      <c r="G86" s="246"/>
      <c r="H86" s="246">
        <f>E86+G86-F86</f>
        <v>39640</v>
      </c>
      <c r="J86" s="8"/>
      <c r="L86" s="8"/>
    </row>
    <row r="87" spans="1:8" ht="28.5" customHeight="1" thickBot="1">
      <c r="A87" s="91"/>
      <c r="B87" s="91"/>
      <c r="C87" s="573"/>
      <c r="D87" s="117" t="s">
        <v>224</v>
      </c>
      <c r="E87" s="118">
        <v>6109723</v>
      </c>
      <c r="F87" s="118"/>
      <c r="G87" s="118"/>
      <c r="H87" s="118">
        <f aca="true" t="shared" si="3" ref="H87:H94">E87+G87-F87</f>
        <v>6109723</v>
      </c>
    </row>
    <row r="88" spans="1:8" ht="19.5" customHeight="1" thickBot="1" thickTop="1">
      <c r="A88" s="161"/>
      <c r="B88" s="160"/>
      <c r="C88" s="160"/>
      <c r="D88" s="189" t="s">
        <v>16</v>
      </c>
      <c r="E88" s="181">
        <v>82719559</v>
      </c>
      <c r="F88" s="181">
        <f>F89+F94</f>
        <v>754384</v>
      </c>
      <c r="G88" s="181">
        <f>G89+G94</f>
        <v>5251</v>
      </c>
      <c r="H88" s="181">
        <f t="shared" si="3"/>
        <v>81970426</v>
      </c>
    </row>
    <row r="89" spans="1:9" s="16" customFormat="1" ht="19.5" customHeight="1" thickBot="1">
      <c r="A89" s="101"/>
      <c r="B89" s="101"/>
      <c r="C89" s="101"/>
      <c r="D89" s="172" t="s">
        <v>53</v>
      </c>
      <c r="E89" s="168">
        <v>60740197</v>
      </c>
      <c r="F89" s="168">
        <f>F90</f>
        <v>749133</v>
      </c>
      <c r="G89" s="168"/>
      <c r="H89" s="168">
        <f t="shared" si="3"/>
        <v>59991064</v>
      </c>
      <c r="I89" s="15"/>
    </row>
    <row r="90" spans="1:9" s="16" customFormat="1" ht="19.5" customHeight="1" thickTop="1">
      <c r="A90" s="240">
        <v>852</v>
      </c>
      <c r="B90" s="240"/>
      <c r="C90" s="240"/>
      <c r="D90" s="284" t="s">
        <v>32</v>
      </c>
      <c r="E90" s="312">
        <v>57777889</v>
      </c>
      <c r="F90" s="312">
        <f>F91</f>
        <v>749133</v>
      </c>
      <c r="G90" s="312"/>
      <c r="H90" s="312">
        <f t="shared" si="3"/>
        <v>57028756</v>
      </c>
      <c r="I90" s="351"/>
    </row>
    <row r="91" spans="1:9" s="16" customFormat="1" ht="40.5" customHeight="1">
      <c r="A91" s="239"/>
      <c r="B91" s="259">
        <v>85212</v>
      </c>
      <c r="C91" s="259"/>
      <c r="D91" s="442" t="s">
        <v>125</v>
      </c>
      <c r="E91" s="296">
        <v>48430864</v>
      </c>
      <c r="F91" s="296">
        <f>F92</f>
        <v>749133</v>
      </c>
      <c r="G91" s="296"/>
      <c r="H91" s="296">
        <f t="shared" si="3"/>
        <v>47681731</v>
      </c>
      <c r="I91" s="351"/>
    </row>
    <row r="92" spans="1:9" s="16" customFormat="1" ht="19.5" customHeight="1">
      <c r="A92" s="239"/>
      <c r="B92" s="242"/>
      <c r="C92" s="242"/>
      <c r="D92" s="267" t="s">
        <v>127</v>
      </c>
      <c r="E92" s="272">
        <v>47076674</v>
      </c>
      <c r="F92" s="272">
        <f>F93</f>
        <v>749133</v>
      </c>
      <c r="G92" s="272"/>
      <c r="H92" s="272">
        <f t="shared" si="3"/>
        <v>46327541</v>
      </c>
      <c r="I92" s="351"/>
    </row>
    <row r="93" spans="1:8" ht="19.5" customHeight="1">
      <c r="A93" s="239"/>
      <c r="B93" s="239"/>
      <c r="C93" s="237">
        <v>3110</v>
      </c>
      <c r="D93" s="304" t="s">
        <v>128</v>
      </c>
      <c r="E93" s="355">
        <v>46376674</v>
      </c>
      <c r="F93" s="355">
        <v>749133</v>
      </c>
      <c r="G93" s="355"/>
      <c r="H93" s="355">
        <f>E93+G93-F93</f>
        <v>45627541</v>
      </c>
    </row>
    <row r="94" spans="1:8" s="16" customFormat="1" ht="27" customHeight="1" thickBot="1">
      <c r="A94" s="251"/>
      <c r="B94" s="251"/>
      <c r="C94" s="251"/>
      <c r="D94" s="118" t="s">
        <v>54</v>
      </c>
      <c r="E94" s="118">
        <v>21979362</v>
      </c>
      <c r="F94" s="118">
        <f>F95</f>
        <v>5251</v>
      </c>
      <c r="G94" s="118">
        <f>G95</f>
        <v>5251</v>
      </c>
      <c r="H94" s="118">
        <f t="shared" si="3"/>
        <v>21979362</v>
      </c>
    </row>
    <row r="95" spans="1:8" ht="19.5" customHeight="1" thickTop="1">
      <c r="A95" s="407" t="s">
        <v>129</v>
      </c>
      <c r="B95" s="240"/>
      <c r="C95" s="240"/>
      <c r="D95" s="240" t="s">
        <v>130</v>
      </c>
      <c r="E95" s="312">
        <v>597598</v>
      </c>
      <c r="F95" s="312">
        <f>F96</f>
        <v>5251</v>
      </c>
      <c r="G95" s="312">
        <f>G96</f>
        <v>5251</v>
      </c>
      <c r="H95" s="312">
        <f aca="true" t="shared" si="4" ref="H95:H100">E95+G95-F95</f>
        <v>597598</v>
      </c>
    </row>
    <row r="96" spans="1:8" ht="19.5" customHeight="1">
      <c r="A96" s="242"/>
      <c r="B96" s="257">
        <v>85321</v>
      </c>
      <c r="C96" s="257"/>
      <c r="D96" s="241" t="s">
        <v>131</v>
      </c>
      <c r="E96" s="244">
        <v>526000</v>
      </c>
      <c r="F96" s="244">
        <f>F97+F99+F102</f>
        <v>5251</v>
      </c>
      <c r="G96" s="244">
        <f>G97+G99+G102</f>
        <v>5251</v>
      </c>
      <c r="H96" s="244">
        <f t="shared" si="4"/>
        <v>526000</v>
      </c>
    </row>
    <row r="97" spans="1:8" ht="19.5" customHeight="1">
      <c r="A97" s="239"/>
      <c r="B97" s="239"/>
      <c r="C97" s="242"/>
      <c r="D97" s="406" t="s">
        <v>234</v>
      </c>
      <c r="E97" s="245">
        <v>379542</v>
      </c>
      <c r="F97" s="245">
        <f>F98</f>
        <v>4000</v>
      </c>
      <c r="G97" s="245"/>
      <c r="H97" s="245">
        <f t="shared" si="4"/>
        <v>375542</v>
      </c>
    </row>
    <row r="98" spans="1:8" ht="20.25" customHeight="1">
      <c r="A98" s="239"/>
      <c r="B98" s="239"/>
      <c r="C98" s="237">
        <v>4170</v>
      </c>
      <c r="D98" s="237" t="s">
        <v>98</v>
      </c>
      <c r="E98" s="355">
        <v>114000</v>
      </c>
      <c r="F98" s="355">
        <v>4000</v>
      </c>
      <c r="G98" s="355"/>
      <c r="H98" s="355">
        <f t="shared" si="4"/>
        <v>110000</v>
      </c>
    </row>
    <row r="99" spans="1:8" ht="19.5" customHeight="1">
      <c r="A99" s="239"/>
      <c r="B99" s="239"/>
      <c r="C99" s="242"/>
      <c r="D99" s="406" t="s">
        <v>47</v>
      </c>
      <c r="E99" s="245">
        <v>85458</v>
      </c>
      <c r="F99" s="245"/>
      <c r="G99" s="245">
        <f>SUM(G100:G101)</f>
        <v>4219</v>
      </c>
      <c r="H99" s="245">
        <f t="shared" si="4"/>
        <v>89677</v>
      </c>
    </row>
    <row r="100" spans="1:8" ht="20.25" customHeight="1">
      <c r="A100" s="239"/>
      <c r="B100" s="239"/>
      <c r="C100" s="237">
        <v>4210</v>
      </c>
      <c r="D100" s="237" t="s">
        <v>46</v>
      </c>
      <c r="E100" s="355">
        <v>10171</v>
      </c>
      <c r="F100" s="355"/>
      <c r="G100" s="355">
        <v>219</v>
      </c>
      <c r="H100" s="355">
        <f t="shared" si="4"/>
        <v>10390</v>
      </c>
    </row>
    <row r="101" spans="1:8" ht="20.25" customHeight="1">
      <c r="A101" s="239"/>
      <c r="B101" s="239"/>
      <c r="C101" s="237">
        <v>4300</v>
      </c>
      <c r="D101" s="237" t="s">
        <v>45</v>
      </c>
      <c r="E101" s="355">
        <v>68350</v>
      </c>
      <c r="F101" s="355"/>
      <c r="G101" s="355">
        <v>4000</v>
      </c>
      <c r="H101" s="355">
        <f>E101+G101-F101</f>
        <v>72350</v>
      </c>
    </row>
    <row r="102" spans="1:8" ht="19.5" customHeight="1">
      <c r="A102" s="239"/>
      <c r="B102" s="239"/>
      <c r="C102" s="242"/>
      <c r="D102" s="282" t="s">
        <v>237</v>
      </c>
      <c r="E102" s="272">
        <v>57000</v>
      </c>
      <c r="F102" s="272">
        <f>SUM(F103:F104)</f>
        <v>1251</v>
      </c>
      <c r="G102" s="272">
        <f>SUM(G103:G104)</f>
        <v>1032</v>
      </c>
      <c r="H102" s="272">
        <f>E102+G102-F102</f>
        <v>56781</v>
      </c>
    </row>
    <row r="103" spans="1:12" ht="18" customHeight="1">
      <c r="A103" s="239"/>
      <c r="B103" s="239"/>
      <c r="C103" s="237">
        <v>4110</v>
      </c>
      <c r="D103" s="10" t="s">
        <v>49</v>
      </c>
      <c r="E103" s="238">
        <v>48680</v>
      </c>
      <c r="F103" s="238"/>
      <c r="G103" s="238">
        <v>1032</v>
      </c>
      <c r="H103" s="238">
        <f>E103+G103-F103</f>
        <v>49712</v>
      </c>
      <c r="J103" s="8"/>
      <c r="L103" s="8"/>
    </row>
    <row r="104" spans="1:12" ht="18" customHeight="1">
      <c r="A104" s="251"/>
      <c r="B104" s="251"/>
      <c r="C104" s="237">
        <v>4120</v>
      </c>
      <c r="D104" s="10" t="s">
        <v>215</v>
      </c>
      <c r="E104" s="238">
        <v>8320</v>
      </c>
      <c r="F104" s="238">
        <v>1251</v>
      </c>
      <c r="G104" s="238"/>
      <c r="H104" s="238">
        <f>E104+G104-F104</f>
        <v>7069</v>
      </c>
      <c r="J104" s="8"/>
      <c r="L104" s="8"/>
    </row>
    <row r="111" ht="12.75">
      <c r="D111" s="1" t="s">
        <v>254</v>
      </c>
    </row>
    <row r="112" ht="12.75">
      <c r="D112" s="1" t="s">
        <v>255</v>
      </c>
    </row>
    <row r="113" ht="12.75">
      <c r="D113" s="1" t="s">
        <v>256</v>
      </c>
    </row>
  </sheetData>
  <printOptions horizontalCentered="1"/>
  <pageMargins left="0.3937007874015748" right="0.3937007874015748" top="0.61" bottom="0.47" header="0.5118110236220472" footer="0.31496062992125984"/>
  <pageSetup firstPageNumber="16" useFirstPageNumber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2005-12-19T13:07:36Z</cp:lastPrinted>
  <dcterms:created xsi:type="dcterms:W3CDTF">2004-03-08T07:54:07Z</dcterms:created>
  <dcterms:modified xsi:type="dcterms:W3CDTF">2005-07-24T10:42:06Z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