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584" activeTab="0"/>
  </bookViews>
  <sheets>
    <sheet name="inwest" sheetId="1" r:id="rId1"/>
    <sheet name="remonty" sheetId="2" r:id="rId2"/>
    <sheet name="doch rm" sheetId="3" r:id="rId3"/>
    <sheet name="wyd rm" sheetId="4" r:id="rId4"/>
    <sheet name="zlec rm" sheetId="5" r:id="rId5"/>
    <sheet name="doch Pr" sheetId="6" r:id="rId6"/>
    <sheet name="Wyd Pr" sheetId="7" r:id="rId7"/>
    <sheet name="jednostki" sheetId="8" r:id="rId8"/>
    <sheet name="szkoły zm" sheetId="9" r:id="rId9"/>
    <sheet name="zlec Pr" sheetId="10" r:id="rId10"/>
    <sheet name="Doch-harm" sheetId="11" r:id="rId11"/>
    <sheet name="Wyd-harm" sheetId="12" r:id="rId12"/>
  </sheets>
  <definedNames>
    <definedName name="_xlnm.Print_Area" localSheetId="3">'wyd rm'!$A$1:$K$287</definedName>
    <definedName name="_xlnm.Print_Titles" localSheetId="5">'doch Pr'!$7:$7</definedName>
    <definedName name="_xlnm.Print_Titles" localSheetId="2">'doch rm'!$7:$7</definedName>
    <definedName name="_xlnm.Print_Titles" localSheetId="10">'Doch-harm'!$8:$8</definedName>
    <definedName name="_xlnm.Print_Titles" localSheetId="0">'inwest'!$6:$8</definedName>
    <definedName name="_xlnm.Print_Titles" localSheetId="7">'jednostki'!$9:$9</definedName>
    <definedName name="_xlnm.Print_Titles" localSheetId="1">'remonty'!$9:$9</definedName>
    <definedName name="_xlnm.Print_Titles" localSheetId="8">'szkoły zm'!$3:$10</definedName>
    <definedName name="_xlnm.Print_Titles" localSheetId="6">'Wyd Pr'!$7:$7</definedName>
    <definedName name="_xlnm.Print_Titles" localSheetId="3">'wyd rm'!$7:$7</definedName>
    <definedName name="_xlnm.Print_Titles" localSheetId="11">'Wyd-harm'!$9:$9</definedName>
    <definedName name="_xlnm.Print_Titles" localSheetId="9">'zlec Pr'!$9:$9</definedName>
    <definedName name="_xlnm.Print_Titles" localSheetId="4">'zlec rm'!$9:$9</definedName>
  </definedNames>
  <calcPr fullCalcOnLoad="1"/>
</workbook>
</file>

<file path=xl/sharedStrings.xml><?xml version="1.0" encoding="utf-8"?>
<sst xmlns="http://schemas.openxmlformats.org/spreadsheetml/2006/main" count="2624" uniqueCount="941">
  <si>
    <t>Zespół Szkół Chemicznych i Przemysłu Spożywczego</t>
  </si>
  <si>
    <t>Razem</t>
  </si>
  <si>
    <t>Pracy</t>
  </si>
  <si>
    <t xml:space="preserve">do </t>
  </si>
  <si>
    <t>wyposażenia</t>
  </si>
  <si>
    <t xml:space="preserve">       szkoły</t>
  </si>
  <si>
    <t>rozdz. 80101 - Szkoły podstawowe</t>
  </si>
  <si>
    <t>Szkoła Podstawowa nr 2</t>
  </si>
  <si>
    <t>1.3 Wydział Funduszy Europejskich</t>
  </si>
  <si>
    <t>realizacja projektu "Na wspólnej drodze. Podnoszenie standardów współpracy transgranicznej samorządów Lublina i Łucka."</t>
  </si>
  <si>
    <t xml:space="preserve">Zakup materiałów i wyposażenia </t>
  </si>
  <si>
    <t>Zakup usług remontowych - remonty szkół</t>
  </si>
  <si>
    <t xml:space="preserve">Przedszkola </t>
  </si>
  <si>
    <t>Zakup usług remontowych - remonty przedszkoli</t>
  </si>
  <si>
    <t xml:space="preserve">Szkoły zawodowe </t>
  </si>
  <si>
    <t>Specjalne ośrodki szkolno - wychowawcze</t>
  </si>
  <si>
    <t>Zakup usług remontowych - remonty obiektów użytkowanych przez Urząd Miasta</t>
  </si>
  <si>
    <t>oświetlenie ulic</t>
  </si>
  <si>
    <t>dokumentacja techniczna</t>
  </si>
  <si>
    <t>budowa ciągów pieszo-jezdnych i przejść dla pieszych</t>
  </si>
  <si>
    <t>zakupy inwestycyjne</t>
  </si>
  <si>
    <t>modernizacja obiektu</t>
  </si>
  <si>
    <t>PREZYDENT</t>
  </si>
  <si>
    <t>Z-ca Dyrektora Wydziału Finansowego</t>
  </si>
  <si>
    <t>Z up. Skarbnika Miasta Lublin</t>
  </si>
  <si>
    <t>mgr Mirosława Puton</t>
  </si>
  <si>
    <t>Miasta Lublin</t>
  </si>
  <si>
    <t>Andrzej Pruszkowski</t>
  </si>
  <si>
    <t xml:space="preserve">termomodernizacje obiektów </t>
  </si>
  <si>
    <t>rozbudowa Przedszkola nr 12</t>
  </si>
  <si>
    <t>termomodernizacja obiektów</t>
  </si>
  <si>
    <t>termomodernizacja budynku</t>
  </si>
  <si>
    <t>remonty szkół</t>
  </si>
  <si>
    <t>remonty przedszkoli</t>
  </si>
  <si>
    <t>remonty obiektów</t>
  </si>
  <si>
    <t>remonty obiektów użytkowanych przez Urząd Miasta</t>
  </si>
  <si>
    <t>remont obiektu</t>
  </si>
  <si>
    <t>Wydatki osobowe niezaliczone do wynagrodzeń</t>
  </si>
  <si>
    <t>Wpłaty na Państwowy Fundusz Rehabilitacji Osób Niepełnosprawnych</t>
  </si>
  <si>
    <t>Zakup pomocy naukowych, dydaktycznych i książek</t>
  </si>
  <si>
    <t>Zakup usług zdrowotnych</t>
  </si>
  <si>
    <t>rozdz. 80105 - Przedszkola specjalne</t>
  </si>
  <si>
    <t xml:space="preserve">  § 4410</t>
  </si>
  <si>
    <t>Dotacje podm.z budż.</t>
  </si>
  <si>
    <t>Wpłaty na</t>
  </si>
  <si>
    <t>otrzymane przez pub.</t>
  </si>
  <si>
    <t>Państwowy</t>
  </si>
  <si>
    <t>naukowych,</t>
  </si>
  <si>
    <t>i składki</t>
  </si>
  <si>
    <t>prow. przez os. pr.inne</t>
  </si>
  <si>
    <t>Rehabilitacji</t>
  </si>
  <si>
    <t>dydaktycznych</t>
  </si>
  <si>
    <t>Osób Niepłn.</t>
  </si>
  <si>
    <t>PO</t>
  </si>
  <si>
    <t>rozdz. 80101 - Szkoły podstawowe-zadanie "Bezpieczna droga"</t>
  </si>
  <si>
    <t>b4</t>
  </si>
  <si>
    <t>b6</t>
  </si>
  <si>
    <t>b7</t>
  </si>
  <si>
    <t>b14</t>
  </si>
  <si>
    <t>b22</t>
  </si>
  <si>
    <t>b24</t>
  </si>
  <si>
    <t>b31</t>
  </si>
  <si>
    <t xml:space="preserve">Szkoła Podstawowa nr 31 </t>
  </si>
  <si>
    <t>Dotacje celowe otrzymane z gminy na inwestycje i zakupy inwestycyjne realizowane na podstawie porozumień między jednostkami samorządu terytorialnego</t>
  </si>
  <si>
    <t>dotacja celowa na dofinansowanie zakupu specjalistycznego sprzętu pożarniczego</t>
  </si>
  <si>
    <t>rem</t>
  </si>
  <si>
    <t>inw</t>
  </si>
  <si>
    <t>b32</t>
  </si>
  <si>
    <t>b34</t>
  </si>
  <si>
    <t>b40</t>
  </si>
  <si>
    <t>b43</t>
  </si>
  <si>
    <t>b44</t>
  </si>
  <si>
    <t>b45</t>
  </si>
  <si>
    <t>bzs4</t>
  </si>
  <si>
    <t xml:space="preserve">Zespół Szkół nr 4 </t>
  </si>
  <si>
    <t xml:space="preserve">rozdz. 80103 - Oddziały przedszkolne w szkołach podstawowych </t>
  </si>
  <si>
    <t>02</t>
  </si>
  <si>
    <t>07</t>
  </si>
  <si>
    <t>010</t>
  </si>
  <si>
    <t>014</t>
  </si>
  <si>
    <t>017</t>
  </si>
  <si>
    <t>020</t>
  </si>
  <si>
    <t>023</t>
  </si>
  <si>
    <t>025</t>
  </si>
  <si>
    <t>040</t>
  </si>
  <si>
    <t>042</t>
  </si>
  <si>
    <t>047</t>
  </si>
  <si>
    <t>048</t>
  </si>
  <si>
    <t>050</t>
  </si>
  <si>
    <t>051</t>
  </si>
  <si>
    <t>052</t>
  </si>
  <si>
    <t>rozdz. 80110- Gimnazja</t>
  </si>
  <si>
    <t>G3</t>
  </si>
  <si>
    <t>G4</t>
  </si>
  <si>
    <t>G6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</si>
  <si>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</si>
  <si>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</si>
  <si>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</si>
  <si>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</si>
  <si>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</si>
  <si>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</si>
  <si>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</si>
  <si>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</si>
  <si>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</si>
  <si>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</si>
  <si>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</si>
  <si>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G26</t>
  </si>
  <si>
    <t>G21</t>
  </si>
  <si>
    <t>G22</t>
  </si>
  <si>
    <t>G23</t>
  </si>
  <si>
    <t>rozdz. 80120 Licea ogólnokształcące</t>
  </si>
  <si>
    <t>IILO</t>
  </si>
  <si>
    <t>IIILO</t>
  </si>
  <si>
    <t>IVLO</t>
  </si>
  <si>
    <t>VLO</t>
  </si>
  <si>
    <t>VIIILO</t>
  </si>
  <si>
    <t>XILO</t>
  </si>
  <si>
    <t>PS XII</t>
  </si>
  <si>
    <t>XVILO</t>
  </si>
  <si>
    <t>XXLO</t>
  </si>
  <si>
    <t>XXIIILO</t>
  </si>
  <si>
    <t>rozdz. 80121 Licea ogólnokształcące specjalne</t>
  </si>
  <si>
    <t>LSZS3</t>
  </si>
  <si>
    <t xml:space="preserve">Zespół Szkół nr 3 </t>
  </si>
  <si>
    <t>LSN</t>
  </si>
  <si>
    <t>13lp</t>
  </si>
  <si>
    <t>17LP</t>
  </si>
  <si>
    <t>PSB</t>
  </si>
  <si>
    <t>ZSB</t>
  </si>
  <si>
    <t>ZSEk</t>
  </si>
  <si>
    <t>ZSEn</t>
  </si>
  <si>
    <t>ZSK</t>
  </si>
  <si>
    <t>ZSOW</t>
  </si>
  <si>
    <t>ZSPS</t>
  </si>
  <si>
    <t>ZSS</t>
  </si>
  <si>
    <t>ZS1</t>
  </si>
  <si>
    <t>ZS3</t>
  </si>
  <si>
    <t>Zespół Szkół nr 5</t>
  </si>
  <si>
    <t>Zespół Szkół  nr 6</t>
  </si>
  <si>
    <t xml:space="preserve">rozdz. 80134 - Szkoły zawodowe specjalne </t>
  </si>
  <si>
    <t>Centrum Kształcenia Ustawicznego nr 1</t>
  </si>
  <si>
    <t>rozdz.80146-Dokształcanie i doskonalenie nauczycieli</t>
  </si>
  <si>
    <t>s2</t>
  </si>
  <si>
    <t>s3</t>
  </si>
  <si>
    <t>s4</t>
  </si>
  <si>
    <t>s6</t>
  </si>
  <si>
    <t>s7</t>
  </si>
  <si>
    <t>s10</t>
  </si>
  <si>
    <t>s11</t>
  </si>
  <si>
    <t>s17</t>
  </si>
  <si>
    <t>s20</t>
  </si>
  <si>
    <t>s21</t>
  </si>
  <si>
    <t>s22</t>
  </si>
  <si>
    <t>s23</t>
  </si>
  <si>
    <t>s25</t>
  </si>
  <si>
    <t>s27</t>
  </si>
  <si>
    <t>s28</t>
  </si>
  <si>
    <t>s29</t>
  </si>
  <si>
    <t>s30</t>
  </si>
  <si>
    <t>s31</t>
  </si>
  <si>
    <t>s32</t>
  </si>
  <si>
    <t>s34</t>
  </si>
  <si>
    <t>s38</t>
  </si>
  <si>
    <t>s39</t>
  </si>
  <si>
    <t>s40</t>
  </si>
  <si>
    <t>s42</t>
  </si>
  <si>
    <t>s43</t>
  </si>
  <si>
    <t>s44</t>
  </si>
  <si>
    <t>s45</t>
  </si>
  <si>
    <t>s46</t>
  </si>
  <si>
    <t>s47</t>
  </si>
  <si>
    <t>s51</t>
  </si>
  <si>
    <t>s52</t>
  </si>
  <si>
    <t>sG9</t>
  </si>
  <si>
    <t>sZS4</t>
  </si>
  <si>
    <t>OSWG</t>
  </si>
  <si>
    <t>OSWN</t>
  </si>
  <si>
    <t>SOW1</t>
  </si>
  <si>
    <t>SOW2</t>
  </si>
  <si>
    <t>Załącznik nr 1</t>
  </si>
  <si>
    <t>ZSO nr 1</t>
  </si>
  <si>
    <t>Pogotowie Opiekuńcze</t>
  </si>
  <si>
    <t>ZSO nr 2</t>
  </si>
  <si>
    <t>ZSO nr 5</t>
  </si>
  <si>
    <t>ZSO nr 6</t>
  </si>
  <si>
    <t xml:space="preserve">Specjalny Ośrodek Szkolno-Wychowawczy dla Dzieci i Młodzieży Słabo Widzącej </t>
  </si>
  <si>
    <t xml:space="preserve">Zespół Szkół Chemicznych i Przemysłu Spożywczego </t>
  </si>
  <si>
    <t>Zespół  Szkół  Ekonomicznych</t>
  </si>
  <si>
    <t>rozdz. 85406 Poradnie psychologiczno-pedagogiczne, w tym poradnie specjalistyczne</t>
  </si>
  <si>
    <t>ZP1</t>
  </si>
  <si>
    <t>ZP2</t>
  </si>
  <si>
    <t>ZP3</t>
  </si>
  <si>
    <t>PP1</t>
  </si>
  <si>
    <t>PP2</t>
  </si>
  <si>
    <t>PP3</t>
  </si>
  <si>
    <t>rozdz. 85407- Placówki wychowania pozaszkolnego</t>
  </si>
  <si>
    <t>MDK</t>
  </si>
  <si>
    <t>Młodzieżowy Dom Kultury</t>
  </si>
  <si>
    <t>MDK2</t>
  </si>
  <si>
    <t>rozdz. 85410 -  Internaty i bursy szkolne</t>
  </si>
  <si>
    <t>BS1</t>
  </si>
  <si>
    <t>BS2</t>
  </si>
  <si>
    <t>BS3</t>
  </si>
  <si>
    <t>BS5</t>
  </si>
  <si>
    <t>IZSB</t>
  </si>
  <si>
    <t>IZSEl</t>
  </si>
  <si>
    <t>ul. Bursaki (połączenie z al.Smorawińskiego), 
ul. Magnoliowa na odcinku od al.Spółdzielczości Pracy do ul. Bursaki</t>
  </si>
  <si>
    <t>ul. Wyżynna na odcinku od ul. Szczytowej 
do ul. Nadbystrzyckiej</t>
  </si>
  <si>
    <t>dofinansowanie zakupu specjalistycznego sprzętu pożarniczego</t>
  </si>
  <si>
    <t>Komisje egzaminacyjne</t>
  </si>
  <si>
    <t xml:space="preserve">Pozostała działalność </t>
  </si>
  <si>
    <t>Szkoły zawodowe  specjalne</t>
  </si>
  <si>
    <t>Szkoły artystyczne</t>
  </si>
  <si>
    <t>dotacja celowa z budżetu państwa na sfinansowanie kosztów przygotowania i przeprowadzenia wyborów Prezydenta Rzeczypospolitej Polskiej</t>
  </si>
  <si>
    <t>dotacja celowa z budżetu państwa na sfinansowanie kosztów obsługi wydawania decyzji o świadczeniach zdrowotnych</t>
  </si>
  <si>
    <t>koszty obsługi wydawania decyzji o świadczeniach zdrowotnych</t>
  </si>
  <si>
    <t>rezerwa celowa na zapewnienie udziału własnego w projektach współfinansowanych ze środków Unii Europejskiej</t>
  </si>
  <si>
    <t>Rezerwy na inwestycje i zakupy inwestycyjne</t>
  </si>
  <si>
    <t>IZSK</t>
  </si>
  <si>
    <t>IZS3</t>
  </si>
  <si>
    <t>ILCEZ</t>
  </si>
  <si>
    <t>SSM</t>
  </si>
  <si>
    <t>rozdz. 85421 - Młodzieżowe ośrodki socjoterapii</t>
  </si>
  <si>
    <t>mos</t>
  </si>
  <si>
    <t>rozdz. 85446-Dokształcanie i doskonalenie nauczycieli</t>
  </si>
  <si>
    <t>ymdk</t>
  </si>
  <si>
    <t>rozdz. 85495 -Pozostała działalność (Stołówki szkolne)</t>
  </si>
  <si>
    <t>j2</t>
  </si>
  <si>
    <t>j3</t>
  </si>
  <si>
    <t>j4</t>
  </si>
  <si>
    <t>j6</t>
  </si>
  <si>
    <t>j7</t>
  </si>
  <si>
    <t>j10</t>
  </si>
  <si>
    <t>j11</t>
  </si>
  <si>
    <t>j14</t>
  </si>
  <si>
    <t>j21</t>
  </si>
  <si>
    <t>j23</t>
  </si>
  <si>
    <t>j43</t>
  </si>
  <si>
    <t>j47</t>
  </si>
  <si>
    <t>rozdz. 85153 - Zwalczanie narkomanii</t>
  </si>
  <si>
    <t>koordynacja działań w zakresie zapobiegania narkomanii</t>
  </si>
  <si>
    <t>n8lo</t>
  </si>
  <si>
    <t>asp2</t>
  </si>
  <si>
    <t>asp4</t>
  </si>
  <si>
    <t>asp20</t>
  </si>
  <si>
    <t>ag2</t>
  </si>
  <si>
    <t>ag3</t>
  </si>
  <si>
    <t>a2lo</t>
  </si>
  <si>
    <t>a8lo</t>
  </si>
  <si>
    <t>azso4</t>
  </si>
  <si>
    <t>azs3</t>
  </si>
  <si>
    <t>azs6</t>
  </si>
  <si>
    <t>amdk2</t>
  </si>
  <si>
    <t>rozdz. 85195 - Pozostała działalność</t>
  </si>
  <si>
    <t>prowadzenie innowacyjnych zajęć edukacyjnych dla dzieci i młodzieży niepełnosprawnej</t>
  </si>
  <si>
    <t>2psp32</t>
  </si>
  <si>
    <t>2pzs3</t>
  </si>
  <si>
    <t>Szkoła Podstawowa nr 3</t>
  </si>
  <si>
    <t>Szkoła Podstawowa nr 4</t>
  </si>
  <si>
    <t>Szkoła Podstawowa nr 6</t>
  </si>
  <si>
    <t>Szkoła Podstawowa nr 7</t>
  </si>
  <si>
    <t>Szkoła Podstawowa nr 10</t>
  </si>
  <si>
    <t>Szkoła Podstawowa nr 14</t>
  </si>
  <si>
    <t>Szkoła Podstawowa nr 20</t>
  </si>
  <si>
    <t>Szkoła Podstawowa nr 21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</si>
  <si>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</si>
  <si>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</si>
  <si>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</si>
  <si>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</si>
  <si>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</si>
  <si>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</si>
  <si>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Szkoła Podstawowa nr 30</t>
  </si>
  <si>
    <t>Szkoła Podstawowa nr 31</t>
  </si>
  <si>
    <t>Szkoła Podstawowa nr 32</t>
  </si>
  <si>
    <t>Szkoła Podstawowa nr 34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</si>
  <si>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</si>
  <si>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</si>
  <si>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</si>
  <si>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</si>
  <si>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</si>
  <si>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Szkoła Podstawowa nr 46</t>
  </si>
  <si>
    <t>Szkoła Podstawowa nr 47</t>
  </si>
  <si>
    <t>Szkoła Podstawowa nr 48</t>
  </si>
  <si>
    <t>Szkoła Podstawowa nr 50</t>
  </si>
  <si>
    <t>Szkoła Podstawowa nr 51</t>
  </si>
  <si>
    <t>Szkoła Podstawowa nr 52</t>
  </si>
  <si>
    <t>Różne rozliczenia</t>
  </si>
  <si>
    <t>Rezerwy ogólne i celowe</t>
  </si>
  <si>
    <t>rezerwa budżetowa</t>
  </si>
  <si>
    <t>Dotacje celowe na zadania realizowane na podstawie porozumień 
i umów</t>
  </si>
  <si>
    <t>Dotacje celowe na zadania realizowane na podstawie porozumień
i umów</t>
  </si>
  <si>
    <t>Dochody gminy ogółem, w tym:</t>
  </si>
  <si>
    <t>Dochody powiatu ogółem, w tym:</t>
  </si>
  <si>
    <t>Dotacje</t>
  </si>
  <si>
    <t>§ 4240</t>
  </si>
  <si>
    <t>i książek</t>
  </si>
  <si>
    <t>§ 2540</t>
  </si>
  <si>
    <t>§ 2590</t>
  </si>
  <si>
    <t>§ 2660</t>
  </si>
  <si>
    <t>§ 4440</t>
  </si>
  <si>
    <t>Dotacja podm.</t>
  </si>
  <si>
    <t xml:space="preserve">Dotacja </t>
  </si>
  <si>
    <t xml:space="preserve">    Zakup</t>
  </si>
  <si>
    <t>Odpisy</t>
  </si>
  <si>
    <t xml:space="preserve">z budż. dla </t>
  </si>
  <si>
    <t>przedmiotowa</t>
  </si>
  <si>
    <t>na zakł.</t>
  </si>
  <si>
    <t>niepublicznej</t>
  </si>
  <si>
    <t>jednostki syst. ośw.</t>
  </si>
  <si>
    <t>z budżetu</t>
  </si>
  <si>
    <t>fundusz</t>
  </si>
  <si>
    <t>jednostki</t>
  </si>
  <si>
    <t>świadczeń</t>
  </si>
  <si>
    <t>systemu ośw.</t>
  </si>
  <si>
    <t>niż jst oraz przez os.fiz.</t>
  </si>
  <si>
    <t xml:space="preserve"> gosp. pomoc.</t>
  </si>
  <si>
    <t>socjalnych</t>
  </si>
  <si>
    <t>Dział 801 - Oświata  i Wychowanie</t>
  </si>
  <si>
    <t>BD80101</t>
  </si>
  <si>
    <t>b2</t>
  </si>
  <si>
    <t>b3</t>
  </si>
  <si>
    <t>b11</t>
  </si>
  <si>
    <t>pn</t>
  </si>
  <si>
    <t>G1</t>
  </si>
  <si>
    <t>G2</t>
  </si>
  <si>
    <t>G5</t>
  </si>
  <si>
    <t>G8</t>
  </si>
  <si>
    <t>D21</t>
  </si>
  <si>
    <t>D27</t>
  </si>
  <si>
    <t>DG1</t>
  </si>
  <si>
    <t>wybory Prezydenta Rzeczypospolitej Polskiej</t>
  </si>
  <si>
    <t>pomoc dla repatriantów</t>
  </si>
  <si>
    <t>Dotacje celowe otrzymane z budżetu państwa na zadania bieżące z zakresu administracji rządowej oraz inne zadania zlecone ustawami realizowane przez powiat</t>
  </si>
  <si>
    <t>DG2</t>
  </si>
  <si>
    <t>DG9</t>
  </si>
  <si>
    <t>DG14</t>
  </si>
  <si>
    <t>Pochodne 
od wynagrodzeń</t>
  </si>
  <si>
    <t>DG17</t>
  </si>
  <si>
    <t>ILO</t>
  </si>
  <si>
    <t>VILO</t>
  </si>
  <si>
    <t>VIILO</t>
  </si>
  <si>
    <t>XLO</t>
  </si>
  <si>
    <t>Przedszkole nr 16</t>
  </si>
  <si>
    <t>Przedszkole nr 66</t>
  </si>
  <si>
    <t>Przedszkole nr 78</t>
  </si>
  <si>
    <t>XIVLO</t>
  </si>
  <si>
    <t>XVLO</t>
  </si>
  <si>
    <t>XVIIILO</t>
  </si>
  <si>
    <t>XIXLO</t>
  </si>
  <si>
    <t>Promocja jednostek samorządu terytorialnego</t>
  </si>
  <si>
    <t>promocja miasta</t>
  </si>
  <si>
    <t>inwestycji 
po zmianach</t>
  </si>
  <si>
    <t>6. Dom Pomocy Społecznej im. W. Michelisowej</t>
  </si>
  <si>
    <t>XXIIlo</t>
  </si>
  <si>
    <t>1LP</t>
  </si>
  <si>
    <t>2LP</t>
  </si>
  <si>
    <t>6LP</t>
  </si>
  <si>
    <t>10LP</t>
  </si>
  <si>
    <t>11LP</t>
  </si>
  <si>
    <t>19LP</t>
  </si>
  <si>
    <t>20LP</t>
  </si>
  <si>
    <t>ZS5</t>
  </si>
  <si>
    <t>ZS6</t>
  </si>
  <si>
    <t>SO1</t>
  </si>
  <si>
    <t>SZS3</t>
  </si>
  <si>
    <t>LCEZ</t>
  </si>
  <si>
    <t>CKU1</t>
  </si>
  <si>
    <t>CKU2</t>
  </si>
  <si>
    <t>x3</t>
  </si>
  <si>
    <t>Transport i łączność</t>
  </si>
  <si>
    <t>Drogi publiczne w miastach na prawach powiatu</t>
  </si>
  <si>
    <t>z dnia 31 października 2005 roku</t>
  </si>
  <si>
    <t>Urzędy naczelnych organów władzy państwowej, kontroli i ochrony prawa oraz sądownictwa</t>
  </si>
  <si>
    <t>rozdz. 85154 - Przeciwdziałanie alkoholizmowi</t>
  </si>
  <si>
    <t>Zespół Szkół Ogólnokształcących nr 4</t>
  </si>
  <si>
    <t>x20</t>
  </si>
  <si>
    <t>x24</t>
  </si>
  <si>
    <t>x30</t>
  </si>
  <si>
    <t>x31</t>
  </si>
  <si>
    <t>x39</t>
  </si>
  <si>
    <t>xg7</t>
  </si>
  <si>
    <t>x8lo</t>
  </si>
  <si>
    <t>Pokrycie ujemnego wyniku finansowego i przejętych zobowiązań po likwidowanych
i przekształcanych jednostkach zaliczanych do sektora finansów publicznych</t>
  </si>
  <si>
    <t>zadania realizowane w ramach Gminnego Programu Profilaktyki 
i Rozwiązywania Problemów Alkoholowych, w tym:</t>
  </si>
  <si>
    <t xml:space="preserve"> - ośrodek wczesnej interwencji dla osób bezdomnych uzależnionych od alkoholu przy 
ul. Młyńskiej 8</t>
  </si>
  <si>
    <t>prowadzenie innowacyjnych zajęć edukacyjnych dla dzieci 
i młodzieży niepełnosprawnej</t>
  </si>
  <si>
    <t xml:space="preserve">realizacja zadań wynikających ze strategii działań na rzecz osób niepełnosprawnych, w tym: </t>
  </si>
  <si>
    <t>Załącznik nr 5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</si>
  <si>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</si>
  <si>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</si>
  <si>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</si>
  <si>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</si>
  <si>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</si>
  <si>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</si>
  <si>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Treść                                                                                                                   (nazwa działu, rozdziału)</t>
  </si>
  <si>
    <t>§ 4140</t>
  </si>
  <si>
    <t>Gimnazjum nr 16</t>
  </si>
  <si>
    <t>V Liceum Ogólnokształcące</t>
  </si>
  <si>
    <t>Centra kształcenia ustawicznego i praktycznego oraz ośrodki dokształcania zawodowego</t>
  </si>
  <si>
    <t>rozdz. 85403 - Specjalne ośrodki szkolno-wychowawcze</t>
  </si>
  <si>
    <t>rozdz. 85401 Świetlice szkolne</t>
  </si>
  <si>
    <t>s14</t>
  </si>
  <si>
    <t>s24</t>
  </si>
  <si>
    <t xml:space="preserve">Młodzieżowy Dom Kultury </t>
  </si>
  <si>
    <t>j20</t>
  </si>
  <si>
    <t>j27</t>
  </si>
  <si>
    <t>j29</t>
  </si>
  <si>
    <t>j30</t>
  </si>
  <si>
    <t>j31</t>
  </si>
  <si>
    <t>j32</t>
  </si>
  <si>
    <t>j34</t>
  </si>
  <si>
    <t>j38</t>
  </si>
  <si>
    <t>j40</t>
  </si>
  <si>
    <t>j48</t>
  </si>
  <si>
    <t>j50</t>
  </si>
  <si>
    <t>j51</t>
  </si>
  <si>
    <t>j52</t>
  </si>
  <si>
    <t>jg12</t>
  </si>
  <si>
    <t>jg13</t>
  </si>
  <si>
    <t>jb1</t>
  </si>
  <si>
    <t>jb2</t>
  </si>
  <si>
    <t>jb3</t>
  </si>
  <si>
    <t>jZSEl</t>
  </si>
  <si>
    <t>jZSB</t>
  </si>
  <si>
    <t>jZSK</t>
  </si>
  <si>
    <t>jZS3</t>
  </si>
  <si>
    <t>jLCEZ</t>
  </si>
  <si>
    <t>jOG</t>
  </si>
  <si>
    <t>jON</t>
  </si>
  <si>
    <t>jO1</t>
  </si>
  <si>
    <t>jO2</t>
  </si>
  <si>
    <t>jPS</t>
  </si>
  <si>
    <t>jZS4</t>
  </si>
  <si>
    <t>Wydatki na zadania zlecone gminie</t>
  </si>
  <si>
    <t>700</t>
  </si>
  <si>
    <t>1.3 Wydział Geodezji i Gospodarki Nieruchomościami</t>
  </si>
  <si>
    <t>1.4 Wydział Gospodarki Komunalnej</t>
  </si>
  <si>
    <t xml:space="preserve">1.5 Wydział Organizacyjny </t>
  </si>
  <si>
    <t>1.6 Wydział Oświaty i Wychowania</t>
  </si>
  <si>
    <t>1.7 Wydział Spraw Społecznych</t>
  </si>
  <si>
    <t xml:space="preserve">1.8 Wydział Strategii i Rozwoju </t>
  </si>
  <si>
    <t>1.5 Wydział Organizacyjny</t>
  </si>
  <si>
    <t>Specjalny Ośrodek Szkolno - Wychowawczy dla Dzieci i Młodzieży Słabo Widzącej</t>
  </si>
  <si>
    <t>Specjalny Ośrodek Szkolno - Wychowawczy dla Dzieci i Młodzieży Niesłyszącej i Słabo Słyszącej</t>
  </si>
  <si>
    <t>Specjalny Ośrodek Szkolno-Wychowawczy dla Dzieci i Młodzieży Niesłyszącej i Słabo Słyszącej</t>
  </si>
  <si>
    <t>Specjalny Ośrodek Szkolno-Wychowawczy dla Dzieci i Młodzieży Słabo Widzącej</t>
  </si>
  <si>
    <t>Szkoły podstawowe specjalne</t>
  </si>
  <si>
    <t>Przedszkola specjalne</t>
  </si>
  <si>
    <t>Szkolne schroniska młodzieżowe</t>
  </si>
  <si>
    <t>Młodzieżowe ośrodki socjoterapii</t>
  </si>
  <si>
    <t>Zwalczanie narkomanii</t>
  </si>
  <si>
    <t>zadania realizowane w ramach Gminnego Programu Przeciwdziałania Narkomanii</t>
  </si>
  <si>
    <t>prowadzenie profilaktycznej działalności informacyjnej
i edukacyjnej w zakresie rozwiązywania problemów alkoholowych 
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</si>
  <si>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>Programy polityki zdrowotnej</t>
  </si>
  <si>
    <t>programy zdrowotne</t>
  </si>
  <si>
    <t>rozdz. 85149 - Programy polityki zdrowotnej</t>
  </si>
  <si>
    <t xml:space="preserve">dotacje dla publicznych i niepublicznych przedszkoli </t>
  </si>
  <si>
    <t>Fundacja SOS Ziemi Lubelskiej, ul. Bronowicka 3, 20-301 Lublin
- ośrodek dla osób dotkniętych przemocą w rodzinie przy ul. Bazylianówka 44</t>
  </si>
  <si>
    <t>wynagrodzenia bezosobowe</t>
  </si>
  <si>
    <t xml:space="preserve">Ochrona zdrowia </t>
  </si>
  <si>
    <t xml:space="preserve">ZSO nr 2 </t>
  </si>
  <si>
    <t xml:space="preserve">ZSO nr 6 </t>
  </si>
  <si>
    <t xml:space="preserve">ZSO nr 5 </t>
  </si>
  <si>
    <t>ZSO nr 4</t>
  </si>
  <si>
    <t>Katolickie Przedszkole im. św. Franciszka z Asyżu; Zgromadzenie Siósr Służek NMP Niepokalanej, ul. Mickiewicza 7, 27-600 Sandomierz</t>
  </si>
  <si>
    <t>Przedszkole Parafialne im. bł. Honorata Koźmińskiego; Parafia Rzymsko-Katolicka św. Stanisława Biskupa i Męczennika, ul. Zbożowa 75, 20-827 Lublin</t>
  </si>
  <si>
    <t xml:space="preserve">Dotacje podmiotowe z budżetu dla publicznej jednostki systemu oświaty prowadzonej przez osobę prawną inną niż jednostka samorządu terytorialnego oraz przez osobę fizyczną </t>
  </si>
  <si>
    <t>Przedszkole Niepubliczne z Oddziałami Integracyjnymi im. bł. Bolesławy Lament; Zgromadzenie Sióstr Misjonarek św. Rodziny, ul. Słowackiego 11, 05-806 Komorów k. Warszawy</t>
  </si>
  <si>
    <t>Przedszkole Sióstr Urszulanek Serca Jezusa Konającego; Zgromadzenie Sióstr Urszulanek SJK DOM ZAKONNY, ul. Sudecka 49-53, 20-867 Lublin</t>
  </si>
  <si>
    <t>Przedszkole Sióstr Urszulanek Serca Jezusa Konającego; Zgromadzenie Sióstr Urszulanek SJK DOM ZAKONNY, ul. Orlanda 15-17, 20-712 Lublin</t>
  </si>
  <si>
    <t xml:space="preserve">Przedszkole Zgromadzenia Sióstr Kanoniczek Ducha Świętego im. bł. Ojca Gwidona; Zgromadzenie Sióstr Kanoniczek Ducha Świętego de Saxia, ul. Szpitalna 10, 31-024 Kraków                                                          </t>
  </si>
  <si>
    <t>Przedszkole Prywatne "PIOTRUŚ PAN"; Mirosława Kamienobrodzka, 
ul. Krasińskiego 3/53, 20-709 Lublin</t>
  </si>
  <si>
    <t>Przedszkole Prywatne "PIOTRUŚ PAN 2"; Mirosława Kamienobrodzka, ul. Krasińskiego 3/53,  20-709 Lublin</t>
  </si>
  <si>
    <t>Katolicka Szkoła Podstawowa im. św Jadwigi Królowej; Parafia Rzymsko-Katolicka św. Jadwigi Królowej, ul. Koncertowa 15, 20-866 Lublin</t>
  </si>
  <si>
    <t>Przedszkole Sióstr Nazaretanek; Zgromadzenie Sióstr Najświętszej Rodziny z Nazaretu, ul. Czerniakowska 137, 00-720 Warszawa</t>
  </si>
  <si>
    <t>Przedszkole Prywatne "MARTYNKA - BIS"; Izabela Czechowska, ul. Urzędowska 150, 20-727 Lublin, Agnieszka Sałaga, ul. Radomska 8, 20-729 Lublin</t>
  </si>
  <si>
    <t>Przedszkole Prywatne "MARTYNKA"; Izabela Czechowska, ul. Urzędowska 150, 20-727 Lublin, Agnieszka Sałaga, ul. Radomska 8, 20-729 Lublin</t>
  </si>
  <si>
    <t>Przedszkole Prywatne "JAGODY"; Jadwiga Puła, ul. Skierki 1/77, 20-601 Lublin</t>
  </si>
  <si>
    <t>Dotacja podmiotowa z budżetu dla niepublicznej jednostki systemu oświaty</t>
  </si>
  <si>
    <t>Dotacje podmiotowe z budżetu dla publicznej jednostki systemu oświaty prowadzonej przez osobę prawną inną niż jednostka samorządu terytorialnego oraz przez osobę fizyczną</t>
  </si>
  <si>
    <t>Dotacje celowe otrzymane z budżetu państwa na realizację zadań bieżących z zakresu administracji rządowej oraz innych zadań zleconych gminie ustawami</t>
  </si>
  <si>
    <t>dotacja celowa z budżetu państwa na zakupy inwestycyjne dla Komendy Miejskiej Państwowej Straży Pożarnej</t>
  </si>
  <si>
    <t>Dotacje celowe otrzymane z budżetu państwa na inwestycje i zakupy inwestycyjne z zakresu administracji rządowej oraz inne zadania zlecone ustawami realizowane przez powiat</t>
  </si>
  <si>
    <t>wspieranie zatrudnienia socjalnego poprzez organizowanie i finansowanie centrów integracji społecznej</t>
  </si>
  <si>
    <t>pokrycie kosztów obsługi realizowanych zadań</t>
  </si>
  <si>
    <t>Lecznictwo ambulatoryjne</t>
  </si>
  <si>
    <t>Pokrycie ujemnego wyniku finansowego i przejętych zobowiązań po likwidowanych i przekształcanych jednostkach zaliczanych do sektora finansów publicznych</t>
  </si>
  <si>
    <t>wydatki związane z likwidacją Zespołu Opieki Zdrowotnej w Lublinie SP ZOZ</t>
  </si>
  <si>
    <t>Różne wydatki na rzecz osób fizycznych</t>
  </si>
  <si>
    <t>Komendy powiatowe Państwowej Straży Pożarnej</t>
  </si>
  <si>
    <t>Wybory Prezydenta Rzeczypospolitej Polskiej</t>
  </si>
  <si>
    <t>pomocy</t>
  </si>
  <si>
    <t>rozdz. 85417 - Szkolne schroniska młodzieżowe</t>
  </si>
  <si>
    <t>Dochody                                                                                                                                            (nazwa działu, rozdziału, źródła dochodów, paragrafu)</t>
  </si>
  <si>
    <t>Wydatki                                                                                                                               (nazwa działu, rozdziału, zadania, paragrafu)</t>
  </si>
  <si>
    <t>inwestycje</t>
  </si>
  <si>
    <t>Gospodarka mieszkaniowa</t>
  </si>
  <si>
    <t>Domy pomocy społecznej</t>
  </si>
  <si>
    <t>Gospodarka komunalna i ochrona środowiska</t>
  </si>
  <si>
    <t>Szkoły podstawowe</t>
  </si>
  <si>
    <t>Licea ogólnokształcące</t>
  </si>
  <si>
    <t>Szkoły zawodowe</t>
  </si>
  <si>
    <t>Gimnazja</t>
  </si>
  <si>
    <t>Edukacyjna opieka wychowawcza</t>
  </si>
  <si>
    <t>Specjalne ośrodki szkolno-wychowawcze</t>
  </si>
  <si>
    <t>Administracja publiczna</t>
  </si>
  <si>
    <t>Urzędy miast i miast na prawach powiatu</t>
  </si>
  <si>
    <t>Licea profilowane specjalne</t>
  </si>
  <si>
    <t>Kultura fizyczna i sport</t>
  </si>
  <si>
    <t>Zadania w zakresie kultury fizycznej i sportu</t>
  </si>
  <si>
    <t>Wydatki na zadania realizowane na podstawie porozumień
i umów</t>
  </si>
  <si>
    <t>remonty</t>
  </si>
  <si>
    <t>wydatki związane z likwidacją Zespołu Opieki Zdrowotnej 
w Lublinie SP ZOZ</t>
  </si>
  <si>
    <t>zadania realizowane w ramach Gminnego Programu Profilaktyki 
i Rozwiązywania Problemów Alkoholowych</t>
  </si>
  <si>
    <t>zadania realizowane w ramach Gminnego Programu Przeciwdziałania Narkomanii, w tym:</t>
  </si>
  <si>
    <t>Wydatki                                                                                                                               (nazwa działu, rozdziału, zadania)</t>
  </si>
  <si>
    <t>Dotacje celowe na zadania realizowane na podstawie porozumień i umów</t>
  </si>
  <si>
    <t xml:space="preserve">Dotacje celowe z budżetu państwa na zadania zlecone 
z zakresu administracji rządowej </t>
  </si>
  <si>
    <t>Dochody                                                                                                                                            (nazwa działu, rozdziału, źródła dochodów)</t>
  </si>
  <si>
    <t>dotacja celowa z budżetu państwa na sfinansowanie kosztów wydawania decyzji o świadczeniach zdrowotnych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</si>
  <si>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 - wychowawczych i socjoterapeutycznych</t>
  </si>
  <si>
    <t>inwestycje - dofinansowanie zakupu specjalistycznego sprzętu pożarniczego</t>
  </si>
  <si>
    <t>wykup gruntów</t>
  </si>
  <si>
    <t>ul. Wyżynna na odcinku od ul. Szczytowej do ul. Nadbystrzyckiej</t>
  </si>
  <si>
    <t xml:space="preserve"> - prowadzenie ośrodka dla bezdomnych mężczyzn przy ul. Abramowickiej 2F </t>
  </si>
  <si>
    <t>Przedszkole Niepubliczne im. św. Józefa; Zgromadzenie Sióstr św. Józefa z Cluny, 
ul. Krzywa 1A, 20-124 Lublin</t>
  </si>
  <si>
    <t>Pierwsza Społeczna Szkoła Podstawowa; Społeczne Stowarzyszenie Edukacyjne, 
ul. Herbowa 18 A, 20-551 Lublin</t>
  </si>
  <si>
    <t>Prywatne Przedszkole "STRUMYK" A. i W. Rożek nr 3; Anna i Wiesław Rożek, 
ul. Lwowska 24/34, 20-128 Lublin</t>
  </si>
  <si>
    <t>Prywatne Przedszkole "STRUMYK" A. i W. Rożek nr 2; Anna i Wiesław Rożek, 
ul. Lwowska 24/34, 20-128 Lublin</t>
  </si>
  <si>
    <t>Prywatne Przedszkole "STRUMYK" A. i W. Rożek nr 1; Anna i Wiesław Rożek, 
ul. Lwowska 24/34, 20-128 Lublin</t>
  </si>
  <si>
    <t>kompleksowe uzupełnienie systemu przyzywowo - alarmowego i alarmowo - przeciwpożarowego z wymianą instalacji elektrycznej i teleinformatycznej w DPS 
im. W. Michelisowej</t>
  </si>
  <si>
    <t>Zakup usług remontowych - ścieżki rowerowe</t>
  </si>
  <si>
    <t>dotacja celowa z budżetu państwa na sfinansowanie kosztów obsługi wydawania decyzji 
o świadczeniach zdrowotnych</t>
  </si>
  <si>
    <t>(nazwa działu, rozdziału)</t>
  </si>
  <si>
    <t>2. Zespół Placówek Opiekuńczo-Wychowawczych 
"Pogodny Dom"</t>
  </si>
  <si>
    <t>3. Dom Dziecka Nr 3</t>
  </si>
  <si>
    <t>4. Dom Pomocy Społecznej im. W. Michelisowej</t>
  </si>
  <si>
    <t>5. Miejski Ośrodek Pomocy Rodzinie</t>
  </si>
  <si>
    <t>6. Komenda Miejska Państwowej Straży Pożarnej</t>
  </si>
  <si>
    <t>7. Miejski Urząd Pracy</t>
  </si>
  <si>
    <t>8. Szkoły i placówki oświatowe</t>
  </si>
  <si>
    <t>(nazwa działu, rozdziału, źródła dochodów, zadania, paragrafu)</t>
  </si>
  <si>
    <t>w tym: wynagrodzenia</t>
  </si>
  <si>
    <t>w tym: inwestycje</t>
  </si>
  <si>
    <t>w tym: remonty</t>
  </si>
  <si>
    <t>Załącznik nr 2</t>
  </si>
  <si>
    <t>w tym: na inwestycje</t>
  </si>
  <si>
    <t xml:space="preserve">realizacja zadań wynikających ze strategii działań na rzecz osób niepełnosprawnych </t>
  </si>
  <si>
    <t>Składki na ubezpieczenie zdrowotne oraz świadczenia dla osób 
nieobjętych obowiązkiem ubezpieczenia zdrowotnego</t>
  </si>
  <si>
    <t xml:space="preserve">Dotacje celowe otrzymane z budżetu państwa na realizację zadań bieżących 
z zakresu administracji rządowej oraz innych zadań zleconych gminie ustawami </t>
  </si>
  <si>
    <t>dotacja celowa z budżetu państwa na sfinansowanie kosztów wydawania decyzji 
o świadczeniach zdrowotnych</t>
  </si>
  <si>
    <t>ul. Bursaki (połączenie z al.Smorawińskiego), ul. Magnoliowa na odcinku od al.Spółdzielczości Pracy do ul. Bursaki</t>
  </si>
  <si>
    <t>zwiększanie dostępności pomocy terapeutycznej
i rehabilitacyjnej dla osób uzależnionych od alkoholu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</si>
  <si>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</si>
  <si>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</si>
  <si>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udzielanie rodzinom, w których występują problemy alkoholowe pomocy psychospołecznej i prawnej, a w szczególności ochrony przed przemocą w rodzinie</t>
  </si>
  <si>
    <t>Dotacja celowa z budżetu na finansowanie lub dofinansowanie zadań zleconych do realizacji pozostałym jednostkom niezaliczanym do sektora finansów publicznych</t>
  </si>
  <si>
    <t>Fundacja SOS Ziemi Lubelskiej, ul. Bronowicka 3, 20-301 Lublin
- ośrodek dla bezdomnych kobiet przy ul. Bronowickiej 3A</t>
  </si>
  <si>
    <t>środki w dyspozycji wydziału</t>
  </si>
  <si>
    <t xml:space="preserve">"Nadzieja" Charytatywne Stowarzyszenie Niesienia Pomocy Chorym Uzależnionym od Alkoholu, ul. Abramowicka 2f, 20-442 Lublin, w tym: </t>
  </si>
  <si>
    <t>Bractwo Miłosierdzia im. św. Brata Alberta, ul. Zielona 3, 20-082 Lublin
- ośrodek dla bezdomnych mężczyzn przy ul. Dolnej Panny Marii 32</t>
  </si>
  <si>
    <t>Świadczenia rodzinne oraz składki na ubezpieczenia emerytalne i rentowe z ubezpieczenia społecznego</t>
  </si>
  <si>
    <t>dotacja celowa z budżetu państwa na usuwanie skutków klęsk żywiołowych</t>
  </si>
  <si>
    <t>dotacja celowa z budżetu państwa na pomoc repatriantom</t>
  </si>
  <si>
    <t>wynagrodzenia</t>
  </si>
  <si>
    <t>§ 4430</t>
  </si>
  <si>
    <t>rozdz. 80140 - Centra kształcenia ustawicznego i praktycznego oraz ośrodki dokształcania zawodowego</t>
  </si>
  <si>
    <t>Przedszkole nr 2</t>
  </si>
  <si>
    <t>Przedszkole nr 4</t>
  </si>
  <si>
    <t>Przedszkole nr 6</t>
  </si>
  <si>
    <t>Przedszkole nr 7</t>
  </si>
  <si>
    <t>Przedszkole nr 9</t>
  </si>
  <si>
    <t>Przedszkole nr 10</t>
  </si>
  <si>
    <t>Przedszkole nr 13</t>
  </si>
  <si>
    <t>Przedszkole nr 14</t>
  </si>
  <si>
    <t>Przedszkole nr 19</t>
  </si>
  <si>
    <t>Przedszkole nr 25</t>
  </si>
  <si>
    <t>Przedszkole nr 28</t>
  </si>
  <si>
    <t>Przedszkole nr 31</t>
  </si>
  <si>
    <t>Przedszkole nr 35</t>
  </si>
  <si>
    <t>Przedszkole nr 36</t>
  </si>
  <si>
    <t>Przedszkole nr 37</t>
  </si>
  <si>
    <t>Przedszkole nr 39</t>
  </si>
  <si>
    <t>Przedszkole nr 40</t>
  </si>
  <si>
    <t>Przedszkole nr 43</t>
  </si>
  <si>
    <t>Przedszkole nr 46</t>
  </si>
  <si>
    <t>promocja miasta poprzez sport</t>
  </si>
  <si>
    <t>1.10 Kancelaria Prezydenta Miasta</t>
  </si>
  <si>
    <t>Świadczenia rodzinne oraz składki na ubezpieczenia emerytalne 
i rentowe z ubezpieczenia społecznego</t>
  </si>
  <si>
    <t>Zakup usług dostępu do sieci Internet</t>
  </si>
  <si>
    <t>Zasiłki i pomoc w naturze oraz składki na ubezpieczenia społeczne</t>
  </si>
  <si>
    <t>świadczenia społeczne</t>
  </si>
  <si>
    <t>Rezerwy</t>
  </si>
  <si>
    <t>Straż Miejska</t>
  </si>
  <si>
    <t>dotacja celowa z budżetu państwa na zasiłki i pomoc w naturze oraz na składki na ubezpieczenia społeczne</t>
  </si>
  <si>
    <t xml:space="preserve">Zasiłki i pomoc w naturze oraz składki na ubezpieczenia społeczne </t>
  </si>
  <si>
    <t>remonty dróg</t>
  </si>
  <si>
    <t>Zakup usług remontowych</t>
  </si>
  <si>
    <t>ścieżki rowerowe</t>
  </si>
  <si>
    <t>Drogi wewnętrzne</t>
  </si>
  <si>
    <t>Oświetlenie ulic, placów i dróg</t>
  </si>
  <si>
    <t>oświetlenie dróg</t>
  </si>
  <si>
    <t>konserwacja i obsługa urządzeń oświetlenia</t>
  </si>
  <si>
    <t>Przedszkole nr 47</t>
  </si>
  <si>
    <t>Przedszkole nr 48</t>
  </si>
  <si>
    <t>Gimnazja specjalne</t>
  </si>
  <si>
    <t>Licea ogólnokształcące specjalne</t>
  </si>
  <si>
    <t>Szkoły zawodowe specjalne</t>
  </si>
  <si>
    <t xml:space="preserve">stypendia oraz inne formy pomocy dla uczniów </t>
  </si>
  <si>
    <t>Stypendia dla uczniów</t>
  </si>
  <si>
    <t>Inne formy pomocy dla uczniów</t>
  </si>
  <si>
    <t>Zakup środków żywności</t>
  </si>
  <si>
    <t>Różne opłaty i składki</t>
  </si>
  <si>
    <t>Odpisy na zakładowy fundusz świadczeń socjalnych</t>
  </si>
  <si>
    <t>Przedszkole nr 52</t>
  </si>
  <si>
    <t>Przedszkole nr 53</t>
  </si>
  <si>
    <t>Przedszkole nr 54</t>
  </si>
  <si>
    <t>Przedszkole nr 57</t>
  </si>
  <si>
    <t>Przedszkole nr 58</t>
  </si>
  <si>
    <t>Przedszkole nr 59</t>
  </si>
  <si>
    <t>Przedszkole nr 64</t>
  </si>
  <si>
    <t>Przedszkole nr 65</t>
  </si>
  <si>
    <t>Przedszkole nr 67</t>
  </si>
  <si>
    <t>Przedszkole nr 69</t>
  </si>
  <si>
    <t>Przedszkole nr 70</t>
  </si>
  <si>
    <t>Przedszkole nr 73</t>
  </si>
  <si>
    <t>Przedszkole nr 74</t>
  </si>
  <si>
    <t>Przedszkole nr 75</t>
  </si>
  <si>
    <t>Przedszkole nr 76</t>
  </si>
  <si>
    <t>Przedszkole nr 79</t>
  </si>
  <si>
    <t>Przedszkole nr 81</t>
  </si>
  <si>
    <t>Przedszkole nr 5</t>
  </si>
  <si>
    <t>Placówki oświatowe - zmiany</t>
  </si>
  <si>
    <t>Przedszkole nr 3</t>
  </si>
  <si>
    <t>Przedszkole nr 12</t>
  </si>
  <si>
    <t>Przedszkole nr 15</t>
  </si>
  <si>
    <t>Przedszkole nr 26</t>
  </si>
  <si>
    <t>Przedszkole nr 34</t>
  </si>
  <si>
    <t>2. Komenda Straży Miejskiej</t>
  </si>
  <si>
    <t>3. Zespół Placówek Opiekuńczo-Wychowawczych "Pogodny Dom"</t>
  </si>
  <si>
    <t>7. Miejski Ośrodek Pomocy Rodzinie</t>
  </si>
  <si>
    <t>8. Komenda Miejska Państwowej Straży Pożarnej</t>
  </si>
  <si>
    <t>9. Miejski Urząd Pracy</t>
  </si>
  <si>
    <t>10. Szkoły i placówki oświatowe</t>
  </si>
  <si>
    <t>rezerwa celowa na zapewnienie udziału własnego 
w projektach współfinansowanych ze środków Unii Europejskiej</t>
  </si>
  <si>
    <t xml:space="preserve">remonty obiektów </t>
  </si>
  <si>
    <t>remont pomieszczeń</t>
  </si>
  <si>
    <t>inwestycje - zakupy inwestycyjne</t>
  </si>
  <si>
    <t>pokrycie kosztów wydawania decyzji o świadczeniach zdrowotnych</t>
  </si>
  <si>
    <t>inwestycje, z tego:</t>
  </si>
  <si>
    <t>Wydatki na zadania realizowane na podstawie porozumień 
i umów</t>
  </si>
  <si>
    <t>inwestycje - oświetlenie ulic</t>
  </si>
  <si>
    <t>utrzymanie stołówek szkolnych, w tym:</t>
  </si>
  <si>
    <t>termomodernizacje obiektów</t>
  </si>
  <si>
    <t>Zakup usług remontowych - remont pomieszczeń</t>
  </si>
  <si>
    <t>inwestycje, w tym:</t>
  </si>
  <si>
    <t>wspieranie zatrudnienia socjalnego poprzez organizowanie 
i finansowanie centrów integracji społecznej</t>
  </si>
  <si>
    <t>remonty, w tym:</t>
  </si>
  <si>
    <t>do zarządzenia nr 416/2005</t>
  </si>
  <si>
    <t>5. Dom Pomocy Społecznej dla Osób Niepełnosprawnych Fizycznie</t>
  </si>
  <si>
    <t>rozdz. 80102 - Szkoły podstawowe specjalne</t>
  </si>
  <si>
    <t xml:space="preserve">Specjalny Ośrodek Szkolno-Wychowawczy nr 2 </t>
  </si>
  <si>
    <t xml:space="preserve">rozdz. 80104 - Przedszkola </t>
  </si>
  <si>
    <t>Przedszkole Specjalne nr 11</t>
  </si>
  <si>
    <t>Wynagrodzenia osobowe pracowników</t>
  </si>
  <si>
    <t>Składki na ubezpieczenia społeczne</t>
  </si>
  <si>
    <t>Składki na Fundusz Pracy</t>
  </si>
  <si>
    <t>Placówki opiekuńczo-wychowawcze</t>
  </si>
  <si>
    <t>Powiatowe urzędy pracy</t>
  </si>
  <si>
    <t>Zakup usług remontowych - remont obiektu</t>
  </si>
  <si>
    <t>Wydatki inwestycyjne jednostek budżetowych</t>
  </si>
  <si>
    <t>Wydatki na zakupy inwestycyjne jednostek budżetowych</t>
  </si>
  <si>
    <t>Obrona cywilna</t>
  </si>
  <si>
    <t>wydatki z zakresu obrony cywilnej</t>
  </si>
  <si>
    <t>Zakup materiałów i wyposażenia</t>
  </si>
  <si>
    <t>Obsługa długu publicznego</t>
  </si>
  <si>
    <t>Obsługa papierów wartościowych, kredytów i pożyczek jednostek samorządu terytorialnego</t>
  </si>
  <si>
    <t xml:space="preserve">odsetki oraz wydatki związane z obsługą pożyczek i kredytów </t>
  </si>
  <si>
    <t>Odsetki i dyskonto od krajowych skarbowych papierów wartościowych oraz od krajowych pożyczek i kredytów</t>
  </si>
  <si>
    <t>Zakup usług remontowych - remonty obiektów</t>
  </si>
  <si>
    <t>dotacja celowa z budżetu państwa na utrzymanie Komendy Miejskiej Państwowej Straży Pożarnej</t>
  </si>
  <si>
    <t>Wynagrodzenia bezosobowe</t>
  </si>
  <si>
    <t>Rady miast i miast na prawach powiatu</t>
  </si>
  <si>
    <t>funkcjonowanie Rady Miasta</t>
  </si>
  <si>
    <t>Wyngrodzenia bezosobowe</t>
  </si>
  <si>
    <t>Podróże służbowe krajowe</t>
  </si>
  <si>
    <t>Podróże służbowe zagraniczne</t>
  </si>
  <si>
    <t>1.9 Biuro Rady Miasta</t>
  </si>
  <si>
    <t>Zespół Szkół Ogólnokształcących nr 2</t>
  </si>
  <si>
    <t>Zespół Szkół Ogólnokształcących nr 5</t>
  </si>
  <si>
    <t xml:space="preserve">Zespół Szkół Ogólnokształcących nr 4 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</si>
  <si>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</si>
  <si>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</si>
  <si>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</si>
  <si>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</si>
  <si>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</si>
  <si>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</si>
  <si>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</si>
  <si>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</si>
  <si>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</si>
  <si>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</si>
  <si>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</si>
  <si>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</si>
  <si>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</si>
  <si>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17</t>
  </si>
  <si>
    <t>Gimnazjum nr 18</t>
  </si>
  <si>
    <t>Gimnazjum nr 19</t>
  </si>
  <si>
    <t>rozdz. 80113 - Dowożenie uczniów do szkół</t>
  </si>
  <si>
    <t>Specjalny Ośrodek Szkolno-Wychowawczy nr 2</t>
  </si>
  <si>
    <t>I Liceum Ogólnokształcące</t>
  </si>
  <si>
    <t>II Liceum Ogólnokształcące</t>
  </si>
  <si>
    <t>III Liceum Ogólnokształcące</t>
  </si>
  <si>
    <t>IV Liceum Ogólnokształcące</t>
  </si>
  <si>
    <t>VI Liceum Ogólnokształcące</t>
  </si>
  <si>
    <t>VII Liceum Ogólnokształcące</t>
  </si>
  <si>
    <t>VIII Liceum Ogólnokształcące</t>
  </si>
  <si>
    <t>rozdz. 80123 - Licea profilowane</t>
  </si>
  <si>
    <t>rozdz. 80130 - Szkoły zawodowe</t>
  </si>
  <si>
    <t>Państwowe Szkoły Budownictwa i Geodezji</t>
  </si>
  <si>
    <t>Zespół Szkół Budowlanych</t>
  </si>
  <si>
    <t>Zespół Szkół Ekonomicznych</t>
  </si>
  <si>
    <t>Zespół Szkół Elektronicznych</t>
  </si>
  <si>
    <t>Zespół Szkół Energetycznych</t>
  </si>
  <si>
    <t>Zespół Szkół Odzieżowo-Włókienniczych</t>
  </si>
  <si>
    <t>Bezpieczeństwo publiczne i ochrona przeciwpożarowa</t>
  </si>
  <si>
    <t>1.1 Wydział Bezpieczeństwa Mieszkańców i Zarządzania Kryzysowego</t>
  </si>
  <si>
    <t xml:space="preserve">1.2 Wydział Finansowy </t>
  </si>
  <si>
    <t>Usuwanie skutków klęsk żywiołowych</t>
  </si>
  <si>
    <t>usuwanie skutków klęsk żywiołowych</t>
  </si>
  <si>
    <t>Świadczenia społeczne</t>
  </si>
  <si>
    <t>Oświata i wychowanie</t>
  </si>
  <si>
    <t>Przedszkola</t>
  </si>
  <si>
    <t>Zespół Szkół Samochodowych</t>
  </si>
  <si>
    <t>Zespół Szkół Włókienniczych</t>
  </si>
  <si>
    <t>Zespół Szkół nr 1</t>
  </si>
  <si>
    <t>Zespół Szkół  nr 3</t>
  </si>
  <si>
    <t>Specjalny Ośrodek Szkolno-Wychowawczy nr 1</t>
  </si>
  <si>
    <t>Lubelskie Centrum Edukacji Zawodowej</t>
  </si>
  <si>
    <t>Przedszkole nr 63</t>
  </si>
  <si>
    <t>Centrum Kształcenia Ustawicznego nr 2</t>
  </si>
  <si>
    <t>wydatki związane z utrzymaniem zasobów komunalnych, sprzedażą mienia komunalnego oraz szacunki nieruchomości</t>
  </si>
  <si>
    <t>Zakup energii</t>
  </si>
  <si>
    <t>Zakup usług pozostałych</t>
  </si>
  <si>
    <t>Koszty postępowania sądowego i prokuratorskiego</t>
  </si>
  <si>
    <t>Kary i odszkodowania wypłacane na rzecz osób fizycznych</t>
  </si>
  <si>
    <t>Podatek od nieruchomości</t>
  </si>
  <si>
    <t>Pomoc społeczna</t>
  </si>
  <si>
    <t xml:space="preserve">wynagrodzenia </t>
  </si>
  <si>
    <t>4. Dom Dziecka Nr 3</t>
  </si>
  <si>
    <t>bieżące utrzymanie dróg</t>
  </si>
  <si>
    <t>Drogi publiczne gminne</t>
  </si>
  <si>
    <t xml:space="preserve">Gospodarka komunalna i ochrona środowiska </t>
  </si>
  <si>
    <t>Pozostałe zadania w zakresie polityki społecznej</t>
  </si>
  <si>
    <t>Pomoc dla repatriantów</t>
  </si>
  <si>
    <t>Urzędy naczelnych organów władzy państwowej, kontroli 
i ochrony prawa oraz sądownictwa</t>
  </si>
  <si>
    <t>Wybory Prezydenta Rezczypospolitej Polskiej</t>
  </si>
  <si>
    <t>Dotacje celowe otrzymane z budżetu państwa na realizację zadań bieżących 
z zakresu administracji rządowej oraz innych zadań zleconych gminie ustawami</t>
  </si>
  <si>
    <t>dotacja celowa z budżetu państwa na sfinansowanie kosztów przygotowania 
i przeprowadzenia wyborów Prezydenta Rzeczypospolitej Polskiej</t>
  </si>
  <si>
    <t>Kultura i ochrona dziedzictwa narodowego</t>
  </si>
  <si>
    <t>Pozostałe zadania w zakresie kultury</t>
  </si>
  <si>
    <t xml:space="preserve">1.1  Wydział Finansowy </t>
  </si>
  <si>
    <t>1.2 Wydział Funduszy Europejskich</t>
  </si>
  <si>
    <t>Gospodarstwa pomocnicze</t>
  </si>
  <si>
    <t>Domy i ośrodki kultury, świetlice i kluby</t>
  </si>
  <si>
    <t>Zespół Szkół Ogólnokształcących nr 1</t>
  </si>
  <si>
    <t>Zespół Szkół Ogólnokształcących nr 6</t>
  </si>
  <si>
    <t>Subwencje i dotacja rekompensująca</t>
  </si>
  <si>
    <t>gospodarka nieruchomościami</t>
  </si>
  <si>
    <t>§ 4270</t>
  </si>
  <si>
    <t>remontowych</t>
  </si>
  <si>
    <t>Dział 854 - Edukacyjna opieka wychowawcza</t>
  </si>
  <si>
    <t>Zespół Szkół nr 4</t>
  </si>
  <si>
    <t>Zespół Poradni nr 1</t>
  </si>
  <si>
    <t>Zespół Poradni nr 2</t>
  </si>
  <si>
    <t>Zespół Poradni nr 3</t>
  </si>
  <si>
    <t>Poradnia Psychologiczno-Pedagogiczna nr 1</t>
  </si>
  <si>
    <t>Poradnia Psychologiczno-Pedagogiczna nr 2</t>
  </si>
  <si>
    <t>Poradnia Psychologiczno-Pedagogiczna nr 3</t>
  </si>
  <si>
    <t>Młodzieżowy Dom Kultury nr 2</t>
  </si>
  <si>
    <t>Bursa Szkolna nr 1</t>
  </si>
  <si>
    <t>Bursa Szkolna nr 2</t>
  </si>
  <si>
    <t>Bursa Szkolna nr 3</t>
  </si>
  <si>
    <t>Bursa Szkolna nr 5</t>
  </si>
  <si>
    <t>Zespół Szkół Transportowo-Komunikacyjnych</t>
  </si>
  <si>
    <t>Zespół Szkół nr 3</t>
  </si>
  <si>
    <t>Wydatki na zadania realizowane na podstawie porozumień i umów</t>
  </si>
  <si>
    <t>Przedszkole nr 44</t>
  </si>
  <si>
    <t>Przedszkole nr 45</t>
  </si>
  <si>
    <t>Przedszkole nr 56</t>
  </si>
  <si>
    <t>Przedszkole nr 72</t>
  </si>
  <si>
    <t>Przedszkole nr 83</t>
  </si>
  <si>
    <t xml:space="preserve">Zespół Szkół Transportowo-Komunikacyjnych </t>
  </si>
  <si>
    <t>Zespół Szkół nr 6</t>
  </si>
  <si>
    <t>Szkolne Schronisko Młodzieżowe</t>
  </si>
  <si>
    <t>Młodzieżowy Ośrodek Socjoterapii</t>
  </si>
  <si>
    <t>Dział 851 - Ochrona zdrowia</t>
  </si>
  <si>
    <t>Plan finansowy zadań z zakresu administracji rządowej i innych zadań zleconych ustawami</t>
  </si>
  <si>
    <t>Plan wydatków 
po zmianach</t>
  </si>
  <si>
    <t xml:space="preserve">Rozdz. </t>
  </si>
  <si>
    <t>Zmiany</t>
  </si>
  <si>
    <t>Zadania zlecone ogółem</t>
  </si>
  <si>
    <t>Zadania ustawowo zlecone gminie</t>
  </si>
  <si>
    <r>
      <t xml:space="preserve">Wydatki na zadania zlecone, </t>
    </r>
    <r>
      <rPr>
        <sz val="10"/>
        <rFont val="Arial CE"/>
        <family val="2"/>
      </rPr>
      <t>z tego:</t>
    </r>
  </si>
  <si>
    <t>I kwartał</t>
  </si>
  <si>
    <t>II kwartał</t>
  </si>
  <si>
    <t>III kwartał</t>
  </si>
  <si>
    <t>IV kwartał</t>
  </si>
  <si>
    <t>Dochody ogółem</t>
  </si>
  <si>
    <t>Treść</t>
  </si>
  <si>
    <t>Plan</t>
  </si>
  <si>
    <t xml:space="preserve">Rozdz.                          </t>
  </si>
  <si>
    <t>Nazwa: działu, rozdziału, zadania inwestycyjnego</t>
  </si>
  <si>
    <t>ze środków własnych budżetu miasta</t>
  </si>
  <si>
    <t>z kredytów, pożyczek                                     i innych środków</t>
  </si>
  <si>
    <t>z budżetu państwa</t>
  </si>
  <si>
    <t>Ogółem wydatki majątkowe</t>
  </si>
  <si>
    <t>Wydatki na zadania zlecone</t>
  </si>
  <si>
    <t>Prezydenta Miasta Lublin</t>
  </si>
  <si>
    <t>Wydatki</t>
  </si>
  <si>
    <t>w złotych</t>
  </si>
  <si>
    <t>Dz.</t>
  </si>
  <si>
    <t>Rozdz.</t>
  </si>
  <si>
    <t>§</t>
  </si>
  <si>
    <t>Zmniejszenie</t>
  </si>
  <si>
    <t>Plan po zmianach</t>
  </si>
  <si>
    <t>Wydatki ogółem</t>
  </si>
  <si>
    <t>z tego:</t>
  </si>
  <si>
    <t>Wydatki na zadania własne</t>
  </si>
  <si>
    <t>wydatki rzeczowe</t>
  </si>
  <si>
    <t>Pozostała działalność</t>
  </si>
  <si>
    <t>Wydatki na zadania ustawowo zlecone gminie</t>
  </si>
  <si>
    <t>Wydatki na zadania z zakresu administracji rządowej wykonywane przez powiat</t>
  </si>
  <si>
    <t>Dochody</t>
  </si>
  <si>
    <t>Zwiększenia</t>
  </si>
  <si>
    <t>Dochody budżetu miasta ogółem</t>
  </si>
  <si>
    <t>Dochody własne</t>
  </si>
  <si>
    <t>Subwencje</t>
  </si>
  <si>
    <t>Dotacje celowe i inne środki na zadania własne</t>
  </si>
  <si>
    <t xml:space="preserve">Dotacje celowe z budżetu państwa na zadania zlecone z zakresu administracji rządowej </t>
  </si>
  <si>
    <t xml:space="preserve">Dotacje celowe z budżetu państwa na zadania z zakresu administracji rządowej </t>
  </si>
  <si>
    <t>Dział</t>
  </si>
  <si>
    <t xml:space="preserve">Rozdz.      </t>
  </si>
  <si>
    <t xml:space="preserve">Treść   </t>
  </si>
  <si>
    <t>Zmniejszenia</t>
  </si>
  <si>
    <t>Ogółem</t>
  </si>
  <si>
    <t>1. Urząd Miasta</t>
  </si>
  <si>
    <t>1.1 Wydział Finansowy</t>
  </si>
  <si>
    <t>Zadania z zakresu administracji rządowej wykonywane przez powiat</t>
  </si>
  <si>
    <t xml:space="preserve">Nazwa: działu, rozdziału, zadania </t>
  </si>
  <si>
    <t>Ogółem remonty</t>
  </si>
  <si>
    <t>Zadania własne</t>
  </si>
  <si>
    <t>Plan dochodów po zmianach</t>
  </si>
  <si>
    <t xml:space="preserve">Podział planowanych dochodów i wydatków budżetu miasta </t>
  </si>
  <si>
    <t>w tym:</t>
  </si>
  <si>
    <t xml:space="preserve">Dochody
według uchwały    
nr 583/XXV/2004                              
Rady Miasta Lublin
z 30.12.2004 r.
z późn. zm.
</t>
  </si>
  <si>
    <t xml:space="preserve">Wydatki
według uchwały    
nr 583/XXV/2004                              
Rady Miasta Lublin
z 30.12.2004 r.
z późn. zm.
</t>
  </si>
  <si>
    <t>Gospodarka gruntami i nieruchomościami</t>
  </si>
  <si>
    <t xml:space="preserve">Plan według uchwały    
nr 583/XXV/2004                              
Rady Miasta Lublin
z 30.12.2004 r.
z późn. zm.                        </t>
  </si>
  <si>
    <t>na 2005 rok według jednostek organizacyjnych realizujących budżet</t>
  </si>
  <si>
    <t>Dochody budżetu miasta na 2005 rok</t>
  </si>
  <si>
    <t>Wydatki budżetu miasta na 2005 rok</t>
  </si>
  <si>
    <t>Planowane wydatki majątkowe na 2005 rok</t>
  </si>
  <si>
    <t>Plan remontów na 2005 rok</t>
  </si>
  <si>
    <t>związanych z realizacją powyższych zadań na 2005 rok</t>
  </si>
  <si>
    <t>Harmonogram realizacji dochodów budżetu miasta w 2005 roku</t>
  </si>
  <si>
    <t>Harmonogram realizacji wydatków budżetu miasta w 2005 roku</t>
  </si>
  <si>
    <t>Załącznik nr 4</t>
  </si>
  <si>
    <t xml:space="preserve">Plan według uchwały    
nr 583/XXV/2004                              
Rady Miasta Lublin
z 30.12.2004 r.
z późn. zm.                     </t>
  </si>
  <si>
    <t xml:space="preserve">Plan według uchwały    
nr 583/XXV/2004                              
Rady Miasta Lublin
z 30.12.2004 r.
z późn. zm.                           </t>
  </si>
  <si>
    <r>
      <t>Dochody gminy ogółem,</t>
    </r>
    <r>
      <rPr>
        <sz val="10"/>
        <rFont val="Arial CE"/>
        <family val="2"/>
      </rPr>
      <t xml:space="preserve"> z tego:</t>
    </r>
  </si>
  <si>
    <r>
      <t xml:space="preserve">Dochody powiatu ogółem, </t>
    </r>
    <r>
      <rPr>
        <sz val="10"/>
        <rFont val="Arial CE"/>
        <family val="2"/>
      </rPr>
      <t>z tego:</t>
    </r>
  </si>
  <si>
    <t>Plan na 2005 rok
z późn. zm.</t>
  </si>
  <si>
    <t>Plan
na 2005 rok
z późn. zm.</t>
  </si>
  <si>
    <t>Załącznik nr 3</t>
  </si>
  <si>
    <t>Plan według uchwały    
nr 583/XXV/2004                              
Rady Miasta Lublin
z 30.12.2004 r. 
z późn. zm.</t>
  </si>
  <si>
    <t>oraz plan dochodów, które podlegają przekazaniu do budżetu państwa</t>
  </si>
  <si>
    <t>Rozdz. 
§</t>
  </si>
  <si>
    <t>Ochrona zdrowia</t>
  </si>
  <si>
    <t>Przeciwdziałanie alkoholizmowi</t>
  </si>
  <si>
    <t>Wynagrodzenia</t>
  </si>
  <si>
    <t>Wydatki rzeczowe</t>
  </si>
  <si>
    <t xml:space="preserve">       Nazwa</t>
  </si>
  <si>
    <t>§ 4010</t>
  </si>
  <si>
    <t>§ 4170</t>
  </si>
  <si>
    <t>§ 4110</t>
  </si>
  <si>
    <t>§ 4120</t>
  </si>
  <si>
    <t>§ 3020</t>
  </si>
  <si>
    <t>§ 4210</t>
  </si>
  <si>
    <t>§ 4220</t>
  </si>
  <si>
    <t>§ 4260</t>
  </si>
  <si>
    <t>§ 4280</t>
  </si>
  <si>
    <t>§ 4300</t>
  </si>
  <si>
    <t xml:space="preserve">           paragrafu</t>
  </si>
  <si>
    <t>Składki na</t>
  </si>
  <si>
    <t>Składki</t>
  </si>
  <si>
    <t>Zakup</t>
  </si>
  <si>
    <t xml:space="preserve">Zakup </t>
  </si>
  <si>
    <t>Podróże</t>
  </si>
  <si>
    <t>Różne</t>
  </si>
  <si>
    <t>osobowe</t>
  </si>
  <si>
    <t>wynagr.</t>
  </si>
  <si>
    <t>bezosobowe</t>
  </si>
  <si>
    <t>ubezpiecz.</t>
  </si>
  <si>
    <t xml:space="preserve">na </t>
  </si>
  <si>
    <t>dla</t>
  </si>
  <si>
    <t xml:space="preserve">materiałów </t>
  </si>
  <si>
    <t>środków</t>
  </si>
  <si>
    <t>energii</t>
  </si>
  <si>
    <t xml:space="preserve">usług </t>
  </si>
  <si>
    <t>usług</t>
  </si>
  <si>
    <t>służbowe</t>
  </si>
  <si>
    <t>opłaty</t>
  </si>
  <si>
    <t>pracowników</t>
  </si>
  <si>
    <t>społeczne</t>
  </si>
  <si>
    <t>Fundusz</t>
  </si>
  <si>
    <t>niezalicz.</t>
  </si>
  <si>
    <t>i</t>
  </si>
  <si>
    <t>żywności</t>
  </si>
  <si>
    <t>zdrowotnych</t>
  </si>
  <si>
    <t>pozostałych</t>
  </si>
  <si>
    <t>krajowe</t>
  </si>
  <si>
    <t>pochodne od wynagrodzeń</t>
  </si>
  <si>
    <t>akcja "Bezpieczna droga"</t>
  </si>
  <si>
    <t>Oddziały przedszkolne w szkołach podstawowych</t>
  </si>
  <si>
    <t>Dowożenie uczniów do szkół</t>
  </si>
  <si>
    <t xml:space="preserve">dowożenie uczniów </t>
  </si>
  <si>
    <t>Licea profilowane</t>
  </si>
  <si>
    <t>Dokształcanie i doskonalenie nauczycieli</t>
  </si>
  <si>
    <t>dokształcanie i doskonalenie zawodowe nauczycieli</t>
  </si>
  <si>
    <t>Świetlice szkolne</t>
  </si>
  <si>
    <t>Poradnie psychologiczno - pedagogiczne, w tym poradnie specjalistyczne</t>
  </si>
  <si>
    <t>Placówki wychowania pozaszkolnego</t>
  </si>
  <si>
    <t>Internaty i bursy szkolne</t>
  </si>
  <si>
    <t>Pomoc materialna dla uczniów</t>
  </si>
  <si>
    <t xml:space="preserve">dożywianie uczniów </t>
  </si>
  <si>
    <t>utrzymanie stołówek szkolnych, z tego:</t>
  </si>
  <si>
    <t>z dnia 31 pażdziernika 2005 roku</t>
  </si>
  <si>
    <t>realizacja Rządowego Programu "Posiłek dla potrzebujących"</t>
  </si>
  <si>
    <t>dotacja celowa z budżetu państwa na dofinansowanie realizacji Rządowego Programu "Posiłek dla potrzebujących"</t>
  </si>
  <si>
    <t>Dotacje celowe otrzymane z budżetu państwa na realizację własnych zadań bieżących gmin</t>
  </si>
  <si>
    <t>rozdz. 80111 - Gimnazja specjalne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</si>
</sst>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#,##0_ ;\-#,##0\ "/>
    <numFmt numFmtId="177" formatCode="#,##0_ ;[Red]\-#,##0\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\ h\ h:m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sz val="9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sz val="12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i/>
      <u val="single"/>
      <sz val="10"/>
      <name val="Arial CE"/>
      <family val="2"/>
    </font>
    <font>
      <b/>
      <i/>
      <sz val="10"/>
      <color indexed="8"/>
      <name val="Arial CE"/>
      <family val="2"/>
    </font>
    <font>
      <sz val="11"/>
      <color indexed="8"/>
      <name val="Arial CE"/>
      <family val="2"/>
    </font>
    <font>
      <sz val="8"/>
      <color indexed="8"/>
      <name val="Arial CE"/>
      <family val="2"/>
    </font>
    <font>
      <vertAlign val="superscript"/>
      <sz val="10"/>
      <name val="Arial CE"/>
      <family val="2"/>
    </font>
    <font>
      <i/>
      <sz val="11"/>
      <name val="Arial CE"/>
      <family val="2"/>
    </font>
    <font>
      <i/>
      <sz val="8"/>
      <color indexed="8"/>
      <name val="Arial CE"/>
      <family val="2"/>
    </font>
    <font>
      <i/>
      <sz val="10"/>
      <name val="Arial"/>
      <family val="2"/>
    </font>
    <font>
      <b/>
      <u val="single"/>
      <sz val="1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fgColor indexed="9"/>
        <bgColor indexed="9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</fills>
  <borders count="17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 style="thin"/>
      <bottom style="hair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 style="double"/>
      <right style="double"/>
      <top style="dotted"/>
      <bottom style="thin"/>
    </border>
    <border>
      <left style="double"/>
      <right style="thin"/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ashDotDot"/>
    </border>
    <border>
      <left style="double"/>
      <right style="thin"/>
      <top style="double"/>
      <bottom style="medium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tted"/>
    </border>
    <border>
      <left style="thin"/>
      <right style="thin"/>
      <top style="dashDotDot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double"/>
    </border>
    <border>
      <left style="thin"/>
      <right style="thin">
        <color indexed="8"/>
      </right>
      <top style="double"/>
      <bottom style="thin"/>
    </border>
    <border>
      <left style="thin"/>
      <right style="thin"/>
      <top style="hair"/>
      <bottom style="dotted"/>
    </border>
    <border>
      <left style="thin"/>
      <right style="thin"/>
      <top style="dashDotDot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7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3" fillId="0" borderId="0" xfId="0" applyAlignment="1">
      <alignment/>
    </xf>
    <xf numFmtId="3" fontId="13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Alignment="1">
      <alignment/>
    </xf>
    <xf numFmtId="0" fontId="15" fillId="0" borderId="0" xfId="0" applyFont="1" applyAlignment="1">
      <alignment horizontal="left"/>
    </xf>
    <xf numFmtId="3" fontId="13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4" fillId="0" borderId="9" xfId="0" applyFont="1" applyAlignment="1">
      <alignment horizontal="center" vertical="center" wrapText="1"/>
    </xf>
    <xf numFmtId="3" fontId="14" fillId="0" borderId="9" xfId="0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3" fontId="17" fillId="0" borderId="9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3" fillId="0" borderId="0" xfId="0" applyFont="1" applyAlignment="1">
      <alignment/>
    </xf>
    <xf numFmtId="3" fontId="16" fillId="0" borderId="0" xfId="0" applyFont="1" applyAlignment="1">
      <alignment horizontal="right"/>
    </xf>
    <xf numFmtId="0" fontId="11" fillId="0" borderId="0" xfId="0" applyFont="1" applyAlignment="1">
      <alignment/>
    </xf>
    <xf numFmtId="3" fontId="13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21" fillId="0" borderId="0" xfId="0" applyFont="1" applyAlignment="1">
      <alignment horizontal="right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0" fontId="5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wrapText="1"/>
    </xf>
    <xf numFmtId="0" fontId="5" fillId="3" borderId="6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5" fillId="3" borderId="13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0" fillId="3" borderId="15" xfId="0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wrapText="1"/>
    </xf>
    <xf numFmtId="3" fontId="0" fillId="3" borderId="16" xfId="0" applyNumberFormat="1" applyFont="1" applyFill="1" applyBorder="1" applyAlignment="1">
      <alignment/>
    </xf>
    <xf numFmtId="3" fontId="0" fillId="3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2" fillId="3" borderId="15" xfId="0" applyFont="1" applyFill="1" applyBorder="1" applyAlignment="1">
      <alignment horizontal="center"/>
    </xf>
    <xf numFmtId="3" fontId="12" fillId="3" borderId="15" xfId="0" applyNumberFormat="1" applyFont="1" applyFill="1" applyBorder="1" applyAlignment="1">
      <alignment horizontal="center"/>
    </xf>
    <xf numFmtId="3" fontId="7" fillId="3" borderId="18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 wrapText="1"/>
    </xf>
    <xf numFmtId="0" fontId="7" fillId="3" borderId="18" xfId="0" applyFont="1" applyFill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7" fillId="2" borderId="0" xfId="0" applyFont="1" applyFill="1" applyAlignment="1">
      <alignment/>
    </xf>
    <xf numFmtId="0" fontId="7" fillId="3" borderId="18" xfId="0" applyFont="1" applyFill="1" applyBorder="1" applyAlignment="1">
      <alignment wrapText="1"/>
    </xf>
    <xf numFmtId="3" fontId="7" fillId="3" borderId="18" xfId="0" applyNumberFormat="1" applyFont="1" applyFill="1" applyBorder="1" applyAlignment="1">
      <alignment wrapText="1"/>
    </xf>
    <xf numFmtId="3" fontId="5" fillId="4" borderId="2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0" fillId="5" borderId="19" xfId="0" applyFont="1" applyFill="1" applyAlignment="1">
      <alignment horizontal="center" vertical="center"/>
    </xf>
    <xf numFmtId="0" fontId="0" fillId="5" borderId="19" xfId="0" applyFont="1" applyFill="1" applyAlignment="1">
      <alignment horizontal="left" vertical="center"/>
    </xf>
    <xf numFmtId="3" fontId="0" fillId="5" borderId="20" xfId="0" applyNumberFormat="1" applyFont="1" applyFill="1" applyAlignment="1">
      <alignment horizontal="center" vertical="center"/>
    </xf>
    <xf numFmtId="0" fontId="0" fillId="3" borderId="19" xfId="0" applyFont="1" applyFill="1" applyAlignment="1">
      <alignment horizontal="center" vertical="center"/>
    </xf>
    <xf numFmtId="3" fontId="0" fillId="3" borderId="15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4" fillId="0" borderId="21" xfId="0" applyFont="1" applyBorder="1" applyAlignment="1">
      <alignment horizontal="center" vertical="center" wrapText="1"/>
    </xf>
    <xf numFmtId="0" fontId="14" fillId="0" borderId="9" xfId="0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3" borderId="15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12" fillId="3" borderId="15" xfId="0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/>
    </xf>
    <xf numFmtId="0" fontId="4" fillId="3" borderId="15" xfId="0" applyFont="1" applyFill="1" applyBorder="1" applyAlignment="1">
      <alignment horizontal="right"/>
    </xf>
    <xf numFmtId="0" fontId="4" fillId="3" borderId="15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5" fillId="3" borderId="22" xfId="0" applyNumberFormat="1" applyFont="1" applyFill="1" applyBorder="1" applyAlignment="1">
      <alignment/>
    </xf>
    <xf numFmtId="3" fontId="5" fillId="3" borderId="23" xfId="0" applyNumberFormat="1" applyFont="1" applyFill="1" applyBorder="1" applyAlignment="1">
      <alignment/>
    </xf>
    <xf numFmtId="3" fontId="7" fillId="3" borderId="24" xfId="0" applyNumberFormat="1" applyFont="1" applyFill="1" applyBorder="1" applyAlignment="1">
      <alignment/>
    </xf>
    <xf numFmtId="0" fontId="0" fillId="3" borderId="25" xfId="0" applyFont="1" applyFill="1" applyBorder="1" applyAlignment="1">
      <alignment/>
    </xf>
    <xf numFmtId="0" fontId="5" fillId="3" borderId="22" xfId="0" applyFont="1" applyFill="1" applyBorder="1" applyAlignment="1">
      <alignment horizontal="right"/>
    </xf>
    <xf numFmtId="0" fontId="5" fillId="3" borderId="23" xfId="0" applyFont="1" applyFill="1" applyBorder="1" applyAlignment="1">
      <alignment/>
    </xf>
    <xf numFmtId="0" fontId="7" fillId="3" borderId="24" xfId="0" applyFont="1" applyFill="1" applyBorder="1" applyAlignment="1">
      <alignment/>
    </xf>
    <xf numFmtId="0" fontId="7" fillId="3" borderId="24" xfId="0" applyFont="1" applyFill="1" applyBorder="1" applyAlignment="1">
      <alignment wrapText="1"/>
    </xf>
    <xf numFmtId="3" fontId="5" fillId="3" borderId="26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28" xfId="0" applyFont="1" applyFill="1" applyBorder="1" applyAlignment="1">
      <alignment horizontal="right"/>
    </xf>
    <xf numFmtId="0" fontId="5" fillId="3" borderId="29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3" fontId="5" fillId="3" borderId="23" xfId="0" applyNumberFormat="1" applyFont="1" applyFill="1" applyBorder="1" applyAlignment="1">
      <alignment/>
    </xf>
    <xf numFmtId="3" fontId="5" fillId="3" borderId="26" xfId="0" applyNumberFormat="1" applyFont="1" applyFill="1" applyBorder="1" applyAlignment="1">
      <alignment/>
    </xf>
    <xf numFmtId="0" fontId="6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right" vertical="center"/>
    </xf>
    <xf numFmtId="3" fontId="10" fillId="3" borderId="26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/>
    </xf>
    <xf numFmtId="0" fontId="5" fillId="3" borderId="26" xfId="0" applyFont="1" applyFill="1" applyBorder="1" applyAlignment="1">
      <alignment/>
    </xf>
    <xf numFmtId="0" fontId="5" fillId="3" borderId="23" xfId="0" applyFont="1" applyFill="1" applyBorder="1" applyAlignment="1">
      <alignment wrapText="1"/>
    </xf>
    <xf numFmtId="0" fontId="10" fillId="3" borderId="23" xfId="0" applyFont="1" applyFill="1" applyBorder="1" applyAlignment="1">
      <alignment wrapText="1"/>
    </xf>
    <xf numFmtId="3" fontId="10" fillId="3" borderId="23" xfId="0" applyNumberFormat="1" applyFont="1" applyFill="1" applyBorder="1" applyAlignment="1">
      <alignment horizontal="right"/>
    </xf>
    <xf numFmtId="3" fontId="10" fillId="3" borderId="31" xfId="0" applyNumberFormat="1" applyFont="1" applyFill="1" applyBorder="1" applyAlignment="1">
      <alignment horizontal="right"/>
    </xf>
    <xf numFmtId="3" fontId="10" fillId="3" borderId="32" xfId="0" applyNumberFormat="1" applyFont="1" applyFill="1" applyBorder="1" applyAlignment="1">
      <alignment horizontal="right"/>
    </xf>
    <xf numFmtId="3" fontId="0" fillId="3" borderId="33" xfId="0" applyNumberFormat="1" applyFont="1" applyFill="1" applyBorder="1" applyAlignment="1">
      <alignment/>
    </xf>
    <xf numFmtId="0" fontId="22" fillId="3" borderId="18" xfId="0" applyFont="1" applyFill="1" applyBorder="1" applyAlignment="1">
      <alignment wrapText="1"/>
    </xf>
    <xf numFmtId="3" fontId="22" fillId="3" borderId="18" xfId="0" applyNumberFormat="1" applyFont="1" applyFill="1" applyBorder="1" applyAlignment="1">
      <alignment/>
    </xf>
    <xf numFmtId="3" fontId="22" fillId="3" borderId="7" xfId="0" applyNumberFormat="1" applyFont="1" applyFill="1" applyBorder="1" applyAlignment="1">
      <alignment/>
    </xf>
    <xf numFmtId="3" fontId="22" fillId="3" borderId="34" xfId="0" applyNumberFormat="1" applyFont="1" applyFill="1" applyBorder="1" applyAlignment="1">
      <alignment/>
    </xf>
    <xf numFmtId="3" fontId="5" fillId="3" borderId="15" xfId="0" applyNumberFormat="1" applyFont="1" applyFill="1" applyBorder="1" applyAlignment="1">
      <alignment/>
    </xf>
    <xf numFmtId="0" fontId="18" fillId="5" borderId="35" xfId="0" applyFill="1" applyBorder="1" applyAlignment="1">
      <alignment/>
    </xf>
    <xf numFmtId="0" fontId="18" fillId="5" borderId="36" xfId="0" applyFill="1" applyBorder="1" applyAlignment="1">
      <alignment horizontal="left"/>
    </xf>
    <xf numFmtId="3" fontId="18" fillId="5" borderId="36" xfId="0" applyNumberFormat="1" applyFill="1" applyAlignment="1">
      <alignment horizontal="right"/>
    </xf>
    <xf numFmtId="3" fontId="18" fillId="5" borderId="36" xfId="0" applyNumberFormat="1" applyFont="1" applyFill="1" applyAlignment="1">
      <alignment horizontal="right"/>
    </xf>
    <xf numFmtId="0" fontId="13" fillId="5" borderId="37" xfId="0" applyFill="1" applyBorder="1" applyAlignment="1">
      <alignment horizontal="center"/>
    </xf>
    <xf numFmtId="0" fontId="14" fillId="6" borderId="38" xfId="0" applyFont="1" applyFill="1" applyBorder="1" applyAlignment="1">
      <alignment horizontal="center"/>
    </xf>
    <xf numFmtId="3" fontId="14" fillId="6" borderId="38" xfId="0" applyNumberFormat="1" applyFill="1" applyAlignment="1">
      <alignment horizontal="right"/>
    </xf>
    <xf numFmtId="0" fontId="13" fillId="5" borderId="37" xfId="0" applyFill="1" applyBorder="1" applyAlignment="1">
      <alignment/>
    </xf>
    <xf numFmtId="0" fontId="19" fillId="6" borderId="19" xfId="0" applyFill="1" applyBorder="1" applyAlignment="1">
      <alignment horizontal="center"/>
    </xf>
    <xf numFmtId="3" fontId="19" fillId="6" borderId="19" xfId="0" applyNumberForma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0" fillId="3" borderId="39" xfId="0" applyFont="1" applyFill="1" applyBorder="1" applyAlignment="1">
      <alignment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/>
    </xf>
    <xf numFmtId="0" fontId="0" fillId="3" borderId="25" xfId="0" applyFont="1" applyFill="1" applyBorder="1" applyAlignment="1">
      <alignment horizontal="left"/>
    </xf>
    <xf numFmtId="3" fontId="5" fillId="3" borderId="25" xfId="0" applyNumberFormat="1" applyFont="1" applyFill="1" applyBorder="1" applyAlignment="1">
      <alignment/>
    </xf>
    <xf numFmtId="0" fontId="18" fillId="5" borderId="41" xfId="0" applyFill="1" applyBorder="1" applyAlignment="1">
      <alignment horizontal="left"/>
    </xf>
    <xf numFmtId="0" fontId="13" fillId="5" borderId="19" xfId="0" applyFill="1" applyBorder="1" applyAlignment="1">
      <alignment horizontal="center"/>
    </xf>
    <xf numFmtId="0" fontId="13" fillId="5" borderId="19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wrapText="1"/>
    </xf>
    <xf numFmtId="0" fontId="0" fillId="0" borderId="15" xfId="0" applyFont="1" applyBorder="1" applyAlignment="1">
      <alignment/>
    </xf>
    <xf numFmtId="0" fontId="5" fillId="7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2" xfId="0" applyFont="1" applyBorder="1" applyAlignment="1">
      <alignment wrapText="1"/>
    </xf>
    <xf numFmtId="3" fontId="5" fillId="0" borderId="2" xfId="0" applyNumberFormat="1" applyFont="1" applyBorder="1" applyAlignment="1">
      <alignment/>
    </xf>
    <xf numFmtId="3" fontId="0" fillId="0" borderId="42" xfId="0" applyNumberFormat="1" applyFont="1" applyBorder="1" applyAlignment="1">
      <alignment wrapText="1"/>
    </xf>
    <xf numFmtId="3" fontId="4" fillId="0" borderId="2" xfId="0" applyNumberFormat="1" applyFont="1" applyBorder="1" applyAlignment="1">
      <alignment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0" fillId="0" borderId="2" xfId="0" applyFont="1" applyBorder="1" applyAlignment="1">
      <alignment/>
    </xf>
    <xf numFmtId="3" fontId="4" fillId="0" borderId="44" xfId="0" applyNumberFormat="1" applyFont="1" applyBorder="1" applyAlignment="1">
      <alignment wrapText="1"/>
    </xf>
    <xf numFmtId="0" fontId="5" fillId="0" borderId="43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7" fillId="3" borderId="22" xfId="0" applyFont="1" applyFill="1" applyBorder="1" applyAlignment="1">
      <alignment wrapText="1"/>
    </xf>
    <xf numFmtId="3" fontId="7" fillId="3" borderId="22" xfId="0" applyNumberFormat="1" applyFont="1" applyFill="1" applyBorder="1" applyAlignment="1">
      <alignment/>
    </xf>
    <xf numFmtId="0" fontId="5" fillId="7" borderId="2" xfId="0" applyFont="1" applyFill="1" applyBorder="1" applyAlignment="1">
      <alignment/>
    </xf>
    <xf numFmtId="3" fontId="5" fillId="7" borderId="28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6" xfId="0" applyFont="1" applyBorder="1" applyAlignment="1">
      <alignment wrapText="1"/>
    </xf>
    <xf numFmtId="3" fontId="5" fillId="2" borderId="18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4" fillId="0" borderId="43" xfId="0" applyFont="1" applyBorder="1" applyAlignment="1">
      <alignment/>
    </xf>
    <xf numFmtId="0" fontId="5" fillId="0" borderId="43" xfId="0" applyFont="1" applyBorder="1" applyAlignment="1">
      <alignment wrapText="1"/>
    </xf>
    <xf numFmtId="0" fontId="7" fillId="3" borderId="45" xfId="0" applyFont="1" applyFill="1" applyBorder="1" applyAlignment="1">
      <alignment/>
    </xf>
    <xf numFmtId="3" fontId="7" fillId="3" borderId="45" xfId="0" applyNumberFormat="1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46" xfId="0" applyFont="1" applyFill="1" applyBorder="1" applyAlignment="1">
      <alignment wrapText="1"/>
    </xf>
    <xf numFmtId="0" fontId="7" fillId="3" borderId="28" xfId="0" applyFont="1" applyFill="1" applyBorder="1" applyAlignment="1">
      <alignment/>
    </xf>
    <xf numFmtId="0" fontId="5" fillId="7" borderId="28" xfId="0" applyFont="1" applyFill="1" applyBorder="1" applyAlignment="1">
      <alignment wrapText="1"/>
    </xf>
    <xf numFmtId="0" fontId="0" fillId="2" borderId="42" xfId="0" applyFont="1" applyFill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4" fillId="2" borderId="2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4" fillId="0" borderId="44" xfId="0" applyNumberFormat="1" applyFont="1" applyFill="1" applyBorder="1" applyAlignment="1">
      <alignment wrapText="1"/>
    </xf>
    <xf numFmtId="3" fontId="0" fillId="0" borderId="47" xfId="0" applyNumberFormat="1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3" fontId="5" fillId="7" borderId="2" xfId="0" applyNumberFormat="1" applyFont="1" applyFill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0" fontId="0" fillId="0" borderId="43" xfId="0" applyFont="1" applyBorder="1" applyAlignment="1">
      <alignment wrapText="1"/>
    </xf>
    <xf numFmtId="3" fontId="0" fillId="0" borderId="43" xfId="0" applyNumberFormat="1" applyFont="1" applyBorder="1" applyAlignment="1">
      <alignment wrapText="1"/>
    </xf>
    <xf numFmtId="0" fontId="5" fillId="0" borderId="15" xfId="0" applyFont="1" applyBorder="1" applyAlignment="1">
      <alignment/>
    </xf>
    <xf numFmtId="3" fontId="5" fillId="7" borderId="2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wrapText="1"/>
    </xf>
    <xf numFmtId="0" fontId="4" fillId="0" borderId="44" xfId="0" applyFont="1" applyBorder="1" applyAlignment="1">
      <alignment/>
    </xf>
    <xf numFmtId="3" fontId="4" fillId="0" borderId="44" xfId="0" applyNumberFormat="1" applyFont="1" applyBorder="1" applyAlignment="1">
      <alignment/>
    </xf>
    <xf numFmtId="3" fontId="5" fillId="7" borderId="2" xfId="0" applyNumberFormat="1" applyFont="1" applyFill="1" applyBorder="1" applyAlignment="1">
      <alignment/>
    </xf>
    <xf numFmtId="166" fontId="12" fillId="3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3" fontId="5" fillId="0" borderId="43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wrapText="1"/>
    </xf>
    <xf numFmtId="3" fontId="5" fillId="0" borderId="28" xfId="0" applyNumberFormat="1" applyFont="1" applyBorder="1" applyAlignment="1">
      <alignment wrapText="1"/>
    </xf>
    <xf numFmtId="3" fontId="5" fillId="0" borderId="48" xfId="0" applyNumberFormat="1" applyFont="1" applyBorder="1" applyAlignment="1">
      <alignment wrapText="1"/>
    </xf>
    <xf numFmtId="3" fontId="0" fillId="0" borderId="48" xfId="0" applyNumberFormat="1" applyFont="1" applyBorder="1" applyAlignment="1">
      <alignment wrapText="1"/>
    </xf>
    <xf numFmtId="3" fontId="5" fillId="0" borderId="49" xfId="0" applyNumberFormat="1" applyFont="1" applyBorder="1" applyAlignment="1">
      <alignment wrapText="1"/>
    </xf>
    <xf numFmtId="1" fontId="5" fillId="2" borderId="23" xfId="0" applyNumberFormat="1" applyFont="1" applyFill="1" applyBorder="1" applyAlignment="1">
      <alignment/>
    </xf>
    <xf numFmtId="1" fontId="5" fillId="2" borderId="23" xfId="0" applyNumberFormat="1" applyFont="1" applyFill="1" applyBorder="1" applyAlignment="1">
      <alignment/>
    </xf>
    <xf numFmtId="0" fontId="4" fillId="0" borderId="15" xfId="0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3" fontId="5" fillId="7" borderId="28" xfId="0" applyNumberFormat="1" applyFont="1" applyFill="1" applyBorder="1" applyAlignment="1">
      <alignment wrapText="1"/>
    </xf>
    <xf numFmtId="3" fontId="0" fillId="2" borderId="42" xfId="0" applyNumberFormat="1" applyFont="1" applyFill="1" applyBorder="1" applyAlignment="1">
      <alignment wrapText="1"/>
    </xf>
    <xf numFmtId="3" fontId="4" fillId="2" borderId="44" xfId="0" applyNumberFormat="1" applyFont="1" applyFill="1" applyBorder="1" applyAlignment="1">
      <alignment wrapText="1"/>
    </xf>
    <xf numFmtId="3" fontId="0" fillId="0" borderId="5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0" fontId="7" fillId="3" borderId="23" xfId="0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 wrapText="1"/>
    </xf>
    <xf numFmtId="3" fontId="0" fillId="3" borderId="16" xfId="0" applyNumberFormat="1" applyFont="1" applyFill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0" fontId="7" fillId="0" borderId="18" xfId="0" applyFont="1" applyBorder="1" applyAlignment="1">
      <alignment wrapText="1"/>
    </xf>
    <xf numFmtId="3" fontId="7" fillId="0" borderId="18" xfId="0" applyNumberFormat="1" applyFont="1" applyBorder="1" applyAlignment="1">
      <alignment wrapText="1"/>
    </xf>
    <xf numFmtId="1" fontId="0" fillId="0" borderId="15" xfId="0" applyNumberFormat="1" applyFont="1" applyBorder="1" applyAlignment="1">
      <alignment/>
    </xf>
    <xf numFmtId="3" fontId="0" fillId="0" borderId="28" xfId="0" applyNumberFormat="1" applyFont="1" applyBorder="1" applyAlignment="1">
      <alignment wrapText="1"/>
    </xf>
    <xf numFmtId="3" fontId="5" fillId="0" borderId="51" xfId="0" applyNumberFormat="1" applyFont="1" applyBorder="1" applyAlignment="1">
      <alignment wrapText="1"/>
    </xf>
    <xf numFmtId="3" fontId="0" fillId="0" borderId="49" xfId="0" applyNumberFormat="1" applyFont="1" applyBorder="1" applyAlignment="1">
      <alignment wrapText="1"/>
    </xf>
    <xf numFmtId="3" fontId="5" fillId="0" borderId="43" xfId="0" applyNumberFormat="1" applyFont="1" applyBorder="1" applyAlignment="1">
      <alignment wrapText="1"/>
    </xf>
    <xf numFmtId="0" fontId="5" fillId="0" borderId="52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3" fontId="5" fillId="0" borderId="50" xfId="0" applyNumberFormat="1" applyFont="1" applyBorder="1" applyAlignment="1">
      <alignment wrapText="1"/>
    </xf>
    <xf numFmtId="3" fontId="5" fillId="0" borderId="43" xfId="0" applyNumberFormat="1" applyFont="1" applyBorder="1" applyAlignment="1">
      <alignment horizontal="right" wrapText="1"/>
    </xf>
    <xf numFmtId="3" fontId="5" fillId="0" borderId="50" xfId="0" applyNumberFormat="1" applyFont="1" applyBorder="1" applyAlignment="1">
      <alignment horizontal="right" wrapText="1"/>
    </xf>
    <xf numFmtId="3" fontId="0" fillId="0" borderId="53" xfId="0" applyNumberFormat="1" applyFont="1" applyBorder="1" applyAlignment="1">
      <alignment horizontal="left" wrapText="1"/>
    </xf>
    <xf numFmtId="3" fontId="0" fillId="0" borderId="42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4" fillId="2" borderId="43" xfId="0" applyNumberFormat="1" applyFont="1" applyFill="1" applyBorder="1" applyAlignment="1">
      <alignment wrapText="1"/>
    </xf>
    <xf numFmtId="3" fontId="0" fillId="0" borderId="54" xfId="0" applyNumberFormat="1" applyFont="1" applyBorder="1" applyAlignment="1">
      <alignment wrapText="1"/>
    </xf>
    <xf numFmtId="3" fontId="0" fillId="0" borderId="55" xfId="0" applyNumberFormat="1" applyFont="1" applyBorder="1" applyAlignment="1">
      <alignment wrapText="1"/>
    </xf>
    <xf numFmtId="3" fontId="13" fillId="0" borderId="43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horizontal="right"/>
    </xf>
    <xf numFmtId="3" fontId="14" fillId="0" borderId="56" xfId="15" applyNumberFormat="1" applyFont="1" applyFill="1" applyBorder="1" applyAlignment="1">
      <alignment horizontal="right" vertical="center"/>
    </xf>
    <xf numFmtId="3" fontId="14" fillId="0" borderId="56" xfId="0" applyNumberFormat="1" applyFont="1" applyFill="1" applyBorder="1" applyAlignment="1">
      <alignment vertical="center"/>
    </xf>
    <xf numFmtId="1" fontId="14" fillId="0" borderId="57" xfId="0" applyNumberFormat="1" applyFont="1" applyFill="1" applyBorder="1" applyAlignment="1">
      <alignment horizontal="center" vertical="center"/>
    </xf>
    <xf numFmtId="1" fontId="13" fillId="0" borderId="58" xfId="0" applyNumberFormat="1" applyFont="1" applyFill="1" applyBorder="1" applyAlignment="1">
      <alignment horizontal="center" vertical="center"/>
    </xf>
    <xf numFmtId="3" fontId="13" fillId="0" borderId="43" xfId="15" applyNumberFormat="1" applyFont="1" applyFill="1" applyBorder="1" applyAlignment="1">
      <alignment horizontal="right" vertical="center"/>
    </xf>
    <xf numFmtId="1" fontId="13" fillId="0" borderId="59" xfId="0" applyNumberFormat="1" applyFont="1" applyFill="1" applyBorder="1" applyAlignment="1">
      <alignment horizontal="center" vertical="center"/>
    </xf>
    <xf numFmtId="3" fontId="13" fillId="0" borderId="2" xfId="15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3" fontId="13" fillId="0" borderId="2" xfId="15" applyNumberFormat="1" applyFont="1" applyFill="1" applyBorder="1" applyAlignment="1">
      <alignment vertical="center"/>
    </xf>
    <xf numFmtId="3" fontId="13" fillId="0" borderId="43" xfId="15" applyNumberFormat="1" applyFont="1" applyFill="1" applyBorder="1" applyAlignment="1">
      <alignment vertical="center"/>
    </xf>
    <xf numFmtId="1" fontId="13" fillId="0" borderId="50" xfId="0" applyNumberFormat="1" applyFont="1" applyFill="1" applyBorder="1" applyAlignment="1">
      <alignment horizontal="center"/>
    </xf>
    <xf numFmtId="3" fontId="13" fillId="0" borderId="15" xfId="15" applyNumberFormat="1" applyFont="1" applyFill="1" applyBorder="1" applyAlignment="1">
      <alignment vertical="center"/>
    </xf>
    <xf numFmtId="3" fontId="14" fillId="0" borderId="43" xfId="0" applyNumberFormat="1" applyFont="1" applyFill="1" applyBorder="1" applyAlignment="1">
      <alignment horizontal="center"/>
    </xf>
    <xf numFmtId="1" fontId="14" fillId="0" borderId="60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 horizontal="right" vertical="center"/>
    </xf>
    <xf numFmtId="1" fontId="24" fillId="0" borderId="0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right" vertical="center"/>
    </xf>
    <xf numFmtId="3" fontId="14" fillId="0" borderId="23" xfId="0" applyNumberFormat="1" applyFont="1" applyFill="1" applyBorder="1" applyAlignment="1">
      <alignment horizontal="right" vertical="center"/>
    </xf>
    <xf numFmtId="3" fontId="24" fillId="0" borderId="43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3" fillId="0" borderId="0" xfId="15" applyNumberFormat="1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3" fontId="14" fillId="0" borderId="0" xfId="15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3" fontId="17" fillId="0" borderId="15" xfId="0" applyNumberFormat="1" applyFont="1" applyFill="1" applyBorder="1" applyAlignment="1">
      <alignment horizontal="center"/>
    </xf>
    <xf numFmtId="3" fontId="26" fillId="0" borderId="17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" fontId="14" fillId="0" borderId="61" xfId="0" applyNumberFormat="1" applyFont="1" applyFill="1" applyBorder="1" applyAlignment="1">
      <alignment horizontal="center"/>
    </xf>
    <xf numFmtId="3" fontId="14" fillId="0" borderId="56" xfId="0" applyNumberFormat="1" applyFont="1" applyFill="1" applyBorder="1" applyAlignment="1">
      <alignment horizontal="right" wrapText="1"/>
    </xf>
    <xf numFmtId="3" fontId="14" fillId="0" borderId="62" xfId="0" applyNumberFormat="1" applyFont="1" applyFill="1" applyBorder="1" applyAlignment="1">
      <alignment horizontal="right" vertical="center" wrapText="1"/>
    </xf>
    <xf numFmtId="1" fontId="13" fillId="0" borderId="58" xfId="0" applyNumberFormat="1" applyFont="1" applyFill="1" applyBorder="1" applyAlignment="1" quotePrefix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" fontId="14" fillId="0" borderId="57" xfId="15" applyNumberFormat="1" applyFont="1" applyFill="1" applyBorder="1" applyAlignment="1">
      <alignment horizontal="center" vertical="center"/>
    </xf>
    <xf numFmtId="3" fontId="13" fillId="0" borderId="50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/>
    </xf>
    <xf numFmtId="1" fontId="13" fillId="0" borderId="28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horizontal="right"/>
    </xf>
    <xf numFmtId="1" fontId="13" fillId="0" borderId="50" xfId="0" applyNumberFormat="1" applyFont="1" applyFill="1" applyBorder="1" applyAlignment="1">
      <alignment horizontal="center" vertical="center"/>
    </xf>
    <xf numFmtId="1" fontId="14" fillId="0" borderId="63" xfId="0" applyNumberFormat="1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right" vertical="center"/>
    </xf>
    <xf numFmtId="3" fontId="24" fillId="0" borderId="43" xfId="15" applyNumberFormat="1" applyFont="1" applyFill="1" applyBorder="1" applyAlignment="1">
      <alignment horizontal="right"/>
    </xf>
    <xf numFmtId="1" fontId="24" fillId="0" borderId="3" xfId="0" applyNumberFormat="1" applyFont="1" applyFill="1" applyBorder="1" applyAlignment="1">
      <alignment horizontal="center"/>
    </xf>
    <xf numFmtId="3" fontId="24" fillId="0" borderId="64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/>
    </xf>
    <xf numFmtId="3" fontId="14" fillId="0" borderId="65" xfId="0" applyNumberFormat="1" applyFont="1" applyFill="1" applyBorder="1" applyAlignment="1">
      <alignment horizontal="right" vertical="center" wrapText="1"/>
    </xf>
    <xf numFmtId="3" fontId="24" fillId="0" borderId="64" xfId="0" applyNumberFormat="1" applyFont="1" applyFill="1" applyBorder="1" applyAlignment="1">
      <alignment/>
    </xf>
    <xf numFmtId="3" fontId="24" fillId="0" borderId="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13" fillId="0" borderId="2" xfId="0" applyNumberFormat="1" applyFont="1" applyFill="1" applyBorder="1" applyAlignment="1">
      <alignment horizontal="right" wrapText="1"/>
    </xf>
    <xf numFmtId="3" fontId="0" fillId="0" borderId="43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left" wrapText="1"/>
    </xf>
    <xf numFmtId="3" fontId="0" fillId="0" borderId="53" xfId="0" applyNumberFormat="1" applyFont="1" applyBorder="1" applyAlignment="1">
      <alignment horizontal="right" wrapText="1"/>
    </xf>
    <xf numFmtId="0" fontId="5" fillId="7" borderId="43" xfId="0" applyFont="1" applyFill="1" applyBorder="1" applyAlignment="1">
      <alignment/>
    </xf>
    <xf numFmtId="3" fontId="5" fillId="7" borderId="43" xfId="0" applyNumberFormat="1" applyFont="1" applyFill="1" applyBorder="1" applyAlignment="1">
      <alignment wrapText="1"/>
    </xf>
    <xf numFmtId="3" fontId="5" fillId="7" borderId="43" xfId="0" applyNumberFormat="1" applyFont="1" applyFill="1" applyBorder="1" applyAlignment="1">
      <alignment horizontal="right" wrapText="1"/>
    </xf>
    <xf numFmtId="3" fontId="5" fillId="2" borderId="66" xfId="0" applyNumberFormat="1" applyFont="1" applyFill="1" applyBorder="1" applyAlignment="1">
      <alignment/>
    </xf>
    <xf numFmtId="1" fontId="5" fillId="0" borderId="43" xfId="0" applyNumberFormat="1" applyFont="1" applyBorder="1" applyAlignment="1">
      <alignment/>
    </xf>
    <xf numFmtId="3" fontId="5" fillId="2" borderId="23" xfId="0" applyNumberFormat="1" applyFont="1" applyFill="1" applyBorder="1" applyAlignment="1">
      <alignment wrapText="1"/>
    </xf>
    <xf numFmtId="3" fontId="5" fillId="2" borderId="67" xfId="0" applyNumberFormat="1" applyFont="1" applyFill="1" applyBorder="1" applyAlignment="1">
      <alignment wrapText="1"/>
    </xf>
    <xf numFmtId="3" fontId="5" fillId="2" borderId="68" xfId="0" applyNumberFormat="1" applyFont="1" applyFill="1" applyBorder="1" applyAlignment="1">
      <alignment/>
    </xf>
    <xf numFmtId="3" fontId="5" fillId="2" borderId="69" xfId="0" applyNumberFormat="1" applyFont="1" applyFill="1" applyBorder="1" applyAlignment="1">
      <alignment/>
    </xf>
    <xf numFmtId="3" fontId="4" fillId="3" borderId="43" xfId="0" applyNumberFormat="1" applyFont="1" applyFill="1" applyBorder="1" applyAlignment="1">
      <alignment wrapText="1"/>
    </xf>
    <xf numFmtId="3" fontId="4" fillId="0" borderId="44" xfId="0" applyNumberFormat="1" applyFont="1" applyBorder="1" applyAlignment="1">
      <alignment horizontal="right"/>
    </xf>
    <xf numFmtId="3" fontId="5" fillId="2" borderId="70" xfId="0" applyNumberFormat="1" applyFont="1" applyFill="1" applyBorder="1" applyAlignment="1">
      <alignment wrapText="1"/>
    </xf>
    <xf numFmtId="3" fontId="5" fillId="2" borderId="3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5" fillId="2" borderId="43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49" fontId="5" fillId="7" borderId="2" xfId="0" applyNumberFormat="1" applyFont="1" applyFill="1" applyBorder="1" applyAlignment="1">
      <alignment horizontal="right"/>
    </xf>
    <xf numFmtId="3" fontId="16" fillId="0" borderId="44" xfId="0" applyNumberFormat="1" applyFont="1" applyBorder="1" applyAlignment="1">
      <alignment wrapText="1"/>
    </xf>
    <xf numFmtId="0" fontId="5" fillId="7" borderId="4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3" fontId="5" fillId="7" borderId="43" xfId="0" applyNumberFormat="1" applyFont="1" applyFill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1" fontId="24" fillId="0" borderId="59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left" wrapText="1"/>
    </xf>
    <xf numFmtId="3" fontId="24" fillId="0" borderId="28" xfId="0" applyNumberFormat="1" applyFont="1" applyFill="1" applyBorder="1" applyAlignment="1">
      <alignment horizontal="right"/>
    </xf>
    <xf numFmtId="0" fontId="4" fillId="0" borderId="28" xfId="0" applyFont="1" applyBorder="1" applyAlignment="1">
      <alignment/>
    </xf>
    <xf numFmtId="0" fontId="4" fillId="3" borderId="43" xfId="0" applyFont="1" applyFill="1" applyBorder="1" applyAlignment="1">
      <alignment/>
    </xf>
    <xf numFmtId="3" fontId="4" fillId="3" borderId="43" xfId="0" applyNumberFormat="1" applyFont="1" applyFill="1" applyBorder="1" applyAlignment="1">
      <alignment/>
    </xf>
    <xf numFmtId="0" fontId="0" fillId="0" borderId="42" xfId="0" applyFont="1" applyBorder="1" applyAlignment="1">
      <alignment horizontal="left" wrapText="1"/>
    </xf>
    <xf numFmtId="3" fontId="4" fillId="2" borderId="43" xfId="0" applyNumberFormat="1" applyFont="1" applyFill="1" applyBorder="1" applyAlignment="1">
      <alignment horizontal="right" wrapText="1"/>
    </xf>
    <xf numFmtId="3" fontId="4" fillId="3" borderId="71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1" fontId="25" fillId="0" borderId="52" xfId="0" applyNumberFormat="1" applyFont="1" applyFill="1" applyBorder="1" applyAlignment="1">
      <alignment horizontal="center"/>
    </xf>
    <xf numFmtId="3" fontId="18" fillId="0" borderId="72" xfId="0" applyNumberFormat="1" applyFont="1" applyFill="1" applyBorder="1" applyAlignment="1">
      <alignment horizontal="right" vertical="center"/>
    </xf>
    <xf numFmtId="3" fontId="18" fillId="0" borderId="72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right" wrapText="1"/>
    </xf>
    <xf numFmtId="3" fontId="13" fillId="0" borderId="15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2" borderId="0" xfId="0" applyFont="1" applyFill="1" applyAlignment="1">
      <alignment horizontal="left"/>
    </xf>
    <xf numFmtId="3" fontId="5" fillId="3" borderId="18" xfId="0" applyNumberFormat="1" applyFont="1" applyFill="1" applyBorder="1" applyAlignment="1">
      <alignment/>
    </xf>
    <xf numFmtId="0" fontId="5" fillId="7" borderId="43" xfId="0" applyFont="1" applyFill="1" applyBorder="1" applyAlignment="1">
      <alignment/>
    </xf>
    <xf numFmtId="0" fontId="5" fillId="7" borderId="43" xfId="0" applyFont="1" applyFill="1" applyBorder="1" applyAlignment="1">
      <alignment wrapText="1"/>
    </xf>
    <xf numFmtId="3" fontId="5" fillId="2" borderId="43" xfId="0" applyNumberFormat="1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7" borderId="2" xfId="0" applyFont="1" applyFill="1" applyBorder="1" applyAlignment="1">
      <alignment horizontal="right"/>
    </xf>
    <xf numFmtId="0" fontId="5" fillId="7" borderId="28" xfId="0" applyFont="1" applyFill="1" applyBorder="1" applyAlignment="1">
      <alignment/>
    </xf>
    <xf numFmtId="0" fontId="5" fillId="0" borderId="15" xfId="0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5" fillId="2" borderId="4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4" fillId="0" borderId="15" xfId="0" applyFont="1" applyBorder="1" applyAlignment="1">
      <alignment vertical="top"/>
    </xf>
    <xf numFmtId="0" fontId="12" fillId="0" borderId="15" xfId="0" applyFont="1" applyBorder="1" applyAlignment="1">
      <alignment horizontal="center" wrapText="1"/>
    </xf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 quotePrefix="1">
      <alignment horizontal="right"/>
    </xf>
    <xf numFmtId="0" fontId="5" fillId="0" borderId="2" xfId="0" applyFont="1" applyBorder="1" applyAlignment="1">
      <alignment vertical="top"/>
    </xf>
    <xf numFmtId="3" fontId="5" fillId="2" borderId="2" xfId="0" applyNumberFormat="1" applyFont="1" applyFill="1" applyBorder="1" applyAlignment="1">
      <alignment wrapText="1"/>
    </xf>
    <xf numFmtId="3" fontId="12" fillId="0" borderId="15" xfId="0" applyNumberFormat="1" applyFont="1" applyBorder="1" applyAlignment="1">
      <alignment horizontal="center" wrapText="1"/>
    </xf>
    <xf numFmtId="3" fontId="5" fillId="0" borderId="43" xfId="0" applyNumberFormat="1" applyFont="1" applyBorder="1" applyAlignment="1">
      <alignment/>
    </xf>
    <xf numFmtId="0" fontId="12" fillId="0" borderId="16" xfId="0" applyFont="1" applyBorder="1" applyAlignment="1">
      <alignment horizontal="center" wrapText="1"/>
    </xf>
    <xf numFmtId="3" fontId="5" fillId="7" borderId="43" xfId="0" applyNumberFormat="1" applyFont="1" applyFill="1" applyBorder="1" applyAlignment="1">
      <alignment/>
    </xf>
    <xf numFmtId="0" fontId="4" fillId="3" borderId="19" xfId="0" applyFont="1" applyFill="1" applyBorder="1" applyAlignment="1">
      <alignment horizontal="right" vertical="center"/>
    </xf>
    <xf numFmtId="0" fontId="7" fillId="3" borderId="73" xfId="0" applyFont="1" applyFill="1" applyBorder="1" applyAlignment="1">
      <alignment wrapText="1"/>
    </xf>
    <xf numFmtId="3" fontId="7" fillId="3" borderId="73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2" borderId="43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4" fillId="2" borderId="44" xfId="0" applyNumberFormat="1" applyFont="1" applyFill="1" applyBorder="1" applyAlignment="1">
      <alignment horizontal="right" wrapText="1"/>
    </xf>
    <xf numFmtId="0" fontId="4" fillId="2" borderId="15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0" fillId="0" borderId="47" xfId="0" applyFont="1" applyBorder="1" applyAlignment="1">
      <alignment/>
    </xf>
    <xf numFmtId="0" fontId="5" fillId="4" borderId="43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4" borderId="43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3" fontId="0" fillId="0" borderId="47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3" borderId="15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 wrapText="1"/>
    </xf>
    <xf numFmtId="0" fontId="7" fillId="3" borderId="15" xfId="0" applyFont="1" applyFill="1" applyBorder="1" applyAlignment="1">
      <alignment/>
    </xf>
    <xf numFmtId="0" fontId="0" fillId="3" borderId="3" xfId="0" applyFont="1" applyFill="1" applyBorder="1" applyAlignment="1">
      <alignment horizontal="right"/>
    </xf>
    <xf numFmtId="0" fontId="0" fillId="3" borderId="15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3" fontId="0" fillId="2" borderId="42" xfId="0" applyNumberFormat="1" applyFont="1" applyFill="1" applyBorder="1" applyAlignment="1">
      <alignment horizontal="right" wrapText="1"/>
    </xf>
    <xf numFmtId="3" fontId="7" fillId="0" borderId="18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3" fontId="5" fillId="2" borderId="67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 wrapText="1"/>
    </xf>
    <xf numFmtId="3" fontId="0" fillId="0" borderId="75" xfId="0" applyNumberFormat="1" applyFont="1" applyBorder="1" applyAlignment="1">
      <alignment wrapText="1"/>
    </xf>
    <xf numFmtId="3" fontId="0" fillId="0" borderId="2" xfId="0" applyNumberFormat="1" applyFont="1" applyFill="1" applyBorder="1" applyAlignment="1">
      <alignment horizontal="right" wrapText="1"/>
    </xf>
    <xf numFmtId="3" fontId="0" fillId="2" borderId="47" xfId="0" applyNumberFormat="1" applyFont="1" applyFill="1" applyBorder="1" applyAlignment="1">
      <alignment wrapText="1"/>
    </xf>
    <xf numFmtId="0" fontId="4" fillId="0" borderId="76" xfId="0" applyFont="1" applyBorder="1" applyAlignment="1">
      <alignment wrapText="1"/>
    </xf>
    <xf numFmtId="3" fontId="12" fillId="0" borderId="16" xfId="0" applyNumberFormat="1" applyFont="1" applyBorder="1" applyAlignment="1">
      <alignment horizontal="center" wrapText="1"/>
    </xf>
    <xf numFmtId="0" fontId="0" fillId="0" borderId="47" xfId="0" applyFont="1" applyBorder="1" applyAlignment="1">
      <alignment wrapText="1"/>
    </xf>
    <xf numFmtId="0" fontId="4" fillId="2" borderId="15" xfId="0" applyFont="1" applyFill="1" applyBorder="1" applyAlignment="1">
      <alignment wrapText="1"/>
    </xf>
    <xf numFmtId="3" fontId="4" fillId="2" borderId="15" xfId="0" applyNumberFormat="1" applyFont="1" applyFill="1" applyBorder="1" applyAlignment="1">
      <alignment wrapText="1"/>
    </xf>
    <xf numFmtId="1" fontId="5" fillId="0" borderId="2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4" fillId="0" borderId="16" xfId="0" applyFont="1" applyBorder="1" applyAlignment="1">
      <alignment/>
    </xf>
    <xf numFmtId="3" fontId="4" fillId="2" borderId="77" xfId="0" applyNumberFormat="1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/>
    </xf>
    <xf numFmtId="3" fontId="7" fillId="3" borderId="15" xfId="0" applyNumberFormat="1" applyFont="1" applyFill="1" applyBorder="1" applyAlignment="1">
      <alignment/>
    </xf>
    <xf numFmtId="0" fontId="4" fillId="0" borderId="43" xfId="0" applyFont="1" applyBorder="1" applyAlignment="1">
      <alignment/>
    </xf>
    <xf numFmtId="3" fontId="0" fillId="2" borderId="15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6" xfId="0" applyFont="1" applyFill="1" applyBorder="1" applyAlignment="1">
      <alignment wrapText="1"/>
    </xf>
    <xf numFmtId="3" fontId="0" fillId="0" borderId="52" xfId="0" applyNumberFormat="1" applyFont="1" applyBorder="1" applyAlignment="1">
      <alignment wrapText="1"/>
    </xf>
    <xf numFmtId="3" fontId="0" fillId="2" borderId="47" xfId="0" applyNumberFormat="1" applyFont="1" applyFill="1" applyBorder="1" applyAlignment="1">
      <alignment horizontal="right" wrapText="1"/>
    </xf>
    <xf numFmtId="49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textRotation="255"/>
    </xf>
    <xf numFmtId="3" fontId="0" fillId="2" borderId="15" xfId="0" applyNumberFormat="1" applyFont="1" applyFill="1" applyBorder="1" applyAlignment="1">
      <alignment wrapText="1"/>
    </xf>
    <xf numFmtId="0" fontId="0" fillId="0" borderId="78" xfId="0" applyFont="1" applyBorder="1" applyAlignment="1">
      <alignment horizontal="left" wrapText="1"/>
    </xf>
    <xf numFmtId="0" fontId="0" fillId="0" borderId="78" xfId="0" applyFont="1" applyBorder="1" applyAlignment="1">
      <alignment/>
    </xf>
    <xf numFmtId="0" fontId="0" fillId="0" borderId="42" xfId="0" applyFont="1" applyBorder="1" applyAlignment="1">
      <alignment/>
    </xf>
    <xf numFmtId="0" fontId="4" fillId="2" borderId="2" xfId="0" applyFont="1" applyFill="1" applyBorder="1" applyAlignment="1">
      <alignment/>
    </xf>
    <xf numFmtId="3" fontId="4" fillId="2" borderId="42" xfId="0" applyNumberFormat="1" applyFont="1" applyFill="1" applyBorder="1" applyAlignment="1">
      <alignment horizontal="right" wrapText="1"/>
    </xf>
    <xf numFmtId="3" fontId="4" fillId="2" borderId="42" xfId="0" applyNumberFormat="1" applyFont="1" applyFill="1" applyBorder="1" applyAlignment="1">
      <alignment wrapText="1"/>
    </xf>
    <xf numFmtId="0" fontId="7" fillId="0" borderId="79" xfId="0" applyFont="1" applyBorder="1" applyAlignment="1">
      <alignment horizontal="left" wrapText="1"/>
    </xf>
    <xf numFmtId="3" fontId="4" fillId="0" borderId="79" xfId="0" applyNumberFormat="1" applyFont="1" applyBorder="1" applyAlignment="1">
      <alignment horizontal="right" wrapText="1"/>
    </xf>
    <xf numFmtId="3" fontId="4" fillId="0" borderId="79" xfId="0" applyNumberFormat="1" applyFont="1" applyBorder="1" applyAlignment="1">
      <alignment horizontal="left" wrapText="1"/>
    </xf>
    <xf numFmtId="3" fontId="5" fillId="3" borderId="16" xfId="0" applyNumberFormat="1" applyFont="1" applyFill="1" applyBorder="1" applyAlignment="1">
      <alignment/>
    </xf>
    <xf numFmtId="3" fontId="0" fillId="2" borderId="46" xfId="0" applyNumberFormat="1" applyFont="1" applyFill="1" applyBorder="1" applyAlignment="1">
      <alignment wrapText="1"/>
    </xf>
    <xf numFmtId="3" fontId="0" fillId="2" borderId="44" xfId="0" applyNumberFormat="1" applyFont="1" applyFill="1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7" borderId="73" xfId="0" applyNumberFormat="1" applyFont="1" applyFill="1" applyBorder="1" applyAlignment="1">
      <alignment/>
    </xf>
    <xf numFmtId="3" fontId="5" fillId="7" borderId="73" xfId="0" applyNumberFormat="1" applyFont="1" applyFill="1" applyBorder="1" applyAlignment="1">
      <alignment/>
    </xf>
    <xf numFmtId="0" fontId="5" fillId="7" borderId="50" xfId="0" applyFont="1" applyFill="1" applyBorder="1" applyAlignment="1">
      <alignment wrapText="1"/>
    </xf>
    <xf numFmtId="0" fontId="11" fillId="0" borderId="15" xfId="0" applyFont="1" applyBorder="1" applyAlignment="1">
      <alignment/>
    </xf>
    <xf numFmtId="0" fontId="0" fillId="0" borderId="78" xfId="0" applyFont="1" applyBorder="1" applyAlignment="1">
      <alignment wrapText="1"/>
    </xf>
    <xf numFmtId="0" fontId="5" fillId="3" borderId="43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0" fillId="3" borderId="42" xfId="0" applyFont="1" applyFill="1" applyBorder="1" applyAlignment="1">
      <alignment wrapText="1"/>
    </xf>
    <xf numFmtId="0" fontId="4" fillId="5" borderId="28" xfId="0" applyFont="1" applyFill="1" applyBorder="1" applyAlignment="1">
      <alignment/>
    </xf>
    <xf numFmtId="0" fontId="4" fillId="5" borderId="28" xfId="0" applyFont="1" applyFill="1" applyBorder="1" applyAlignment="1">
      <alignment horizontal="left" wrapText="1"/>
    </xf>
    <xf numFmtId="3" fontId="7" fillId="3" borderId="15" xfId="0" applyNumberFormat="1" applyFont="1" applyFill="1" applyBorder="1" applyAlignment="1">
      <alignment wrapText="1"/>
    </xf>
    <xf numFmtId="3" fontId="7" fillId="3" borderId="42" xfId="0" applyNumberFormat="1" applyFont="1" applyFill="1" applyBorder="1" applyAlignment="1">
      <alignment wrapText="1"/>
    </xf>
    <xf numFmtId="3" fontId="7" fillId="4" borderId="73" xfId="0" applyNumberFormat="1" applyFont="1" applyFill="1" applyBorder="1" applyAlignment="1">
      <alignment wrapText="1"/>
    </xf>
    <xf numFmtId="3" fontId="4" fillId="3" borderId="15" xfId="0" applyNumberFormat="1" applyFont="1" applyFill="1" applyBorder="1" applyAlignment="1">
      <alignment wrapText="1"/>
    </xf>
    <xf numFmtId="3" fontId="0" fillId="3" borderId="42" xfId="0" applyNumberFormat="1" applyFont="1" applyFill="1" applyBorder="1" applyAlignment="1">
      <alignment wrapText="1"/>
    </xf>
    <xf numFmtId="3" fontId="5" fillId="3" borderId="15" xfId="0" applyNumberFormat="1" applyFont="1" applyFill="1" applyBorder="1" applyAlignment="1">
      <alignment wrapText="1"/>
    </xf>
    <xf numFmtId="3" fontId="7" fillId="3" borderId="80" xfId="0" applyNumberFormat="1" applyFont="1" applyFill="1" applyBorder="1" applyAlignment="1">
      <alignment wrapText="1"/>
    </xf>
    <xf numFmtId="3" fontId="5" fillId="4" borderId="73" xfId="0" applyNumberFormat="1" applyFont="1" applyFill="1" applyBorder="1" applyAlignment="1">
      <alignment wrapText="1"/>
    </xf>
    <xf numFmtId="3" fontId="12" fillId="0" borderId="18" xfId="0" applyNumberFormat="1" applyFont="1" applyBorder="1" applyAlignment="1">
      <alignment horizontal="center" wrapText="1"/>
    </xf>
    <xf numFmtId="0" fontId="0" fillId="3" borderId="47" xfId="0" applyFont="1" applyFill="1" applyBorder="1" applyAlignment="1">
      <alignment/>
    </xf>
    <xf numFmtId="0" fontId="5" fillId="7" borderId="15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3" fontId="5" fillId="2" borderId="15" xfId="0" applyNumberFormat="1" applyFont="1" applyFill="1" applyBorder="1" applyAlignment="1">
      <alignment horizontal="right"/>
    </xf>
    <xf numFmtId="3" fontId="5" fillId="7" borderId="50" xfId="0" applyNumberFormat="1" applyFont="1" applyFill="1" applyBorder="1" applyAlignment="1">
      <alignment horizontal="right" wrapText="1"/>
    </xf>
    <xf numFmtId="0" fontId="5" fillId="7" borderId="43" xfId="0" applyFont="1" applyFill="1" applyBorder="1" applyAlignment="1">
      <alignment vertical="top"/>
    </xf>
    <xf numFmtId="3" fontId="12" fillId="0" borderId="44" xfId="0" applyNumberFormat="1" applyFont="1" applyBorder="1" applyAlignment="1">
      <alignment horizontal="center" wrapText="1"/>
    </xf>
    <xf numFmtId="0" fontId="5" fillId="3" borderId="43" xfId="0" applyFont="1" applyFill="1" applyBorder="1" applyAlignment="1">
      <alignment wrapText="1"/>
    </xf>
    <xf numFmtId="3" fontId="12" fillId="0" borderId="43" xfId="0" applyNumberFormat="1" applyFont="1" applyBorder="1" applyAlignment="1">
      <alignment horizontal="center" wrapText="1"/>
    </xf>
    <xf numFmtId="0" fontId="5" fillId="7" borderId="43" xfId="0" applyFont="1" applyFill="1" applyBorder="1" applyAlignment="1">
      <alignment horizontal="right"/>
    </xf>
    <xf numFmtId="0" fontId="5" fillId="4" borderId="2" xfId="0" applyFont="1" applyFill="1" applyBorder="1" applyAlignment="1">
      <alignment wrapText="1"/>
    </xf>
    <xf numFmtId="0" fontId="5" fillId="3" borderId="16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4" fillId="8" borderId="28" xfId="0" applyFont="1" applyFill="1" applyBorder="1" applyAlignment="1">
      <alignment/>
    </xf>
    <xf numFmtId="3" fontId="7" fillId="4" borderId="73" xfId="0" applyNumberFormat="1" applyFont="1" applyFill="1" applyBorder="1" applyAlignment="1">
      <alignment/>
    </xf>
    <xf numFmtId="3" fontId="7" fillId="3" borderId="42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3" fontId="0" fillId="3" borderId="42" xfId="0" applyNumberFormat="1" applyFont="1" applyFill="1" applyBorder="1" applyAlignment="1">
      <alignment/>
    </xf>
    <xf numFmtId="3" fontId="5" fillId="4" borderId="73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right"/>
    </xf>
    <xf numFmtId="0" fontId="4" fillId="3" borderId="44" xfId="0" applyFont="1" applyFill="1" applyBorder="1" applyAlignment="1">
      <alignment/>
    </xf>
    <xf numFmtId="3" fontId="4" fillId="3" borderId="44" xfId="0" applyNumberFormat="1" applyFont="1" applyFill="1" applyBorder="1" applyAlignment="1">
      <alignment/>
    </xf>
    <xf numFmtId="3" fontId="4" fillId="3" borderId="43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3" fontId="5" fillId="4" borderId="15" xfId="0" applyNumberFormat="1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3" fontId="5" fillId="3" borderId="44" xfId="0" applyNumberFormat="1" applyFont="1" applyFill="1" applyBorder="1" applyAlignment="1">
      <alignment/>
    </xf>
    <xf numFmtId="3" fontId="5" fillId="2" borderId="44" xfId="0" applyNumberFormat="1" applyFont="1" applyFill="1" applyBorder="1" applyAlignment="1">
      <alignment horizontal="right"/>
    </xf>
    <xf numFmtId="3" fontId="4" fillId="2" borderId="43" xfId="0" applyNumberFormat="1" applyFont="1" applyFill="1" applyBorder="1" applyAlignment="1">
      <alignment horizontal="right"/>
    </xf>
    <xf numFmtId="3" fontId="4" fillId="2" borderId="44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3" fontId="7" fillId="3" borderId="44" xfId="0" applyNumberFormat="1" applyFont="1" applyFill="1" applyBorder="1" applyAlignment="1">
      <alignment wrapText="1"/>
    </xf>
    <xf numFmtId="3" fontId="7" fillId="3" borderId="43" xfId="0" applyNumberFormat="1" applyFont="1" applyFill="1" applyBorder="1" applyAlignment="1">
      <alignment wrapText="1"/>
    </xf>
    <xf numFmtId="3" fontId="4" fillId="3" borderId="44" xfId="0" applyNumberFormat="1" applyFont="1" applyFill="1" applyBorder="1" applyAlignment="1">
      <alignment wrapText="1"/>
    </xf>
    <xf numFmtId="3" fontId="5" fillId="4" borderId="25" xfId="0" applyNumberFormat="1" applyFont="1" applyFill="1" applyBorder="1" applyAlignment="1">
      <alignment wrapText="1"/>
    </xf>
    <xf numFmtId="3" fontId="5" fillId="3" borderId="43" xfId="0" applyNumberFormat="1" applyFont="1" applyFill="1" applyBorder="1" applyAlignment="1">
      <alignment wrapText="1"/>
    </xf>
    <xf numFmtId="49" fontId="5" fillId="7" borderId="43" xfId="0" applyNumberFormat="1" applyFont="1" applyFill="1" applyBorder="1" applyAlignment="1">
      <alignment horizontal="right"/>
    </xf>
    <xf numFmtId="3" fontId="5" fillId="7" borderId="15" xfId="0" applyNumberFormat="1" applyFont="1" applyFill="1" applyBorder="1" applyAlignment="1">
      <alignment horizontal="right"/>
    </xf>
    <xf numFmtId="0" fontId="5" fillId="4" borderId="28" xfId="0" applyFont="1" applyFill="1" applyBorder="1" applyAlignment="1">
      <alignment horizontal="right"/>
    </xf>
    <xf numFmtId="3" fontId="0" fillId="3" borderId="15" xfId="0" applyNumberFormat="1" applyFont="1" applyFill="1" applyBorder="1" applyAlignment="1">
      <alignment wrapText="1"/>
    </xf>
    <xf numFmtId="0" fontId="5" fillId="2" borderId="15" xfId="0" applyFont="1" applyFill="1" applyBorder="1" applyAlignment="1">
      <alignment/>
    </xf>
    <xf numFmtId="0" fontId="0" fillId="2" borderId="0" xfId="0" applyFill="1" applyAlignment="1">
      <alignment/>
    </xf>
    <xf numFmtId="3" fontId="12" fillId="7" borderId="73" xfId="0" applyNumberFormat="1" applyFont="1" applyFill="1" applyBorder="1" applyAlignment="1">
      <alignment horizontal="center" wrapText="1"/>
    </xf>
    <xf numFmtId="3" fontId="12" fillId="0" borderId="42" xfId="0" applyNumberFormat="1" applyFont="1" applyBorder="1" applyAlignment="1">
      <alignment horizontal="center" wrapText="1"/>
    </xf>
    <xf numFmtId="3" fontId="4" fillId="3" borderId="44" xfId="0" applyNumberFormat="1" applyFont="1" applyFill="1" applyBorder="1" applyAlignment="1">
      <alignment horizontal="right"/>
    </xf>
    <xf numFmtId="3" fontId="4" fillId="3" borderId="43" xfId="0" applyNumberFormat="1" applyFont="1" applyFill="1" applyBorder="1" applyAlignment="1">
      <alignment horizontal="right"/>
    </xf>
    <xf numFmtId="3" fontId="4" fillId="0" borderId="42" xfId="0" applyNumberFormat="1" applyFont="1" applyBorder="1" applyAlignment="1">
      <alignment horizontal="right"/>
    </xf>
    <xf numFmtId="3" fontId="4" fillId="3" borderId="42" xfId="0" applyNumberFormat="1" applyFont="1" applyFill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3" fontId="4" fillId="3" borderId="47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 wrapText="1"/>
    </xf>
    <xf numFmtId="3" fontId="0" fillId="3" borderId="42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/>
    </xf>
    <xf numFmtId="0" fontId="5" fillId="9" borderId="15" xfId="0" applyFont="1" applyFill="1" applyBorder="1" applyAlignment="1">
      <alignment/>
    </xf>
    <xf numFmtId="0" fontId="5" fillId="9" borderId="2" xfId="0" applyFont="1" applyFill="1" applyBorder="1" applyAlignment="1">
      <alignment/>
    </xf>
    <xf numFmtId="3" fontId="5" fillId="9" borderId="2" xfId="0" applyNumberFormat="1" applyFont="1" applyFill="1" applyBorder="1" applyAlignment="1">
      <alignment horizontal="right"/>
    </xf>
    <xf numFmtId="0" fontId="5" fillId="9" borderId="16" xfId="0" applyFont="1" applyFill="1" applyBorder="1" applyAlignment="1">
      <alignment/>
    </xf>
    <xf numFmtId="0" fontId="0" fillId="9" borderId="42" xfId="0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3" fontId="4" fillId="3" borderId="44" xfId="0" applyNumberFormat="1" applyFont="1" applyFill="1" applyBorder="1" applyAlignment="1">
      <alignment/>
    </xf>
    <xf numFmtId="3" fontId="4" fillId="3" borderId="42" xfId="0" applyNumberFormat="1" applyFont="1" applyFill="1" applyBorder="1" applyAlignment="1">
      <alignment/>
    </xf>
    <xf numFmtId="3" fontId="0" fillId="3" borderId="42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53" xfId="0" applyFont="1" applyBorder="1" applyAlignment="1">
      <alignment horizontal="left" wrapText="1"/>
    </xf>
    <xf numFmtId="0" fontId="7" fillId="0" borderId="15" xfId="0" applyFont="1" applyBorder="1" applyAlignment="1">
      <alignment/>
    </xf>
    <xf numFmtId="3" fontId="4" fillId="3" borderId="42" xfId="0" applyNumberFormat="1" applyFont="1" applyFill="1" applyBorder="1" applyAlignment="1">
      <alignment wrapText="1"/>
    </xf>
    <xf numFmtId="3" fontId="5" fillId="3" borderId="2" xfId="0" applyNumberFormat="1" applyFont="1" applyFill="1" applyBorder="1" applyAlignment="1">
      <alignment wrapText="1"/>
    </xf>
    <xf numFmtId="3" fontId="5" fillId="0" borderId="44" xfId="0" applyNumberFormat="1" applyFont="1" applyBorder="1" applyAlignment="1">
      <alignment/>
    </xf>
    <xf numFmtId="3" fontId="7" fillId="3" borderId="2" xfId="0" applyNumberFormat="1" applyFont="1" applyFill="1" applyBorder="1" applyAlignment="1">
      <alignment wrapText="1"/>
    </xf>
    <xf numFmtId="3" fontId="5" fillId="3" borderId="42" xfId="0" applyNumberFormat="1" applyFont="1" applyFill="1" applyBorder="1" applyAlignment="1">
      <alignment wrapText="1"/>
    </xf>
    <xf numFmtId="3" fontId="5" fillId="4" borderId="15" xfId="0" applyNumberFormat="1" applyFont="1" applyFill="1" applyBorder="1" applyAlignment="1">
      <alignment wrapText="1"/>
    </xf>
    <xf numFmtId="3" fontId="5" fillId="0" borderId="15" xfId="0" applyNumberFormat="1" applyFont="1" applyBorder="1" applyAlignment="1">
      <alignment horizontal="right"/>
    </xf>
    <xf numFmtId="3" fontId="0" fillId="0" borderId="42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3" fontId="5" fillId="3" borderId="2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1" fontId="4" fillId="0" borderId="15" xfId="0" applyNumberFormat="1" applyFont="1" applyBorder="1" applyAlignment="1">
      <alignment/>
    </xf>
    <xf numFmtId="3" fontId="4" fillId="2" borderId="53" xfId="0" applyNumberFormat="1" applyFont="1" applyFill="1" applyBorder="1" applyAlignment="1">
      <alignment horizontal="right" wrapText="1"/>
    </xf>
    <xf numFmtId="3" fontId="4" fillId="2" borderId="46" xfId="0" applyNumberFormat="1" applyFont="1" applyFill="1" applyBorder="1" applyAlignment="1">
      <alignment horizontal="right" wrapText="1"/>
    </xf>
    <xf numFmtId="3" fontId="4" fillId="2" borderId="50" xfId="0" applyNumberFormat="1" applyFont="1" applyFill="1" applyBorder="1" applyAlignment="1">
      <alignment horizontal="right" wrapText="1"/>
    </xf>
    <xf numFmtId="3" fontId="4" fillId="2" borderId="16" xfId="0" applyNumberFormat="1" applyFont="1" applyFill="1" applyBorder="1" applyAlignment="1">
      <alignment horizontal="right" wrapText="1"/>
    </xf>
    <xf numFmtId="0" fontId="4" fillId="3" borderId="42" xfId="0" applyFont="1" applyFill="1" applyBorder="1" applyAlignment="1">
      <alignment/>
    </xf>
    <xf numFmtId="3" fontId="0" fillId="0" borderId="33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0" fontId="5" fillId="9" borderId="66" xfId="0" applyFont="1" applyFill="1" applyBorder="1" applyAlignment="1">
      <alignment/>
    </xf>
    <xf numFmtId="1" fontId="4" fillId="0" borderId="2" xfId="0" applyNumberFormat="1" applyFont="1" applyBorder="1" applyAlignment="1">
      <alignment/>
    </xf>
    <xf numFmtId="3" fontId="4" fillId="3" borderId="4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 horizontal="right" wrapText="1"/>
    </xf>
    <xf numFmtId="3" fontId="4" fillId="2" borderId="45" xfId="0" applyNumberFormat="1" applyFont="1" applyFill="1" applyBorder="1" applyAlignment="1">
      <alignment horizontal="right" wrapText="1"/>
    </xf>
    <xf numFmtId="3" fontId="4" fillId="2" borderId="18" xfId="0" applyNumberFormat="1" applyFont="1" applyFill="1" applyBorder="1" applyAlignment="1">
      <alignment horizontal="right" wrapText="1"/>
    </xf>
    <xf numFmtId="3" fontId="5" fillId="2" borderId="15" xfId="0" applyNumberFormat="1" applyFont="1" applyFill="1" applyBorder="1" applyAlignment="1">
      <alignment horizontal="right" wrapText="1"/>
    </xf>
    <xf numFmtId="3" fontId="5" fillId="7" borderId="81" xfId="0" applyNumberFormat="1" applyFont="1" applyFill="1" applyBorder="1" applyAlignment="1">
      <alignment horizontal="right" wrapText="1"/>
    </xf>
    <xf numFmtId="3" fontId="5" fillId="7" borderId="73" xfId="0" applyNumberFormat="1" applyFont="1" applyFill="1" applyBorder="1" applyAlignment="1">
      <alignment horizontal="right" wrapText="1"/>
    </xf>
    <xf numFmtId="3" fontId="0" fillId="2" borderId="50" xfId="0" applyNumberFormat="1" applyFont="1" applyFill="1" applyBorder="1" applyAlignment="1">
      <alignment horizontal="right" wrapText="1"/>
    </xf>
    <xf numFmtId="3" fontId="0" fillId="2" borderId="43" xfId="0" applyNumberFormat="1" applyFont="1" applyFill="1" applyBorder="1" applyAlignment="1">
      <alignment horizontal="right" wrapText="1"/>
    </xf>
    <xf numFmtId="3" fontId="0" fillId="3" borderId="43" xfId="0" applyNumberFormat="1" applyFont="1" applyFill="1" applyBorder="1" applyAlignment="1">
      <alignment/>
    </xf>
    <xf numFmtId="3" fontId="0" fillId="2" borderId="53" xfId="0" applyNumberFormat="1" applyFont="1" applyFill="1" applyBorder="1" applyAlignment="1">
      <alignment horizontal="right" wrapText="1"/>
    </xf>
    <xf numFmtId="3" fontId="4" fillId="2" borderId="16" xfId="0" applyNumberFormat="1" applyFont="1" applyFill="1" applyBorder="1" applyAlignment="1">
      <alignment wrapText="1"/>
    </xf>
    <xf numFmtId="3" fontId="4" fillId="7" borderId="43" xfId="0" applyNumberFormat="1" applyFont="1" applyFill="1" applyBorder="1" applyAlignment="1">
      <alignment wrapText="1"/>
    </xf>
    <xf numFmtId="3" fontId="5" fillId="7" borderId="15" xfId="0" applyNumberFormat="1" applyFont="1" applyFill="1" applyBorder="1" applyAlignment="1">
      <alignment wrapText="1"/>
    </xf>
    <xf numFmtId="3" fontId="4" fillId="0" borderId="43" xfId="0" applyNumberFormat="1" applyFont="1" applyBorder="1" applyAlignment="1">
      <alignment wrapText="1"/>
    </xf>
    <xf numFmtId="3" fontId="0" fillId="3" borderId="47" xfId="0" applyNumberFormat="1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3" fontId="4" fillId="7" borderId="81" xfId="0" applyNumberFormat="1" applyFont="1" applyFill="1" applyBorder="1" applyAlignment="1">
      <alignment horizontal="right" wrapText="1"/>
    </xf>
    <xf numFmtId="3" fontId="4" fillId="7" borderId="73" xfId="0" applyNumberFormat="1" applyFont="1" applyFill="1" applyBorder="1" applyAlignment="1">
      <alignment horizontal="right" wrapText="1"/>
    </xf>
    <xf numFmtId="3" fontId="5" fillId="8" borderId="15" xfId="0" applyNumberFormat="1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8" xfId="0" applyFont="1" applyBorder="1" applyAlignment="1">
      <alignment wrapText="1"/>
    </xf>
    <xf numFmtId="3" fontId="0" fillId="8" borderId="42" xfId="0" applyNumberFormat="1" applyFont="1" applyFill="1" applyBorder="1" applyAlignment="1">
      <alignment wrapText="1"/>
    </xf>
    <xf numFmtId="3" fontId="4" fillId="8" borderId="44" xfId="0" applyNumberFormat="1" applyFont="1" applyFill="1" applyBorder="1" applyAlignment="1">
      <alignment wrapText="1"/>
    </xf>
    <xf numFmtId="3" fontId="0" fillId="9" borderId="42" xfId="0" applyNumberFormat="1" applyFont="1" applyFill="1" applyBorder="1" applyAlignment="1">
      <alignment horizontal="right"/>
    </xf>
    <xf numFmtId="3" fontId="4" fillId="9" borderId="2" xfId="0" applyNumberFormat="1" applyFont="1" applyFill="1" applyBorder="1" applyAlignment="1">
      <alignment horizontal="right"/>
    </xf>
    <xf numFmtId="0" fontId="5" fillId="8" borderId="16" xfId="0" applyFont="1" applyFill="1" applyBorder="1" applyAlignment="1">
      <alignment/>
    </xf>
    <xf numFmtId="3" fontId="7" fillId="8" borderId="15" xfId="0" applyNumberFormat="1" applyFont="1" applyFill="1" applyBorder="1" applyAlignment="1">
      <alignment/>
    </xf>
    <xf numFmtId="3" fontId="5" fillId="8" borderId="15" xfId="0" applyNumberFormat="1" applyFont="1" applyFill="1" applyBorder="1" applyAlignment="1">
      <alignment/>
    </xf>
    <xf numFmtId="0" fontId="7" fillId="7" borderId="43" xfId="0" applyFont="1" applyFill="1" applyBorder="1" applyAlignment="1">
      <alignment/>
    </xf>
    <xf numFmtId="0" fontId="5" fillId="3" borderId="82" xfId="0" applyFont="1" applyFill="1" applyBorder="1" applyAlignment="1">
      <alignment/>
    </xf>
    <xf numFmtId="0" fontId="5" fillId="0" borderId="82" xfId="0" applyFont="1" applyBorder="1" applyAlignment="1">
      <alignment wrapText="1"/>
    </xf>
    <xf numFmtId="3" fontId="5" fillId="4" borderId="43" xfId="0" applyNumberFormat="1" applyFont="1" applyFill="1" applyBorder="1" applyAlignment="1">
      <alignment horizontal="right"/>
    </xf>
    <xf numFmtId="3" fontId="5" fillId="3" borderId="15" xfId="0" applyNumberFormat="1" applyFont="1" applyFill="1" applyBorder="1" applyAlignment="1">
      <alignment horizontal="right"/>
    </xf>
    <xf numFmtId="3" fontId="4" fillId="7" borderId="43" xfId="0" applyNumberFormat="1" applyFont="1" applyFill="1" applyBorder="1" applyAlignment="1">
      <alignment horizontal="right" wrapText="1"/>
    </xf>
    <xf numFmtId="0" fontId="0" fillId="0" borderId="83" xfId="0" applyFont="1" applyBorder="1" applyAlignment="1">
      <alignment wrapText="1"/>
    </xf>
    <xf numFmtId="0" fontId="0" fillId="0" borderId="84" xfId="0" applyFont="1" applyBorder="1" applyAlignment="1">
      <alignment wrapText="1"/>
    </xf>
    <xf numFmtId="3" fontId="0" fillId="0" borderId="85" xfId="0" applyNumberFormat="1" applyFont="1" applyBorder="1" applyAlignment="1">
      <alignment wrapText="1"/>
    </xf>
    <xf numFmtId="0" fontId="0" fillId="2" borderId="15" xfId="0" applyFont="1" applyFill="1" applyBorder="1" applyAlignment="1">
      <alignment/>
    </xf>
    <xf numFmtId="3" fontId="0" fillId="0" borderId="86" xfId="0" applyNumberFormat="1" applyFont="1" applyBorder="1" applyAlignment="1">
      <alignment horizontal="right"/>
    </xf>
    <xf numFmtId="0" fontId="5" fillId="9" borderId="43" xfId="0" applyFont="1" applyFill="1" applyBorder="1" applyAlignment="1">
      <alignment/>
    </xf>
    <xf numFmtId="0" fontId="4" fillId="2" borderId="87" xfId="0" applyFont="1" applyFill="1" applyBorder="1" applyAlignment="1">
      <alignment wrapText="1"/>
    </xf>
    <xf numFmtId="0" fontId="4" fillId="0" borderId="85" xfId="0" applyFont="1" applyBorder="1" applyAlignment="1">
      <alignment wrapText="1"/>
    </xf>
    <xf numFmtId="3" fontId="4" fillId="2" borderId="85" xfId="0" applyNumberFormat="1" applyFont="1" applyFill="1" applyBorder="1" applyAlignment="1">
      <alignment horizontal="right" wrapText="1"/>
    </xf>
    <xf numFmtId="3" fontId="4" fillId="2" borderId="76" xfId="0" applyNumberFormat="1" applyFont="1" applyFill="1" applyBorder="1" applyAlignment="1">
      <alignment horizontal="right" wrapText="1"/>
    </xf>
    <xf numFmtId="3" fontId="5" fillId="0" borderId="84" xfId="0" applyNumberFormat="1" applyFont="1" applyBorder="1" applyAlignment="1">
      <alignment horizontal="right"/>
    </xf>
    <xf numFmtId="0" fontId="4" fillId="0" borderId="88" xfId="0" applyFont="1" applyBorder="1" applyAlignment="1">
      <alignment wrapText="1"/>
    </xf>
    <xf numFmtId="3" fontId="0" fillId="0" borderId="88" xfId="0" applyNumberFormat="1" applyFont="1" applyBorder="1" applyAlignment="1">
      <alignment horizontal="right" wrapText="1"/>
    </xf>
    <xf numFmtId="3" fontId="4" fillId="2" borderId="88" xfId="0" applyNumberFormat="1" applyFont="1" applyFill="1" applyBorder="1" applyAlignment="1">
      <alignment horizontal="right" wrapText="1"/>
    </xf>
    <xf numFmtId="3" fontId="7" fillId="3" borderId="15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 wrapText="1"/>
    </xf>
    <xf numFmtId="0" fontId="0" fillId="4" borderId="28" xfId="0" applyFont="1" applyFill="1" applyBorder="1" applyAlignment="1">
      <alignment/>
    </xf>
    <xf numFmtId="0" fontId="5" fillId="9" borderId="43" xfId="0" applyFont="1" applyFill="1" applyBorder="1" applyAlignment="1">
      <alignment wrapText="1"/>
    </xf>
    <xf numFmtId="0" fontId="5" fillId="9" borderId="50" xfId="0" applyFont="1" applyFill="1" applyBorder="1" applyAlignment="1">
      <alignment wrapText="1"/>
    </xf>
    <xf numFmtId="3" fontId="5" fillId="8" borderId="2" xfId="0" applyNumberFormat="1" applyFont="1" applyFill="1" applyBorder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4" borderId="28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5" borderId="15" xfId="0" applyNumberFormat="1" applyFont="1" applyFill="1" applyBorder="1" applyAlignment="1">
      <alignment/>
    </xf>
    <xf numFmtId="3" fontId="5" fillId="7" borderId="73" xfId="0" applyNumberFormat="1" applyFont="1" applyFill="1" applyBorder="1" applyAlignment="1">
      <alignment wrapText="1"/>
    </xf>
    <xf numFmtId="3" fontId="4" fillId="0" borderId="77" xfId="0" applyNumberFormat="1" applyFont="1" applyBorder="1" applyAlignment="1">
      <alignment wrapText="1"/>
    </xf>
    <xf numFmtId="0" fontId="22" fillId="0" borderId="18" xfId="0" applyFont="1" applyBorder="1" applyAlignment="1">
      <alignment/>
    </xf>
    <xf numFmtId="3" fontId="4" fillId="0" borderId="43" xfId="0" applyNumberFormat="1" applyFont="1" applyBorder="1" applyAlignment="1">
      <alignment/>
    </xf>
    <xf numFmtId="3" fontId="0" fillId="2" borderId="3" xfId="0" applyNumberFormat="1" applyFont="1" applyFill="1" applyBorder="1" applyAlignment="1">
      <alignment horizontal="right" wrapText="1"/>
    </xf>
    <xf numFmtId="3" fontId="0" fillId="2" borderId="15" xfId="0" applyNumberFormat="1" applyFont="1" applyFill="1" applyBorder="1" applyAlignment="1">
      <alignment horizontal="right" wrapText="1"/>
    </xf>
    <xf numFmtId="3" fontId="5" fillId="2" borderId="50" xfId="0" applyNumberFormat="1" applyFont="1" applyFill="1" applyBorder="1" applyAlignment="1">
      <alignment horizontal="right" wrapText="1"/>
    </xf>
    <xf numFmtId="3" fontId="5" fillId="2" borderId="43" xfId="0" applyNumberFormat="1" applyFont="1" applyFill="1" applyBorder="1" applyAlignment="1">
      <alignment horizontal="right" wrapText="1"/>
    </xf>
    <xf numFmtId="3" fontId="5" fillId="3" borderId="43" xfId="0" applyNumberFormat="1" applyFont="1" applyFill="1" applyBorder="1" applyAlignment="1">
      <alignment horizontal="right"/>
    </xf>
    <xf numFmtId="3" fontId="0" fillId="0" borderId="74" xfId="0" applyNumberFormat="1" applyFont="1" applyBorder="1" applyAlignment="1">
      <alignment wrapText="1"/>
    </xf>
    <xf numFmtId="1" fontId="5" fillId="0" borderId="43" xfId="0" applyNumberFormat="1" applyFont="1" applyBorder="1" applyAlignment="1">
      <alignment/>
    </xf>
    <xf numFmtId="0" fontId="5" fillId="2" borderId="2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 horizontal="left" wrapText="1"/>
    </xf>
    <xf numFmtId="0" fontId="5" fillId="2" borderId="43" xfId="0" applyFont="1" applyFill="1" applyBorder="1" applyAlignment="1">
      <alignment/>
    </xf>
    <xf numFmtId="0" fontId="5" fillId="2" borderId="43" xfId="0" applyFont="1" applyFill="1" applyBorder="1" applyAlignment="1">
      <alignment horizontal="left" wrapText="1"/>
    </xf>
    <xf numFmtId="0" fontId="0" fillId="2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3" fontId="5" fillId="4" borderId="15" xfId="0" applyNumberFormat="1" applyFont="1" applyFill="1" applyBorder="1" applyAlignment="1">
      <alignment horizontal="right"/>
    </xf>
    <xf numFmtId="3" fontId="14" fillId="0" borderId="89" xfId="15" applyNumberFormat="1" applyFont="1" applyFill="1" applyBorder="1" applyAlignment="1">
      <alignment horizontal="right" vertical="center"/>
    </xf>
    <xf numFmtId="3" fontId="14" fillId="0" borderId="26" xfId="15" applyNumberFormat="1" applyFont="1" applyFill="1" applyBorder="1" applyAlignment="1">
      <alignment horizontal="right" vertical="center"/>
    </xf>
    <xf numFmtId="1" fontId="13" fillId="0" borderId="58" xfId="15" applyNumberFormat="1" applyFont="1" applyFill="1" applyBorder="1" applyAlignment="1">
      <alignment horizontal="center" vertical="center"/>
    </xf>
    <xf numFmtId="3" fontId="13" fillId="0" borderId="2" xfId="15" applyNumberFormat="1" applyFont="1" applyFill="1" applyBorder="1" applyAlignment="1">
      <alignment horizontal="right" vertical="center" wrapText="1"/>
    </xf>
    <xf numFmtId="3" fontId="14" fillId="0" borderId="56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1" fontId="14" fillId="0" borderId="90" xfId="0" applyNumberFormat="1" applyFont="1" applyFill="1" applyBorder="1" applyAlignment="1">
      <alignment horizontal="center" vertical="center"/>
    </xf>
    <xf numFmtId="1" fontId="14" fillId="0" borderId="59" xfId="0" applyNumberFormat="1" applyFont="1" applyFill="1" applyBorder="1" applyAlignment="1">
      <alignment horizontal="center"/>
    </xf>
    <xf numFmtId="0" fontId="14" fillId="0" borderId="8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91" xfId="0" applyFont="1" applyFill="1" applyBorder="1" applyAlignment="1">
      <alignment horizontal="left"/>
    </xf>
    <xf numFmtId="3" fontId="13" fillId="0" borderId="16" xfId="0" applyNumberFormat="1" applyFont="1" applyFill="1" applyBorder="1" applyAlignment="1">
      <alignment horizontal="center"/>
    </xf>
    <xf numFmtId="3" fontId="13" fillId="0" borderId="0" xfId="15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3" fontId="13" fillId="0" borderId="3" xfId="15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Continuous"/>
    </xf>
    <xf numFmtId="3" fontId="13" fillId="0" borderId="15" xfId="0" applyNumberFormat="1" applyFont="1" applyFill="1" applyBorder="1" applyAlignment="1">
      <alignment horizontal="centerContinuous"/>
    </xf>
    <xf numFmtId="3" fontId="26" fillId="0" borderId="15" xfId="0" applyNumberFormat="1" applyFont="1" applyFill="1" applyBorder="1" applyAlignment="1">
      <alignment horizontal="center"/>
    </xf>
    <xf numFmtId="3" fontId="26" fillId="0" borderId="0" xfId="15" applyNumberFormat="1" applyFont="1" applyFill="1" applyBorder="1" applyAlignment="1">
      <alignment horizontal="center"/>
    </xf>
    <xf numFmtId="3" fontId="26" fillId="0" borderId="3" xfId="0" applyNumberFormat="1" applyFont="1" applyFill="1" applyBorder="1" applyAlignment="1">
      <alignment horizontal="center"/>
    </xf>
    <xf numFmtId="3" fontId="13" fillId="0" borderId="28" xfId="0" applyNumberFormat="1" applyFont="1" applyFill="1" applyBorder="1" applyAlignment="1">
      <alignment horizontal="center"/>
    </xf>
    <xf numFmtId="3" fontId="26" fillId="0" borderId="28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center"/>
    </xf>
    <xf numFmtId="1" fontId="13" fillId="0" borderId="59" xfId="15" applyNumberFormat="1" applyFont="1" applyFill="1" applyBorder="1" applyAlignment="1">
      <alignment horizontal="center" vertical="center"/>
    </xf>
    <xf numFmtId="1" fontId="14" fillId="0" borderId="59" xfId="0" applyNumberFormat="1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vertical="center"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3" fontId="5" fillId="3" borderId="15" xfId="0" applyNumberFormat="1" applyFont="1" applyFill="1" applyBorder="1" applyAlignment="1">
      <alignment/>
    </xf>
    <xf numFmtId="0" fontId="28" fillId="0" borderId="2" xfId="0" applyFont="1" applyBorder="1" applyAlignment="1">
      <alignment/>
    </xf>
    <xf numFmtId="3" fontId="7" fillId="4" borderId="15" xfId="0" applyNumberFormat="1" applyFont="1" applyFill="1" applyBorder="1" applyAlignment="1">
      <alignment/>
    </xf>
    <xf numFmtId="3" fontId="5" fillId="4" borderId="15" xfId="0" applyNumberFormat="1" applyFont="1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5" fillId="8" borderId="4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84" xfId="0" applyFont="1" applyFill="1" applyBorder="1" applyAlignment="1">
      <alignment wrapText="1"/>
    </xf>
    <xf numFmtId="1" fontId="14" fillId="0" borderId="92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3" fontId="18" fillId="0" borderId="43" xfId="0" applyNumberFormat="1" applyFont="1" applyFill="1" applyBorder="1" applyAlignment="1">
      <alignment horizontal="right" vertical="center"/>
    </xf>
    <xf numFmtId="3" fontId="18" fillId="0" borderId="2" xfId="0" applyNumberFormat="1" applyFont="1" applyFill="1" applyBorder="1" applyAlignment="1">
      <alignment horizontal="right" vertical="center"/>
    </xf>
    <xf numFmtId="3" fontId="13" fillId="0" borderId="15" xfId="0" applyNumberFormat="1" applyFont="1" applyFill="1" applyBorder="1" applyAlignment="1">
      <alignment horizontal="right" vertical="center"/>
    </xf>
    <xf numFmtId="3" fontId="5" fillId="9" borderId="28" xfId="0" applyNumberFormat="1" applyFont="1" applyFill="1" applyBorder="1" applyAlignment="1">
      <alignment horizontal="right" wrapText="1"/>
    </xf>
    <xf numFmtId="0" fontId="0" fillId="10" borderId="0" xfId="0" applyFill="1" applyAlignment="1">
      <alignment/>
    </xf>
    <xf numFmtId="3" fontId="7" fillId="3" borderId="47" xfId="0" applyNumberFormat="1" applyFont="1" applyFill="1" applyBorder="1" applyAlignment="1">
      <alignment/>
    </xf>
    <xf numFmtId="3" fontId="0" fillId="3" borderId="47" xfId="0" applyNumberFormat="1" applyFont="1" applyFill="1" applyBorder="1" applyAlignment="1">
      <alignment/>
    </xf>
    <xf numFmtId="3" fontId="7" fillId="3" borderId="2" xfId="0" applyNumberFormat="1" applyFont="1" applyFill="1" applyBorder="1" applyAlignment="1">
      <alignment/>
    </xf>
    <xf numFmtId="3" fontId="7" fillId="3" borderId="43" xfId="0" applyNumberFormat="1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3" fontId="14" fillId="7" borderId="15" xfId="0" applyNumberFormat="1" applyFont="1" applyFill="1" applyBorder="1" applyAlignment="1">
      <alignment wrapText="1"/>
    </xf>
    <xf numFmtId="3" fontId="14" fillId="0" borderId="43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wrapText="1"/>
    </xf>
    <xf numFmtId="3" fontId="4" fillId="0" borderId="28" xfId="0" applyNumberFormat="1" applyFont="1" applyBorder="1" applyAlignment="1">
      <alignment wrapText="1"/>
    </xf>
    <xf numFmtId="0" fontId="7" fillId="3" borderId="0" xfId="0" applyFont="1" applyFill="1" applyBorder="1" applyAlignment="1">
      <alignment/>
    </xf>
    <xf numFmtId="0" fontId="22" fillId="3" borderId="0" xfId="0" applyFont="1" applyFill="1" applyBorder="1" applyAlignment="1">
      <alignment wrapText="1"/>
    </xf>
    <xf numFmtId="3" fontId="22" fillId="3" borderId="0" xfId="0" applyNumberFormat="1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7" fillId="0" borderId="2" xfId="0" applyNumberFormat="1" applyFont="1" applyBorder="1" applyAlignment="1">
      <alignment wrapText="1"/>
    </xf>
    <xf numFmtId="0" fontId="5" fillId="2" borderId="16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4" fillId="9" borderId="28" xfId="0" applyNumberFormat="1" applyFont="1" applyFill="1" applyBorder="1" applyAlignment="1">
      <alignment horizontal="right" wrapText="1"/>
    </xf>
    <xf numFmtId="3" fontId="5" fillId="9" borderId="53" xfId="0" applyNumberFormat="1" applyFont="1" applyFill="1" applyBorder="1" applyAlignment="1">
      <alignment horizontal="right" wrapText="1"/>
    </xf>
    <xf numFmtId="3" fontId="0" fillId="9" borderId="53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/>
    </xf>
    <xf numFmtId="0" fontId="0" fillId="0" borderId="4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wrapText="1"/>
    </xf>
    <xf numFmtId="3" fontId="5" fillId="2" borderId="15" xfId="0" applyNumberFormat="1" applyFont="1" applyFill="1" applyBorder="1" applyAlignment="1">
      <alignment wrapText="1"/>
    </xf>
    <xf numFmtId="3" fontId="5" fillId="2" borderId="42" xfId="0" applyNumberFormat="1" applyFont="1" applyFill="1" applyBorder="1" applyAlignment="1">
      <alignment horizontal="right" wrapText="1"/>
    </xf>
    <xf numFmtId="3" fontId="5" fillId="0" borderId="50" xfId="0" applyNumberFormat="1" applyFont="1" applyBorder="1" applyAlignment="1">
      <alignment/>
    </xf>
    <xf numFmtId="3" fontId="5" fillId="7" borderId="28" xfId="0" applyNumberFormat="1" applyFont="1" applyFill="1" applyBorder="1" applyAlignment="1">
      <alignment horizontal="right"/>
    </xf>
    <xf numFmtId="3" fontId="5" fillId="7" borderId="16" xfId="0" applyNumberFormat="1" applyFont="1" applyFill="1" applyBorder="1" applyAlignment="1">
      <alignment wrapText="1"/>
    </xf>
    <xf numFmtId="3" fontId="5" fillId="7" borderId="16" xfId="0" applyNumberFormat="1" applyFont="1" applyFill="1" applyBorder="1" applyAlignment="1">
      <alignment horizontal="right" wrapText="1"/>
    </xf>
    <xf numFmtId="3" fontId="0" fillId="0" borderId="42" xfId="0" applyNumberFormat="1" applyFont="1" applyFill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3" borderId="78" xfId="0" applyNumberFormat="1" applyFont="1" applyFill="1" applyBorder="1" applyAlignment="1">
      <alignment/>
    </xf>
    <xf numFmtId="3" fontId="11" fillId="3" borderId="78" xfId="0" applyNumberFormat="1" applyFont="1" applyFill="1" applyBorder="1" applyAlignment="1">
      <alignment/>
    </xf>
    <xf numFmtId="3" fontId="0" fillId="0" borderId="93" xfId="0" applyNumberFormat="1" applyFont="1" applyBorder="1" applyAlignment="1">
      <alignment wrapText="1"/>
    </xf>
    <xf numFmtId="3" fontId="4" fillId="3" borderId="76" xfId="0" applyNumberFormat="1" applyFont="1" applyFill="1" applyBorder="1" applyAlignment="1">
      <alignment/>
    </xf>
    <xf numFmtId="3" fontId="5" fillId="3" borderId="51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3" fontId="0" fillId="3" borderId="94" xfId="0" applyNumberFormat="1" applyFont="1" applyFill="1" applyBorder="1" applyAlignment="1">
      <alignment/>
    </xf>
    <xf numFmtId="3" fontId="0" fillId="3" borderId="95" xfId="0" applyNumberFormat="1" applyFont="1" applyFill="1" applyBorder="1" applyAlignment="1">
      <alignment/>
    </xf>
    <xf numFmtId="3" fontId="4" fillId="3" borderId="71" xfId="0" applyNumberFormat="1" applyFont="1" applyFill="1" applyBorder="1" applyAlignment="1">
      <alignment/>
    </xf>
    <xf numFmtId="3" fontId="0" fillId="3" borderId="44" xfId="0" applyNumberFormat="1" applyFont="1" applyFill="1" applyBorder="1" applyAlignment="1">
      <alignment/>
    </xf>
    <xf numFmtId="3" fontId="0" fillId="3" borderId="46" xfId="0" applyNumberFormat="1" applyFont="1" applyFill="1" applyBorder="1" applyAlignment="1">
      <alignment/>
    </xf>
    <xf numFmtId="3" fontId="0" fillId="3" borderId="96" xfId="0" applyNumberFormat="1" applyFont="1" applyFill="1" applyBorder="1" applyAlignment="1">
      <alignment/>
    </xf>
    <xf numFmtId="3" fontId="22" fillId="3" borderId="78" xfId="0" applyNumberFormat="1" applyFont="1" applyFill="1" applyBorder="1" applyAlignment="1">
      <alignment/>
    </xf>
    <xf numFmtId="3" fontId="22" fillId="3" borderId="44" xfId="0" applyNumberFormat="1" applyFont="1" applyFill="1" applyBorder="1" applyAlignment="1">
      <alignment/>
    </xf>
    <xf numFmtId="3" fontId="5" fillId="3" borderId="50" xfId="0" applyNumberFormat="1" applyFont="1" applyFill="1" applyBorder="1" applyAlignment="1">
      <alignment/>
    </xf>
    <xf numFmtId="3" fontId="5" fillId="3" borderId="55" xfId="0" applyNumberFormat="1" applyFont="1" applyFill="1" applyBorder="1" applyAlignment="1">
      <alignment/>
    </xf>
    <xf numFmtId="3" fontId="5" fillId="0" borderId="54" xfId="0" applyNumberFormat="1" applyFont="1" applyBorder="1" applyAlignment="1">
      <alignment wrapText="1"/>
    </xf>
    <xf numFmtId="3" fontId="0" fillId="3" borderId="43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 wrapText="1"/>
    </xf>
    <xf numFmtId="3" fontId="5" fillId="0" borderId="52" xfId="0" applyNumberFormat="1" applyFont="1" applyBorder="1" applyAlignment="1">
      <alignment wrapText="1"/>
    </xf>
    <xf numFmtId="3" fontId="5" fillId="0" borderId="33" xfId="0" applyNumberFormat="1" applyFont="1" applyBorder="1" applyAlignment="1">
      <alignment wrapText="1"/>
    </xf>
    <xf numFmtId="3" fontId="5" fillId="2" borderId="23" xfId="0" applyNumberFormat="1" applyFont="1" applyFill="1" applyBorder="1" applyAlignment="1">
      <alignment/>
    </xf>
    <xf numFmtId="3" fontId="5" fillId="2" borderId="70" xfId="0" applyNumberFormat="1" applyFont="1" applyFill="1" applyBorder="1" applyAlignment="1">
      <alignment/>
    </xf>
    <xf numFmtId="3" fontId="5" fillId="2" borderId="32" xfId="0" applyNumberFormat="1" applyFont="1" applyFill="1" applyBorder="1" applyAlignment="1">
      <alignment/>
    </xf>
    <xf numFmtId="1" fontId="0" fillId="0" borderId="43" xfId="0" applyNumberFormat="1" applyFont="1" applyBorder="1" applyAlignment="1">
      <alignment/>
    </xf>
    <xf numFmtId="3" fontId="0" fillId="0" borderId="97" xfId="0" applyNumberFormat="1" applyFont="1" applyBorder="1" applyAlignment="1">
      <alignment wrapText="1"/>
    </xf>
    <xf numFmtId="3" fontId="0" fillId="0" borderId="98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0" fontId="0" fillId="0" borderId="44" xfId="0" applyFont="1" applyBorder="1" applyAlignment="1">
      <alignment horizontal="left" wrapText="1"/>
    </xf>
    <xf numFmtId="3" fontId="0" fillId="0" borderId="43" xfId="0" applyNumberFormat="1" applyFont="1" applyBorder="1" applyAlignment="1">
      <alignment horizontal="left"/>
    </xf>
    <xf numFmtId="3" fontId="0" fillId="3" borderId="44" xfId="0" applyNumberFormat="1" applyFont="1" applyFill="1" applyBorder="1" applyAlignment="1">
      <alignment wrapText="1"/>
    </xf>
    <xf numFmtId="3" fontId="5" fillId="0" borderId="55" xfId="0" applyNumberFormat="1" applyFont="1" applyBorder="1" applyAlignment="1">
      <alignment wrapText="1"/>
    </xf>
    <xf numFmtId="3" fontId="5" fillId="0" borderId="59" xfId="0" applyNumberFormat="1" applyFont="1" applyBorder="1" applyAlignment="1">
      <alignment wrapText="1"/>
    </xf>
    <xf numFmtId="3" fontId="0" fillId="0" borderId="99" xfId="0" applyNumberFormat="1" applyFont="1" applyBorder="1" applyAlignment="1">
      <alignment wrapText="1"/>
    </xf>
    <xf numFmtId="3" fontId="0" fillId="3" borderId="55" xfId="0" applyNumberFormat="1" applyFont="1" applyFill="1" applyBorder="1" applyAlignment="1">
      <alignment/>
    </xf>
    <xf numFmtId="3" fontId="22" fillId="3" borderId="2" xfId="0" applyNumberFormat="1" applyFont="1" applyFill="1" applyBorder="1" applyAlignment="1">
      <alignment/>
    </xf>
    <xf numFmtId="3" fontId="5" fillId="0" borderId="100" xfId="0" applyNumberFormat="1" applyFont="1" applyBorder="1" applyAlignment="1">
      <alignment/>
    </xf>
    <xf numFmtId="3" fontId="0" fillId="0" borderId="100" xfId="0" applyNumberFormat="1" applyFont="1" applyBorder="1" applyAlignment="1">
      <alignment/>
    </xf>
    <xf numFmtId="3" fontId="0" fillId="3" borderId="50" xfId="0" applyNumberFormat="1" applyFont="1" applyFill="1" applyBorder="1" applyAlignment="1">
      <alignment/>
    </xf>
    <xf numFmtId="0" fontId="7" fillId="3" borderId="43" xfId="0" applyFont="1" applyFill="1" applyBorder="1" applyAlignment="1">
      <alignment wrapText="1"/>
    </xf>
    <xf numFmtId="3" fontId="7" fillId="3" borderId="49" xfId="0" applyNumberFormat="1" applyFont="1" applyFill="1" applyBorder="1" applyAlignment="1">
      <alignment/>
    </xf>
    <xf numFmtId="0" fontId="5" fillId="9" borderId="26" xfId="0" applyFont="1" applyFill="1" applyBorder="1" applyAlignment="1">
      <alignment wrapText="1"/>
    </xf>
    <xf numFmtId="3" fontId="5" fillId="3" borderId="31" xfId="0" applyNumberFormat="1" applyFont="1" applyFill="1" applyBorder="1" applyAlignment="1">
      <alignment/>
    </xf>
    <xf numFmtId="3" fontId="5" fillId="3" borderId="2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0" fillId="0" borderId="101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0" fillId="0" borderId="42" xfId="0" applyNumberFormat="1" applyFont="1" applyBorder="1" applyAlignment="1">
      <alignment horizontal="left"/>
    </xf>
    <xf numFmtId="0" fontId="11" fillId="0" borderId="16" xfId="0" applyFont="1" applyBorder="1" applyAlignment="1">
      <alignment/>
    </xf>
    <xf numFmtId="3" fontId="7" fillId="3" borderId="44" xfId="0" applyNumberFormat="1" applyFont="1" applyFill="1" applyBorder="1" applyAlignment="1">
      <alignment/>
    </xf>
    <xf numFmtId="3" fontId="5" fillId="3" borderId="44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wrapText="1"/>
    </xf>
    <xf numFmtId="3" fontId="12" fillId="0" borderId="2" xfId="0" applyNumberFormat="1" applyFont="1" applyBorder="1" applyAlignment="1">
      <alignment horizontal="center" wrapText="1"/>
    </xf>
    <xf numFmtId="3" fontId="5" fillId="2" borderId="42" xfId="0" applyNumberFormat="1" applyFont="1" applyFill="1" applyBorder="1" applyAlignment="1">
      <alignment wrapText="1"/>
    </xf>
    <xf numFmtId="3" fontId="5" fillId="2" borderId="16" xfId="0" applyNumberFormat="1" applyFont="1" applyFill="1" applyBorder="1" applyAlignment="1">
      <alignment wrapText="1"/>
    </xf>
    <xf numFmtId="3" fontId="5" fillId="7" borderId="42" xfId="0" applyNumberFormat="1" applyFont="1" applyFill="1" applyBorder="1" applyAlignment="1">
      <alignment wrapText="1"/>
    </xf>
    <xf numFmtId="3" fontId="5" fillId="7" borderId="2" xfId="0" applyNumberFormat="1" applyFont="1" applyFill="1" applyBorder="1" applyAlignment="1">
      <alignment horizontal="right" wrapText="1"/>
    </xf>
    <xf numFmtId="3" fontId="5" fillId="7" borderId="15" xfId="0" applyNumberFormat="1" applyFont="1" applyFill="1" applyBorder="1" applyAlignment="1">
      <alignment horizontal="right" wrapText="1"/>
    </xf>
    <xf numFmtId="3" fontId="0" fillId="0" borderId="4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7" fillId="2" borderId="24" xfId="0" applyNumberFormat="1" applyFont="1" applyFill="1" applyBorder="1" applyAlignment="1">
      <alignment/>
    </xf>
    <xf numFmtId="0" fontId="0" fillId="0" borderId="85" xfId="0" applyFont="1" applyBorder="1" applyAlignment="1">
      <alignment wrapText="1"/>
    </xf>
    <xf numFmtId="3" fontId="4" fillId="0" borderId="85" xfId="0" applyNumberFormat="1" applyFont="1" applyBorder="1" applyAlignment="1">
      <alignment horizontal="right"/>
    </xf>
    <xf numFmtId="3" fontId="4" fillId="3" borderId="85" xfId="0" applyNumberFormat="1" applyFont="1" applyFill="1" applyBorder="1" applyAlignment="1">
      <alignment horizontal="right"/>
    </xf>
    <xf numFmtId="3" fontId="4" fillId="0" borderId="102" xfId="0" applyNumberFormat="1" applyFont="1" applyBorder="1" applyAlignment="1">
      <alignment horizontal="right"/>
    </xf>
    <xf numFmtId="3" fontId="4" fillId="3" borderId="102" xfId="0" applyNumberFormat="1" applyFont="1" applyFill="1" applyBorder="1" applyAlignment="1">
      <alignment horizontal="right"/>
    </xf>
    <xf numFmtId="3" fontId="0" fillId="3" borderId="47" xfId="0" applyNumberFormat="1" applyFont="1" applyFill="1" applyBorder="1" applyAlignment="1">
      <alignment horizontal="right"/>
    </xf>
    <xf numFmtId="3" fontId="0" fillId="3" borderId="78" xfId="0" applyNumberFormat="1" applyFont="1" applyFill="1" applyBorder="1" applyAlignment="1">
      <alignment horizontal="right"/>
    </xf>
    <xf numFmtId="3" fontId="0" fillId="8" borderId="4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3" fontId="0" fillId="0" borderId="103" xfId="0" applyNumberFormat="1" applyFont="1" applyBorder="1" applyAlignment="1">
      <alignment horizontal="right"/>
    </xf>
    <xf numFmtId="3" fontId="0" fillId="3" borderId="103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 horizontal="right"/>
    </xf>
    <xf numFmtId="3" fontId="5" fillId="5" borderId="43" xfId="0" applyNumberFormat="1" applyFont="1" applyFill="1" applyBorder="1" applyAlignment="1">
      <alignment horizontal="right"/>
    </xf>
    <xf numFmtId="3" fontId="0" fillId="0" borderId="84" xfId="0" applyNumberFormat="1" applyFont="1" applyBorder="1" applyAlignment="1">
      <alignment horizontal="right"/>
    </xf>
    <xf numFmtId="3" fontId="0" fillId="3" borderId="84" xfId="0" applyNumberFormat="1" applyFont="1" applyFill="1" applyBorder="1" applyAlignment="1">
      <alignment/>
    </xf>
    <xf numFmtId="3" fontId="0" fillId="3" borderId="83" xfId="0" applyNumberFormat="1" applyFont="1" applyFill="1" applyBorder="1" applyAlignment="1">
      <alignment/>
    </xf>
    <xf numFmtId="3" fontId="0" fillId="0" borderId="83" xfId="0" applyNumberFormat="1" applyFont="1" applyBorder="1" applyAlignment="1">
      <alignment horizontal="right"/>
    </xf>
    <xf numFmtId="0" fontId="4" fillId="9" borderId="43" xfId="0" applyFont="1" applyFill="1" applyBorder="1" applyAlignment="1">
      <alignment/>
    </xf>
    <xf numFmtId="3" fontId="5" fillId="4" borderId="4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104" xfId="0" applyNumberFormat="1" applyFont="1" applyBorder="1" applyAlignment="1">
      <alignment wrapText="1"/>
    </xf>
    <xf numFmtId="3" fontId="5" fillId="3" borderId="82" xfId="0" applyNumberFormat="1" applyFont="1" applyFill="1" applyBorder="1" applyAlignment="1">
      <alignment/>
    </xf>
    <xf numFmtId="3" fontId="7" fillId="3" borderId="59" xfId="0" applyNumberFormat="1" applyFont="1" applyFill="1" applyBorder="1" applyAlignment="1">
      <alignment/>
    </xf>
    <xf numFmtId="3" fontId="7" fillId="0" borderId="80" xfId="0" applyNumberFormat="1" applyFont="1" applyFill="1" applyBorder="1" applyAlignment="1">
      <alignment/>
    </xf>
    <xf numFmtId="3" fontId="7" fillId="0" borderId="105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3" fontId="7" fillId="3" borderId="106" xfId="0" applyNumberFormat="1" applyFont="1" applyFill="1" applyBorder="1" applyAlignment="1">
      <alignment/>
    </xf>
    <xf numFmtId="3" fontId="7" fillId="3" borderId="80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07" xfId="0" applyNumberFormat="1" applyFont="1" applyFill="1" applyBorder="1" applyAlignment="1">
      <alignment/>
    </xf>
    <xf numFmtId="3" fontId="22" fillId="3" borderId="25" xfId="0" applyNumberFormat="1" applyFont="1" applyFill="1" applyBorder="1" applyAlignment="1">
      <alignment/>
    </xf>
    <xf numFmtId="3" fontId="22" fillId="3" borderId="29" xfId="0" applyNumberFormat="1" applyFont="1" applyFill="1" applyBorder="1" applyAlignment="1">
      <alignment/>
    </xf>
    <xf numFmtId="3" fontId="22" fillId="3" borderId="6" xfId="0" applyNumberFormat="1" applyFont="1" applyFill="1" applyBorder="1" applyAlignment="1">
      <alignment/>
    </xf>
    <xf numFmtId="3" fontId="7" fillId="3" borderId="92" xfId="0" applyNumberFormat="1" applyFont="1" applyFill="1" applyBorder="1" applyAlignment="1">
      <alignment/>
    </xf>
    <xf numFmtId="3" fontId="4" fillId="8" borderId="2" xfId="0" applyNumberFormat="1" applyFont="1" applyFill="1" applyBorder="1" applyAlignment="1">
      <alignment wrapText="1"/>
    </xf>
    <xf numFmtId="3" fontId="0" fillId="8" borderId="43" xfId="0" applyNumberFormat="1" applyFont="1" applyFill="1" applyBorder="1" applyAlignment="1">
      <alignment wrapText="1"/>
    </xf>
    <xf numFmtId="0" fontId="0" fillId="3" borderId="43" xfId="0" applyFont="1" applyFill="1" applyBorder="1" applyAlignment="1">
      <alignment wrapText="1"/>
    </xf>
    <xf numFmtId="3" fontId="16" fillId="0" borderId="2" xfId="0" applyNumberFormat="1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0" fontId="0" fillId="2" borderId="43" xfId="0" applyFont="1" applyFill="1" applyBorder="1" applyAlignment="1">
      <alignment wrapText="1"/>
    </xf>
    <xf numFmtId="0" fontId="0" fillId="0" borderId="50" xfId="0" applyFont="1" applyBorder="1" applyAlignment="1">
      <alignment horizontal="left" wrapText="1"/>
    </xf>
    <xf numFmtId="3" fontId="0" fillId="0" borderId="43" xfId="0" applyNumberFormat="1" applyFont="1" applyBorder="1" applyAlignment="1">
      <alignment horizontal="right" wrapText="1"/>
    </xf>
    <xf numFmtId="3" fontId="13" fillId="0" borderId="16" xfId="0" applyNumberFormat="1" applyFont="1" applyFill="1" applyBorder="1" applyAlignment="1">
      <alignment horizontal="right"/>
    </xf>
    <xf numFmtId="3" fontId="18" fillId="0" borderId="23" xfId="0" applyNumberFormat="1" applyFont="1" applyFill="1" applyBorder="1" applyAlignment="1">
      <alignment horizontal="right" vertical="center"/>
    </xf>
    <xf numFmtId="3" fontId="14" fillId="0" borderId="108" xfId="15" applyNumberFormat="1" applyFont="1" applyFill="1" applyBorder="1" applyAlignment="1">
      <alignment horizontal="right" vertical="center"/>
    </xf>
    <xf numFmtId="3" fontId="14" fillId="0" borderId="16" xfId="0" applyNumberFormat="1" applyFont="1" applyFill="1" applyBorder="1" applyAlignment="1">
      <alignment horizontal="center"/>
    </xf>
    <xf numFmtId="3" fontId="18" fillId="0" borderId="22" xfId="0" applyNumberFormat="1" applyFont="1" applyFill="1" applyBorder="1" applyAlignment="1">
      <alignment horizontal="right" vertical="center"/>
    </xf>
    <xf numFmtId="3" fontId="5" fillId="0" borderId="56" xfId="0" applyNumberFormat="1" applyFont="1" applyFill="1" applyBorder="1" applyAlignment="1">
      <alignment vertical="center"/>
    </xf>
    <xf numFmtId="3" fontId="13" fillId="0" borderId="0" xfId="15" applyNumberFormat="1" applyFont="1" applyFill="1" applyBorder="1" applyAlignment="1">
      <alignment horizontal="right"/>
    </xf>
    <xf numFmtId="3" fontId="13" fillId="0" borderId="34" xfId="0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3" fontId="13" fillId="0" borderId="34" xfId="0" applyNumberFormat="1" applyFont="1" applyFill="1" applyBorder="1" applyAlignment="1">
      <alignment horizontal="right"/>
    </xf>
    <xf numFmtId="3" fontId="13" fillId="0" borderId="34" xfId="15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0" fontId="4" fillId="3" borderId="47" xfId="0" applyFont="1" applyFill="1" applyBorder="1" applyAlignment="1">
      <alignment/>
    </xf>
    <xf numFmtId="0" fontId="4" fillId="0" borderId="71" xfId="0" applyFont="1" applyBorder="1" applyAlignment="1">
      <alignment wrapText="1"/>
    </xf>
    <xf numFmtId="0" fontId="4" fillId="3" borderId="71" xfId="0" applyFont="1" applyFill="1" applyBorder="1" applyAlignment="1">
      <alignment/>
    </xf>
    <xf numFmtId="0" fontId="4" fillId="0" borderId="102" xfId="0" applyFont="1" applyBorder="1" applyAlignment="1">
      <alignment/>
    </xf>
    <xf numFmtId="0" fontId="4" fillId="3" borderId="102" xfId="0" applyFont="1" applyFill="1" applyBorder="1" applyAlignment="1">
      <alignment/>
    </xf>
    <xf numFmtId="3" fontId="0" fillId="3" borderId="43" xfId="0" applyNumberFormat="1" applyFont="1" applyFill="1" applyBorder="1" applyAlignment="1">
      <alignment horizontal="right"/>
    </xf>
    <xf numFmtId="0" fontId="30" fillId="0" borderId="71" xfId="0" applyFont="1" applyBorder="1" applyAlignment="1">
      <alignment horizontal="left" wrapText="1"/>
    </xf>
    <xf numFmtId="3" fontId="7" fillId="3" borderId="71" xfId="0" applyNumberFormat="1" applyFont="1" applyFill="1" applyBorder="1" applyAlignment="1">
      <alignment/>
    </xf>
    <xf numFmtId="3" fontId="7" fillId="3" borderId="76" xfId="0" applyNumberFormat="1" applyFont="1" applyFill="1" applyBorder="1" applyAlignment="1">
      <alignment/>
    </xf>
    <xf numFmtId="0" fontId="30" fillId="0" borderId="76" xfId="0" applyFont="1" applyBorder="1" applyAlignment="1">
      <alignment horizontal="left" wrapText="1"/>
    </xf>
    <xf numFmtId="3" fontId="5" fillId="9" borderId="43" xfId="0" applyNumberFormat="1" applyFont="1" applyFill="1" applyBorder="1" applyAlignment="1">
      <alignment horizontal="right" wrapText="1"/>
    </xf>
    <xf numFmtId="3" fontId="5" fillId="9" borderId="42" xfId="0" applyNumberFormat="1" applyFont="1" applyFill="1" applyBorder="1" applyAlignment="1">
      <alignment horizontal="right" wrapText="1"/>
    </xf>
    <xf numFmtId="3" fontId="5" fillId="9" borderId="2" xfId="0" applyNumberFormat="1" applyFont="1" applyFill="1" applyBorder="1" applyAlignment="1">
      <alignment horizontal="right" wrapText="1"/>
    </xf>
    <xf numFmtId="3" fontId="5" fillId="0" borderId="18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3" fontId="4" fillId="0" borderId="53" xfId="0" applyNumberFormat="1" applyFont="1" applyBorder="1" applyAlignment="1">
      <alignment wrapText="1"/>
    </xf>
    <xf numFmtId="3" fontId="4" fillId="0" borderId="42" xfId="0" applyNumberFormat="1" applyFont="1" applyBorder="1" applyAlignment="1">
      <alignment wrapText="1"/>
    </xf>
    <xf numFmtId="3" fontId="4" fillId="0" borderId="109" xfId="0" applyNumberFormat="1" applyFont="1" applyBorder="1" applyAlignment="1">
      <alignment wrapText="1"/>
    </xf>
    <xf numFmtId="0" fontId="5" fillId="0" borderId="28" xfId="0" applyFont="1" applyBorder="1" applyAlignment="1">
      <alignment/>
    </xf>
    <xf numFmtId="3" fontId="31" fillId="3" borderId="15" xfId="0" applyNumberFormat="1" applyFont="1" applyFill="1" applyBorder="1" applyAlignment="1">
      <alignment horizontal="center"/>
    </xf>
    <xf numFmtId="3" fontId="7" fillId="4" borderId="73" xfId="0" applyNumberFormat="1" applyFont="1" applyFill="1" applyBorder="1" applyAlignment="1">
      <alignment/>
    </xf>
    <xf numFmtId="3" fontId="5" fillId="4" borderId="73" xfId="0" applyNumberFormat="1" applyFont="1" applyFill="1" applyBorder="1" applyAlignment="1">
      <alignment/>
    </xf>
    <xf numFmtId="3" fontId="0" fillId="8" borderId="42" xfId="0" applyNumberFormat="1" applyFont="1" applyFill="1" applyBorder="1" applyAlignment="1">
      <alignment/>
    </xf>
    <xf numFmtId="3" fontId="5" fillId="8" borderId="42" xfId="0" applyNumberFormat="1" applyFont="1" applyFill="1" applyBorder="1" applyAlignment="1">
      <alignment/>
    </xf>
    <xf numFmtId="3" fontId="7" fillId="8" borderId="42" xfId="0" applyNumberFormat="1" applyFont="1" applyFill="1" applyBorder="1" applyAlignment="1">
      <alignment/>
    </xf>
    <xf numFmtId="3" fontId="4" fillId="8" borderId="44" xfId="0" applyNumberFormat="1" applyFont="1" applyFill="1" applyBorder="1" applyAlignment="1">
      <alignment/>
    </xf>
    <xf numFmtId="3" fontId="5" fillId="8" borderId="44" xfId="0" applyNumberFormat="1" applyFont="1" applyFill="1" applyBorder="1" applyAlignment="1">
      <alignment/>
    </xf>
    <xf numFmtId="3" fontId="7" fillId="8" borderId="44" xfId="0" applyNumberFormat="1" applyFont="1" applyFill="1" applyBorder="1" applyAlignment="1">
      <alignment/>
    </xf>
    <xf numFmtId="3" fontId="0" fillId="7" borderId="50" xfId="0" applyNumberFormat="1" applyFont="1" applyFill="1" applyBorder="1" applyAlignment="1">
      <alignment wrapText="1"/>
    </xf>
    <xf numFmtId="3" fontId="5" fillId="7" borderId="50" xfId="0" applyNumberFormat="1" applyFont="1" applyFill="1" applyBorder="1" applyAlignment="1">
      <alignment wrapText="1"/>
    </xf>
    <xf numFmtId="3" fontId="0" fillId="7" borderId="43" xfId="0" applyNumberFormat="1" applyFont="1" applyFill="1" applyBorder="1" applyAlignment="1">
      <alignment wrapText="1"/>
    </xf>
    <xf numFmtId="3" fontId="4" fillId="0" borderId="42" xfId="0" applyNumberFormat="1" applyFont="1" applyBorder="1" applyAlignment="1">
      <alignment horizontal="right" wrapText="1"/>
    </xf>
    <xf numFmtId="3" fontId="4" fillId="0" borderId="42" xfId="0" applyNumberFormat="1" applyFont="1" applyBorder="1" applyAlignment="1">
      <alignment horizontal="left" wrapText="1"/>
    </xf>
    <xf numFmtId="3" fontId="4" fillId="0" borderId="44" xfId="0" applyNumberFormat="1" applyFont="1" applyBorder="1" applyAlignment="1">
      <alignment horizontal="right" wrapText="1"/>
    </xf>
    <xf numFmtId="3" fontId="4" fillId="0" borderId="44" xfId="0" applyNumberFormat="1" applyFont="1" applyBorder="1" applyAlignment="1">
      <alignment horizontal="left" wrapText="1"/>
    </xf>
    <xf numFmtId="0" fontId="5" fillId="7" borderId="73" xfId="0" applyFont="1" applyFill="1" applyBorder="1" applyAlignment="1">
      <alignment horizontal="right"/>
    </xf>
    <xf numFmtId="0" fontId="5" fillId="7" borderId="81" xfId="0" applyFont="1" applyFill="1" applyBorder="1" applyAlignment="1">
      <alignment/>
    </xf>
    <xf numFmtId="0" fontId="5" fillId="7" borderId="73" xfId="0" applyFont="1" applyFill="1" applyBorder="1" applyAlignment="1">
      <alignment wrapText="1"/>
    </xf>
    <xf numFmtId="3" fontId="7" fillId="0" borderId="15" xfId="0" applyNumberFormat="1" applyFont="1" applyBorder="1" applyAlignment="1">
      <alignment wrapText="1"/>
    </xf>
    <xf numFmtId="0" fontId="4" fillId="0" borderId="2" xfId="0" applyFont="1" applyBorder="1" applyAlignment="1">
      <alignment vertical="center"/>
    </xf>
    <xf numFmtId="3" fontId="7" fillId="0" borderId="43" xfId="0" applyNumberFormat="1" applyFont="1" applyBorder="1" applyAlignment="1">
      <alignment wrapText="1"/>
    </xf>
    <xf numFmtId="3" fontId="7" fillId="0" borderId="42" xfId="0" applyNumberFormat="1" applyFont="1" applyBorder="1" applyAlignment="1">
      <alignment wrapText="1"/>
    </xf>
    <xf numFmtId="3" fontId="0" fillId="2" borderId="2" xfId="0" applyNumberFormat="1" applyFont="1" applyFill="1" applyBorder="1" applyAlignment="1">
      <alignment wrapText="1"/>
    </xf>
    <xf numFmtId="3" fontId="5" fillId="2" borderId="28" xfId="0" applyNumberFormat="1" applyFont="1" applyFill="1" applyBorder="1" applyAlignment="1">
      <alignment wrapText="1"/>
    </xf>
    <xf numFmtId="3" fontId="0" fillId="2" borderId="53" xfId="0" applyNumberFormat="1" applyFont="1" applyFill="1" applyBorder="1" applyAlignment="1">
      <alignment wrapText="1"/>
    </xf>
    <xf numFmtId="3" fontId="4" fillId="2" borderId="28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wrapText="1"/>
    </xf>
    <xf numFmtId="3" fontId="0" fillId="3" borderId="2" xfId="0" applyNumberFormat="1" applyFont="1" applyFill="1" applyBorder="1" applyAlignment="1">
      <alignment/>
    </xf>
    <xf numFmtId="3" fontId="0" fillId="3" borderId="58" xfId="0" applyNumberFormat="1" applyFont="1" applyFill="1" applyBorder="1" applyAlignment="1">
      <alignment/>
    </xf>
    <xf numFmtId="3" fontId="11" fillId="3" borderId="43" xfId="0" applyNumberFormat="1" applyFont="1" applyFill="1" applyBorder="1" applyAlignment="1">
      <alignment/>
    </xf>
    <xf numFmtId="3" fontId="0" fillId="3" borderId="59" xfId="0" applyNumberFormat="1" applyFont="1" applyFill="1" applyBorder="1" applyAlignment="1">
      <alignment/>
    </xf>
    <xf numFmtId="1" fontId="10" fillId="2" borderId="66" xfId="0" applyNumberFormat="1" applyFont="1" applyFill="1" applyBorder="1" applyAlignment="1">
      <alignment/>
    </xf>
    <xf numFmtId="1" fontId="10" fillId="2" borderId="66" xfId="0" applyNumberFormat="1" applyFont="1" applyFill="1" applyBorder="1" applyAlignment="1">
      <alignment/>
    </xf>
    <xf numFmtId="3" fontId="10" fillId="2" borderId="66" xfId="0" applyNumberFormat="1" applyFont="1" applyFill="1" applyBorder="1" applyAlignment="1">
      <alignment wrapText="1"/>
    </xf>
    <xf numFmtId="1" fontId="10" fillId="0" borderId="15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3" fontId="5" fillId="0" borderId="2" xfId="0" applyNumberFormat="1" applyFont="1" applyBorder="1" applyAlignment="1">
      <alignment horizontal="left"/>
    </xf>
    <xf numFmtId="0" fontId="5" fillId="2" borderId="15" xfId="0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left"/>
    </xf>
    <xf numFmtId="3" fontId="5" fillId="0" borderId="79" xfId="0" applyNumberFormat="1" applyFont="1" applyBorder="1" applyAlignment="1">
      <alignment horizontal="right" wrapText="1"/>
    </xf>
    <xf numFmtId="3" fontId="7" fillId="0" borderId="15" xfId="0" applyNumberFormat="1" applyFont="1" applyBorder="1" applyAlignment="1">
      <alignment horizontal="right" wrapText="1"/>
    </xf>
    <xf numFmtId="3" fontId="4" fillId="0" borderId="42" xfId="0" applyNumberFormat="1" applyFont="1" applyBorder="1" applyAlignment="1">
      <alignment/>
    </xf>
    <xf numFmtId="3" fontId="31" fillId="0" borderId="15" xfId="0" applyNumberFormat="1" applyFont="1" applyBorder="1" applyAlignment="1">
      <alignment horizontal="center"/>
    </xf>
    <xf numFmtId="3" fontId="0" fillId="3" borderId="15" xfId="0" applyNumberFormat="1" applyFont="1" applyFill="1" applyBorder="1" applyAlignment="1">
      <alignment horizontal="right"/>
    </xf>
    <xf numFmtId="3" fontId="0" fillId="3" borderId="7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10" fillId="7" borderId="73" xfId="0" applyNumberFormat="1" applyFont="1" applyFill="1" applyBorder="1" applyAlignment="1">
      <alignment horizontal="right" wrapText="1"/>
    </xf>
    <xf numFmtId="3" fontId="28" fillId="0" borderId="2" xfId="0" applyNumberFormat="1" applyFont="1" applyBorder="1" applyAlignment="1">
      <alignment horizontal="right" wrapText="1"/>
    </xf>
    <xf numFmtId="3" fontId="22" fillId="0" borderId="18" xfId="0" applyNumberFormat="1" applyFont="1" applyBorder="1" applyAlignment="1">
      <alignment horizontal="right" wrapText="1"/>
    </xf>
    <xf numFmtId="0" fontId="0" fillId="0" borderId="103" xfId="0" applyFont="1" applyBorder="1" applyAlignment="1">
      <alignment/>
    </xf>
    <xf numFmtId="0" fontId="0" fillId="0" borderId="11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88" xfId="0" applyFont="1" applyBorder="1" applyAlignment="1">
      <alignment wrapText="1"/>
    </xf>
    <xf numFmtId="3" fontId="0" fillId="0" borderId="88" xfId="0" applyNumberFormat="1" applyFont="1" applyBorder="1" applyAlignment="1">
      <alignment horizontal="right"/>
    </xf>
    <xf numFmtId="3" fontId="0" fillId="3" borderId="88" xfId="0" applyNumberFormat="1" applyFont="1" applyFill="1" applyBorder="1" applyAlignment="1">
      <alignment horizontal="right"/>
    </xf>
    <xf numFmtId="0" fontId="0" fillId="0" borderId="85" xfId="0" applyFont="1" applyBorder="1" applyAlignment="1">
      <alignment/>
    </xf>
    <xf numFmtId="3" fontId="0" fillId="3" borderId="85" xfId="0" applyNumberFormat="1" applyFont="1" applyFill="1" applyBorder="1" applyAlignment="1">
      <alignment horizontal="right"/>
    </xf>
    <xf numFmtId="0" fontId="0" fillId="0" borderId="74" xfId="0" applyFont="1" applyBorder="1" applyAlignment="1">
      <alignment wrapText="1"/>
    </xf>
    <xf numFmtId="3" fontId="0" fillId="3" borderId="88" xfId="0" applyNumberFormat="1" applyFont="1" applyFill="1" applyBorder="1" applyAlignment="1">
      <alignment/>
    </xf>
    <xf numFmtId="0" fontId="0" fillId="0" borderId="71" xfId="0" applyFont="1" applyBorder="1" applyAlignment="1">
      <alignment wrapText="1"/>
    </xf>
    <xf numFmtId="3" fontId="0" fillId="3" borderId="71" xfId="0" applyNumberFormat="1" applyFont="1" applyFill="1" applyBorder="1" applyAlignment="1">
      <alignment/>
    </xf>
    <xf numFmtId="3" fontId="0" fillId="3" borderId="85" xfId="0" applyNumberFormat="1" applyFont="1" applyFill="1" applyBorder="1" applyAlignment="1">
      <alignment/>
    </xf>
    <xf numFmtId="0" fontId="0" fillId="0" borderId="88" xfId="0" applyFont="1" applyBorder="1" applyAlignment="1">
      <alignment/>
    </xf>
    <xf numFmtId="3" fontId="4" fillId="3" borderId="88" xfId="0" applyNumberFormat="1" applyFont="1" applyFill="1" applyBorder="1" applyAlignment="1">
      <alignment/>
    </xf>
    <xf numFmtId="3" fontId="0" fillId="0" borderId="71" xfId="0" applyNumberFormat="1" applyFont="1" applyBorder="1" applyAlignment="1">
      <alignment/>
    </xf>
    <xf numFmtId="3" fontId="4" fillId="3" borderId="85" xfId="0" applyNumberFormat="1" applyFont="1" applyFill="1" applyBorder="1" applyAlignment="1">
      <alignment/>
    </xf>
    <xf numFmtId="0" fontId="0" fillId="0" borderId="71" xfId="0" applyFont="1" applyBorder="1" applyAlignment="1">
      <alignment horizontal="left" wrapText="1"/>
    </xf>
    <xf numFmtId="3" fontId="4" fillId="3" borderId="71" xfId="0" applyNumberFormat="1" applyFont="1" applyFill="1" applyBorder="1" applyAlignment="1">
      <alignment/>
    </xf>
    <xf numFmtId="3" fontId="4" fillId="2" borderId="71" xfId="0" applyNumberFormat="1" applyFont="1" applyFill="1" applyBorder="1" applyAlignment="1">
      <alignment horizontal="right" wrapText="1"/>
    </xf>
    <xf numFmtId="3" fontId="0" fillId="2" borderId="71" xfId="0" applyNumberFormat="1" applyFont="1" applyFill="1" applyBorder="1" applyAlignment="1">
      <alignment horizontal="right" wrapText="1"/>
    </xf>
    <xf numFmtId="3" fontId="0" fillId="0" borderId="71" xfId="0" applyNumberFormat="1" applyFont="1" applyBorder="1" applyAlignment="1">
      <alignment horizontal="right" wrapText="1"/>
    </xf>
    <xf numFmtId="3" fontId="4" fillId="2" borderId="85" xfId="0" applyNumberFormat="1" applyFont="1" applyFill="1" applyBorder="1" applyAlignment="1">
      <alignment wrapText="1"/>
    </xf>
    <xf numFmtId="3" fontId="0" fillId="2" borderId="85" xfId="0" applyNumberFormat="1" applyFont="1" applyFill="1" applyBorder="1" applyAlignment="1">
      <alignment wrapText="1"/>
    </xf>
    <xf numFmtId="3" fontId="4" fillId="2" borderId="71" xfId="0" applyNumberFormat="1" applyFont="1" applyFill="1" applyBorder="1" applyAlignment="1">
      <alignment wrapText="1"/>
    </xf>
    <xf numFmtId="3" fontId="0" fillId="2" borderId="71" xfId="0" applyNumberFormat="1" applyFont="1" applyFill="1" applyBorder="1" applyAlignment="1">
      <alignment wrapText="1"/>
    </xf>
    <xf numFmtId="0" fontId="4" fillId="3" borderId="16" xfId="0" applyFont="1" applyFill="1" applyBorder="1" applyAlignment="1">
      <alignment/>
    </xf>
    <xf numFmtId="3" fontId="4" fillId="3" borderId="16" xfId="0" applyNumberFormat="1" applyFont="1" applyFill="1" applyBorder="1" applyAlignment="1">
      <alignment horizontal="right"/>
    </xf>
    <xf numFmtId="3" fontId="0" fillId="3" borderId="16" xfId="0" applyNumberFormat="1" applyFont="1" applyFill="1" applyBorder="1" applyAlignment="1">
      <alignment horizontal="right"/>
    </xf>
    <xf numFmtId="3" fontId="0" fillId="2" borderId="88" xfId="0" applyNumberFormat="1" applyFont="1" applyFill="1" applyBorder="1" applyAlignment="1">
      <alignment horizontal="right" wrapText="1"/>
    </xf>
    <xf numFmtId="3" fontId="4" fillId="2" borderId="28" xfId="0" applyNumberFormat="1" applyFont="1" applyFill="1" applyBorder="1" applyAlignment="1">
      <alignment horizontal="right" wrapText="1"/>
    </xf>
    <xf numFmtId="0" fontId="0" fillId="9" borderId="71" xfId="0" applyFont="1" applyFill="1" applyBorder="1" applyAlignment="1">
      <alignment/>
    </xf>
    <xf numFmtId="3" fontId="0" fillId="3" borderId="71" xfId="0" applyNumberFormat="1" applyFont="1" applyFill="1" applyBorder="1" applyAlignment="1">
      <alignment/>
    </xf>
    <xf numFmtId="3" fontId="5" fillId="0" borderId="102" xfId="0" applyNumberFormat="1" applyFont="1" applyBorder="1" applyAlignment="1">
      <alignment/>
    </xf>
    <xf numFmtId="3" fontId="4" fillId="0" borderId="102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 wrapText="1"/>
    </xf>
    <xf numFmtId="3" fontId="0" fillId="2" borderId="16" xfId="0" applyNumberFormat="1" applyFont="1" applyFill="1" applyBorder="1" applyAlignment="1">
      <alignment wrapText="1"/>
    </xf>
    <xf numFmtId="0" fontId="0" fillId="0" borderId="43" xfId="0" applyBorder="1" applyAlignment="1">
      <alignment/>
    </xf>
    <xf numFmtId="0" fontId="5" fillId="8" borderId="15" xfId="0" applyFont="1" applyFill="1" applyBorder="1" applyAlignment="1">
      <alignment/>
    </xf>
    <xf numFmtId="0" fontId="5" fillId="9" borderId="16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0" fillId="0" borderId="3" xfId="0" applyBorder="1" applyAlignment="1">
      <alignment/>
    </xf>
    <xf numFmtId="0" fontId="6" fillId="2" borderId="1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34" xfId="0" applyBorder="1" applyAlignment="1">
      <alignment/>
    </xf>
    <xf numFmtId="3" fontId="4" fillId="2" borderId="47" xfId="0" applyNumberFormat="1" applyFont="1" applyFill="1" applyBorder="1" applyAlignment="1">
      <alignment wrapText="1"/>
    </xf>
    <xf numFmtId="0" fontId="0" fillId="0" borderId="111" xfId="0" applyFont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0" fontId="7" fillId="0" borderId="2" xfId="0" applyFont="1" applyBorder="1" applyAlignment="1">
      <alignment/>
    </xf>
    <xf numFmtId="3" fontId="4" fillId="0" borderId="47" xfId="0" applyNumberFormat="1" applyFont="1" applyBorder="1" applyAlignment="1">
      <alignment wrapText="1"/>
    </xf>
    <xf numFmtId="3" fontId="7" fillId="3" borderId="44" xfId="0" applyNumberFormat="1" applyFont="1" applyFill="1" applyBorder="1" applyAlignment="1">
      <alignment/>
    </xf>
    <xf numFmtId="0" fontId="4" fillId="3" borderId="77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54" xfId="0" applyFont="1" applyBorder="1" applyAlignment="1">
      <alignment/>
    </xf>
    <xf numFmtId="3" fontId="4" fillId="2" borderId="47" xfId="0" applyNumberFormat="1" applyFont="1" applyFill="1" applyBorder="1" applyAlignment="1">
      <alignment horizontal="right" wrapText="1"/>
    </xf>
    <xf numFmtId="0" fontId="0" fillId="0" borderId="2" xfId="0" applyBorder="1" applyAlignment="1">
      <alignment/>
    </xf>
    <xf numFmtId="3" fontId="14" fillId="0" borderId="61" xfId="15" applyNumberFormat="1" applyFont="1" applyFill="1" applyBorder="1" applyAlignment="1">
      <alignment horizontal="right" vertical="center"/>
    </xf>
    <xf numFmtId="1" fontId="13" fillId="0" borderId="50" xfId="0" applyNumberFormat="1" applyFont="1" applyFill="1" applyBorder="1" applyAlignment="1" quotePrefix="1">
      <alignment horizontal="center" vertical="center"/>
    </xf>
    <xf numFmtId="1" fontId="14" fillId="0" borderId="58" xfId="0" applyNumberFormat="1" applyFont="1" applyFill="1" applyBorder="1" applyAlignment="1">
      <alignment horizontal="center" vertical="center"/>
    </xf>
    <xf numFmtId="3" fontId="14" fillId="0" borderId="112" xfId="0" applyNumberFormat="1" applyFont="1" applyFill="1" applyBorder="1" applyAlignment="1">
      <alignment horizontal="left"/>
    </xf>
    <xf numFmtId="3" fontId="13" fillId="0" borderId="113" xfId="0" applyNumberFormat="1" applyFont="1" applyFill="1" applyBorder="1" applyAlignment="1">
      <alignment/>
    </xf>
    <xf numFmtId="3" fontId="13" fillId="0" borderId="114" xfId="0" applyNumberFormat="1" applyFont="1" applyFill="1" applyBorder="1" applyAlignment="1">
      <alignment horizontal="center"/>
    </xf>
    <xf numFmtId="0" fontId="14" fillId="0" borderId="115" xfId="0" applyFont="1" applyFill="1" applyBorder="1" applyAlignment="1">
      <alignment horizontal="center"/>
    </xf>
    <xf numFmtId="0" fontId="13" fillId="0" borderId="115" xfId="0" applyFont="1" applyFill="1" applyBorder="1" applyAlignment="1">
      <alignment horizontal="center"/>
    </xf>
    <xf numFmtId="3" fontId="13" fillId="0" borderId="114" xfId="0" applyNumberFormat="1" applyFont="1" applyFill="1" applyBorder="1" applyAlignment="1">
      <alignment horizontal="left"/>
    </xf>
    <xf numFmtId="3" fontId="13" fillId="0" borderId="116" xfId="0" applyNumberFormat="1" applyFont="1" applyFill="1" applyBorder="1" applyAlignment="1">
      <alignment horizontal="left"/>
    </xf>
    <xf numFmtId="0" fontId="13" fillId="0" borderId="117" xfId="0" applyFont="1" applyFill="1" applyBorder="1" applyAlignment="1">
      <alignment horizontal="center"/>
    </xf>
    <xf numFmtId="3" fontId="26" fillId="0" borderId="100" xfId="0" applyNumberFormat="1" applyFont="1" applyFill="1" applyBorder="1" applyAlignment="1">
      <alignment horizontal="center"/>
    </xf>
    <xf numFmtId="3" fontId="26" fillId="0" borderId="118" xfId="0" applyNumberFormat="1" applyFont="1" applyFill="1" applyBorder="1" applyAlignment="1">
      <alignment horizontal="center"/>
    </xf>
    <xf numFmtId="3" fontId="24" fillId="0" borderId="119" xfId="0" applyNumberFormat="1" applyFont="1" applyFill="1" applyBorder="1" applyAlignment="1">
      <alignment horizontal="left" wrapText="1"/>
    </xf>
    <xf numFmtId="3" fontId="24" fillId="0" borderId="120" xfId="0" applyNumberFormat="1" applyFont="1" applyFill="1" applyBorder="1" applyAlignment="1">
      <alignment/>
    </xf>
    <xf numFmtId="3" fontId="18" fillId="0" borderId="114" xfId="0" applyNumberFormat="1" applyFont="1" applyFill="1" applyBorder="1" applyAlignment="1">
      <alignment horizontal="center" vertical="center"/>
    </xf>
    <xf numFmtId="3" fontId="18" fillId="0" borderId="121" xfId="0" applyNumberFormat="1" applyFont="1" applyFill="1" applyBorder="1" applyAlignment="1">
      <alignment horizontal="right"/>
    </xf>
    <xf numFmtId="3" fontId="14" fillId="0" borderId="122" xfId="0" applyNumberFormat="1" applyFont="1" applyFill="1" applyBorder="1" applyAlignment="1">
      <alignment horizontal="left" vertical="center"/>
    </xf>
    <xf numFmtId="3" fontId="14" fillId="0" borderId="123" xfId="0" applyNumberFormat="1" applyFont="1" applyFill="1" applyBorder="1" applyAlignment="1">
      <alignment horizontal="right" wrapText="1"/>
    </xf>
    <xf numFmtId="3" fontId="13" fillId="0" borderId="100" xfId="0" applyNumberFormat="1" applyFont="1" applyFill="1" applyBorder="1" applyAlignment="1">
      <alignment vertical="center"/>
    </xf>
    <xf numFmtId="3" fontId="14" fillId="0" borderId="118" xfId="15" applyNumberFormat="1" applyFont="1" applyFill="1" applyBorder="1" applyAlignment="1">
      <alignment horizontal="right" vertical="center"/>
    </xf>
    <xf numFmtId="3" fontId="14" fillId="0" borderId="122" xfId="0" applyNumberFormat="1" applyFont="1" applyFill="1" applyBorder="1" applyAlignment="1">
      <alignment horizontal="left" vertical="center" wrapText="1"/>
    </xf>
    <xf numFmtId="0" fontId="13" fillId="0" borderId="116" xfId="0" applyNumberFormat="1" applyFont="1" applyFill="1" applyBorder="1" applyAlignment="1">
      <alignment vertical="center"/>
    </xf>
    <xf numFmtId="0" fontId="13" fillId="0" borderId="100" xfId="0" applyNumberFormat="1" applyFont="1" applyFill="1" applyBorder="1" applyAlignment="1">
      <alignment vertical="center" wrapText="1"/>
    </xf>
    <xf numFmtId="0" fontId="13" fillId="0" borderId="116" xfId="0" applyNumberFormat="1" applyFont="1" applyFill="1" applyBorder="1" applyAlignment="1">
      <alignment vertical="center" wrapText="1"/>
    </xf>
    <xf numFmtId="3" fontId="13" fillId="0" borderId="100" xfId="0" applyNumberFormat="1" applyFont="1" applyFill="1" applyBorder="1" applyAlignment="1">
      <alignment horizontal="left" vertical="center" wrapText="1"/>
    </xf>
    <xf numFmtId="3" fontId="13" fillId="0" borderId="116" xfId="0" applyNumberFormat="1" applyFont="1" applyFill="1" applyBorder="1" applyAlignment="1">
      <alignment horizontal="left" wrapText="1"/>
    </xf>
    <xf numFmtId="3" fontId="13" fillId="0" borderId="116" xfId="0" applyNumberFormat="1" applyFont="1" applyFill="1" applyBorder="1" applyAlignment="1">
      <alignment/>
    </xf>
    <xf numFmtId="3" fontId="13" fillId="0" borderId="116" xfId="0" applyNumberFormat="1" applyFont="1" applyFill="1" applyBorder="1" applyAlignment="1">
      <alignment vertical="center"/>
    </xf>
    <xf numFmtId="3" fontId="13" fillId="0" borderId="100" xfId="0" applyNumberFormat="1" applyFont="1" applyFill="1" applyBorder="1" applyAlignment="1">
      <alignment vertical="center" wrapText="1"/>
    </xf>
    <xf numFmtId="3" fontId="13" fillId="0" borderId="116" xfId="0" applyNumberFormat="1" applyFont="1" applyFill="1" applyBorder="1" applyAlignment="1">
      <alignment vertical="center" wrapText="1"/>
    </xf>
    <xf numFmtId="3" fontId="14" fillId="0" borderId="124" xfId="15" applyNumberFormat="1" applyFont="1" applyFill="1" applyBorder="1" applyAlignment="1">
      <alignment horizontal="right" vertical="center"/>
    </xf>
    <xf numFmtId="3" fontId="14" fillId="0" borderId="123" xfId="15" applyNumberFormat="1" applyFont="1" applyFill="1" applyBorder="1" applyAlignment="1">
      <alignment horizontal="right" vertical="center"/>
    </xf>
    <xf numFmtId="1" fontId="13" fillId="0" borderId="116" xfId="0" applyNumberFormat="1" applyFont="1" applyFill="1" applyBorder="1" applyAlignment="1">
      <alignment vertical="center" wrapText="1"/>
    </xf>
    <xf numFmtId="3" fontId="14" fillId="0" borderId="117" xfId="15" applyNumberFormat="1" applyFont="1" applyFill="1" applyBorder="1" applyAlignment="1">
      <alignment horizontal="right" vertical="center"/>
    </xf>
    <xf numFmtId="1" fontId="13" fillId="0" borderId="100" xfId="0" applyNumberFormat="1" applyFont="1" applyFill="1" applyBorder="1" applyAlignment="1">
      <alignment vertical="center" wrapText="1"/>
    </xf>
    <xf numFmtId="3" fontId="14" fillId="0" borderId="125" xfId="15" applyNumberFormat="1" applyFont="1" applyFill="1" applyBorder="1" applyAlignment="1">
      <alignment horizontal="right" vertical="center"/>
    </xf>
    <xf numFmtId="0" fontId="13" fillId="0" borderId="116" xfId="0" applyFont="1" applyFill="1" applyBorder="1" applyAlignment="1">
      <alignment vertical="center"/>
    </xf>
    <xf numFmtId="3" fontId="13" fillId="0" borderId="100" xfId="0" applyNumberFormat="1" applyFont="1" applyFill="1" applyBorder="1" applyAlignment="1">
      <alignment wrapText="1"/>
    </xf>
    <xf numFmtId="0" fontId="13" fillId="0" borderId="100" xfId="0" applyFont="1" applyFill="1" applyBorder="1" applyAlignment="1">
      <alignment horizontal="left" wrapText="1"/>
    </xf>
    <xf numFmtId="3" fontId="13" fillId="0" borderId="100" xfId="0" applyNumberFormat="1" applyFont="1" applyFill="1" applyBorder="1" applyAlignment="1">
      <alignment horizontal="left" vertical="center"/>
    </xf>
    <xf numFmtId="0" fontId="13" fillId="0" borderId="100" xfId="0" applyFont="1" applyFill="1" applyBorder="1" applyAlignment="1">
      <alignment vertical="center"/>
    </xf>
    <xf numFmtId="1" fontId="13" fillId="0" borderId="126" xfId="0" applyNumberFormat="1" applyFont="1" applyFill="1" applyBorder="1" applyAlignment="1">
      <alignment vertical="center" wrapText="1"/>
    </xf>
    <xf numFmtId="0" fontId="18" fillId="0" borderId="127" xfId="0" applyNumberFormat="1" applyFont="1" applyFill="1" applyBorder="1" applyAlignment="1">
      <alignment horizontal="left" vertical="center"/>
    </xf>
    <xf numFmtId="3" fontId="18" fillId="0" borderId="128" xfId="15" applyNumberFormat="1" applyFont="1" applyFill="1" applyBorder="1" applyAlignment="1">
      <alignment horizontal="right" vertical="center"/>
    </xf>
    <xf numFmtId="0" fontId="14" fillId="0" borderId="129" xfId="0" applyNumberFormat="1" applyFont="1" applyFill="1" applyBorder="1" applyAlignment="1">
      <alignment horizontal="left" vertical="center"/>
    </xf>
    <xf numFmtId="3" fontId="14" fillId="0" borderId="115" xfId="15" applyNumberFormat="1" applyFont="1" applyFill="1" applyBorder="1" applyAlignment="1">
      <alignment horizontal="right" vertical="center"/>
    </xf>
    <xf numFmtId="0" fontId="13" fillId="0" borderId="116" xfId="0" applyNumberFormat="1" applyFont="1" applyFill="1" applyBorder="1" applyAlignment="1">
      <alignment horizontal="left" vertical="center"/>
    </xf>
    <xf numFmtId="0" fontId="13" fillId="0" borderId="100" xfId="0" applyNumberFormat="1" applyFont="1" applyFill="1" applyBorder="1" applyAlignment="1">
      <alignment horizontal="left" vertical="center"/>
    </xf>
    <xf numFmtId="0" fontId="13" fillId="0" borderId="114" xfId="0" applyNumberFormat="1" applyFont="1" applyFill="1" applyBorder="1" applyAlignment="1">
      <alignment horizontal="left" vertical="center"/>
    </xf>
    <xf numFmtId="0" fontId="16" fillId="0" borderId="100" xfId="0" applyNumberFormat="1" applyFont="1" applyFill="1" applyBorder="1" applyAlignment="1">
      <alignment horizontal="left" vertical="center" wrapText="1"/>
    </xf>
    <xf numFmtId="0" fontId="13" fillId="0" borderId="100" xfId="0" applyNumberFormat="1" applyFont="1" applyFill="1" applyBorder="1" applyAlignment="1">
      <alignment horizontal="left" vertical="center" wrapText="1"/>
    </xf>
    <xf numFmtId="0" fontId="29" fillId="0" borderId="100" xfId="0" applyNumberFormat="1" applyFont="1" applyFill="1" applyBorder="1" applyAlignment="1">
      <alignment horizontal="left" vertical="center" wrapText="1"/>
    </xf>
    <xf numFmtId="0" fontId="14" fillId="0" borderId="127" xfId="0" applyFont="1" applyFill="1" applyBorder="1" applyAlignment="1">
      <alignment horizontal="right" vertical="center"/>
    </xf>
    <xf numFmtId="3" fontId="14" fillId="0" borderId="130" xfId="15" applyNumberFormat="1" applyFont="1" applyFill="1" applyBorder="1" applyAlignment="1">
      <alignment horizontal="right" vertical="center"/>
    </xf>
    <xf numFmtId="3" fontId="14" fillId="0" borderId="131" xfId="0" applyNumberFormat="1" applyFont="1" applyFill="1" applyBorder="1" applyAlignment="1">
      <alignment horizontal="left" vertical="center"/>
    </xf>
    <xf numFmtId="0" fontId="13" fillId="0" borderId="100" xfId="0" applyFont="1" applyFill="1" applyBorder="1" applyAlignment="1">
      <alignment/>
    </xf>
    <xf numFmtId="3" fontId="14" fillId="0" borderId="122" xfId="0" applyNumberFormat="1" applyFont="1" applyFill="1" applyBorder="1" applyAlignment="1">
      <alignment vertical="center" wrapText="1"/>
    </xf>
    <xf numFmtId="0" fontId="14" fillId="0" borderId="122" xfId="0" applyFont="1" applyFill="1" applyBorder="1" applyAlignment="1">
      <alignment vertical="center" wrapText="1"/>
    </xf>
    <xf numFmtId="0" fontId="14" fillId="0" borderId="122" xfId="0" applyFont="1" applyFill="1" applyBorder="1" applyAlignment="1">
      <alignment vertical="center"/>
    </xf>
    <xf numFmtId="3" fontId="13" fillId="0" borderId="132" xfId="0" applyNumberFormat="1" applyFont="1" applyFill="1" applyBorder="1" applyAlignment="1">
      <alignment vertical="center"/>
    </xf>
    <xf numFmtId="3" fontId="13" fillId="0" borderId="66" xfId="0" applyNumberFormat="1" applyFont="1" applyFill="1" applyBorder="1" applyAlignment="1">
      <alignment horizontal="right" vertical="center"/>
    </xf>
    <xf numFmtId="3" fontId="14" fillId="0" borderId="133" xfId="15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/>
    </xf>
    <xf numFmtId="3" fontId="14" fillId="0" borderId="134" xfId="15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3" fillId="3" borderId="19" xfId="0" applyFont="1" applyFill="1" applyBorder="1" applyAlignment="1">
      <alignment horizontal="right" vertical="center"/>
    </xf>
    <xf numFmtId="3" fontId="4" fillId="3" borderId="19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4" fillId="0" borderId="0" xfId="0" applyFont="1" applyFill="1" applyBorder="1" applyAlignment="1">
      <alignment wrapText="1"/>
    </xf>
    <xf numFmtId="0" fontId="14" fillId="0" borderId="135" xfId="0" applyFont="1" applyAlignment="1">
      <alignment/>
    </xf>
    <xf numFmtId="0" fontId="14" fillId="0" borderId="135" xfId="0" applyFont="1" applyAlignment="1">
      <alignment horizontal="center"/>
    </xf>
    <xf numFmtId="3" fontId="14" fillId="0" borderId="135" xfId="0" applyFont="1" applyAlignment="1">
      <alignment horizontal="center" vertical="center"/>
    </xf>
    <xf numFmtId="3" fontId="14" fillId="0" borderId="136" xfId="0" applyFont="1" applyAlignment="1">
      <alignment horizontal="center" vertical="center"/>
    </xf>
    <xf numFmtId="0" fontId="14" fillId="0" borderId="137" xfId="0" applyFont="1" applyAlignment="1">
      <alignment horizontal="center" vertical="top" wrapText="1"/>
    </xf>
    <xf numFmtId="0" fontId="14" fillId="0" borderId="138" xfId="0" applyFont="1" applyAlignment="1">
      <alignment horizontal="center" vertical="center"/>
    </xf>
    <xf numFmtId="3" fontId="14" fillId="0" borderId="139" xfId="0" applyFont="1" applyAlignment="1">
      <alignment horizontal="center" vertical="top" wrapText="1"/>
    </xf>
    <xf numFmtId="0" fontId="13" fillId="0" borderId="9" xfId="0" applyFont="1" applyAlignment="1">
      <alignment horizontal="center" vertical="center"/>
    </xf>
    <xf numFmtId="3" fontId="13" fillId="0" borderId="9" xfId="0" applyFont="1" applyAlignment="1">
      <alignment horizontal="center" vertical="center"/>
    </xf>
    <xf numFmtId="0" fontId="0" fillId="5" borderId="41" xfId="0" applyFont="1" applyFill="1" applyAlignment="1">
      <alignment horizontal="center" vertical="center"/>
    </xf>
    <xf numFmtId="0" fontId="5" fillId="5" borderId="140" xfId="0" applyFont="1" applyFill="1" applyAlignment="1">
      <alignment horizontal="center" vertical="center"/>
    </xf>
    <xf numFmtId="3" fontId="5" fillId="5" borderId="140" xfId="0" applyNumberFormat="1" applyFont="1" applyFill="1" applyAlignment="1">
      <alignment horizontal="right"/>
    </xf>
    <xf numFmtId="3" fontId="31" fillId="3" borderId="19" xfId="0" applyNumberFormat="1" applyFont="1" applyFill="1" applyAlignment="1">
      <alignment horizontal="center" vertical="center"/>
    </xf>
    <xf numFmtId="0" fontId="31" fillId="3" borderId="19" xfId="0" applyFont="1" applyFill="1" applyAlignment="1">
      <alignment horizontal="center" vertical="center"/>
    </xf>
    <xf numFmtId="0" fontId="31" fillId="3" borderId="15" xfId="0" applyFont="1" applyFill="1" applyBorder="1" applyAlignment="1">
      <alignment horizontal="center"/>
    </xf>
    <xf numFmtId="3" fontId="0" fillId="3" borderId="141" xfId="0" applyNumberFormat="1" applyFont="1" applyFill="1" applyBorder="1" applyAlignment="1">
      <alignment horizontal="right"/>
    </xf>
    <xf numFmtId="3" fontId="0" fillId="3" borderId="142" xfId="0" applyNumberFormat="1" applyFont="1" applyFill="1" applyBorder="1" applyAlignment="1">
      <alignment horizontal="right"/>
    </xf>
    <xf numFmtId="3" fontId="4" fillId="3" borderId="48" xfId="0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/>
    </xf>
    <xf numFmtId="0" fontId="5" fillId="3" borderId="2" xfId="0" applyFont="1" applyFill="1" applyBorder="1" applyAlignment="1">
      <alignment wrapText="1"/>
    </xf>
    <xf numFmtId="3" fontId="0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/>
    </xf>
    <xf numFmtId="0" fontId="31" fillId="3" borderId="15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0" fontId="5" fillId="4" borderId="50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right"/>
    </xf>
    <xf numFmtId="3" fontId="7" fillId="4" borderId="43" xfId="0" applyNumberFormat="1" applyFont="1" applyFill="1" applyBorder="1" applyAlignment="1">
      <alignment horizontal="right"/>
    </xf>
    <xf numFmtId="3" fontId="0" fillId="8" borderId="16" xfId="0" applyNumberFormat="1" applyFont="1" applyFill="1" applyBorder="1" applyAlignment="1">
      <alignment horizontal="right"/>
    </xf>
    <xf numFmtId="0" fontId="5" fillId="8" borderId="2" xfId="0" applyFont="1" applyFill="1" applyBorder="1" applyAlignment="1">
      <alignment/>
    </xf>
    <xf numFmtId="3" fontId="4" fillId="8" borderId="2" xfId="0" applyNumberFormat="1" applyFont="1" applyFill="1" applyBorder="1" applyAlignment="1">
      <alignment horizontal="right"/>
    </xf>
    <xf numFmtId="3" fontId="5" fillId="8" borderId="2" xfId="0" applyNumberFormat="1" applyFont="1" applyFill="1" applyBorder="1" applyAlignment="1">
      <alignment horizontal="right"/>
    </xf>
    <xf numFmtId="3" fontId="4" fillId="8" borderId="16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wrapText="1"/>
    </xf>
    <xf numFmtId="0" fontId="0" fillId="3" borderId="15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8" borderId="16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43" xfId="0" applyFont="1" applyFill="1" applyBorder="1" applyAlignment="1">
      <alignment/>
    </xf>
    <xf numFmtId="3" fontId="4" fillId="8" borderId="43" xfId="0" applyNumberFormat="1" applyFont="1" applyFill="1" applyBorder="1" applyAlignment="1">
      <alignment horizontal="right"/>
    </xf>
    <xf numFmtId="3" fontId="0" fillId="8" borderId="43" xfId="0" applyNumberFormat="1" applyFont="1" applyFill="1" applyBorder="1" applyAlignment="1">
      <alignment horizontal="right"/>
    </xf>
    <xf numFmtId="3" fontId="0" fillId="8" borderId="2" xfId="0" applyNumberFormat="1" applyFont="1" applyFill="1" applyBorder="1" applyAlignment="1">
      <alignment horizontal="right"/>
    </xf>
    <xf numFmtId="0" fontId="14" fillId="0" borderId="143" xfId="0" applyFont="1" applyBorder="1" applyAlignment="1">
      <alignment/>
    </xf>
    <xf numFmtId="0" fontId="14" fillId="0" borderId="144" xfId="0" applyFont="1" applyBorder="1" applyAlignment="1">
      <alignment horizontal="center" vertical="top" wrapText="1"/>
    </xf>
    <xf numFmtId="0" fontId="13" fillId="0" borderId="145" xfId="0" applyFont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0" borderId="146" xfId="0" applyFont="1" applyBorder="1" applyAlignment="1">
      <alignment/>
    </xf>
    <xf numFmtId="0" fontId="0" fillId="3" borderId="146" xfId="0" applyFont="1" applyFill="1" applyBorder="1" applyAlignment="1">
      <alignment/>
    </xf>
    <xf numFmtId="0" fontId="0" fillId="3" borderId="147" xfId="0" applyFont="1" applyFill="1" applyBorder="1" applyAlignment="1">
      <alignment/>
    </xf>
    <xf numFmtId="0" fontId="5" fillId="4" borderId="148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5" fillId="3" borderId="146" xfId="0" applyFont="1" applyFill="1" applyBorder="1" applyAlignment="1">
      <alignment/>
    </xf>
    <xf numFmtId="0" fontId="5" fillId="3" borderId="147" xfId="0" applyFont="1" applyFill="1" applyBorder="1" applyAlignment="1">
      <alignment/>
    </xf>
    <xf numFmtId="0" fontId="5" fillId="4" borderId="149" xfId="0" applyFont="1" applyFill="1" applyBorder="1" applyAlignment="1">
      <alignment wrapText="1"/>
    </xf>
    <xf numFmtId="0" fontId="5" fillId="3" borderId="146" xfId="0" applyFont="1" applyFill="1" applyBorder="1" applyAlignment="1">
      <alignment wrapText="1"/>
    </xf>
    <xf numFmtId="0" fontId="5" fillId="4" borderId="147" xfId="0" applyFont="1" applyFill="1" applyBorder="1" applyAlignment="1">
      <alignment/>
    </xf>
    <xf numFmtId="0" fontId="4" fillId="3" borderId="146" xfId="0" applyFont="1" applyFill="1" applyBorder="1" applyAlignment="1">
      <alignment/>
    </xf>
    <xf numFmtId="0" fontId="5" fillId="3" borderId="146" xfId="0" applyFont="1" applyFill="1" applyBorder="1" applyAlignment="1">
      <alignment/>
    </xf>
    <xf numFmtId="0" fontId="5" fillId="3" borderId="147" xfId="0" applyFont="1" applyFill="1" applyBorder="1" applyAlignment="1">
      <alignment/>
    </xf>
    <xf numFmtId="0" fontId="5" fillId="4" borderId="147" xfId="0" applyFont="1" applyFill="1" applyBorder="1" applyAlignment="1">
      <alignment/>
    </xf>
    <xf numFmtId="0" fontId="5" fillId="3" borderId="142" xfId="0" applyFont="1" applyFill="1" applyBorder="1" applyAlignment="1">
      <alignment/>
    </xf>
    <xf numFmtId="0" fontId="5" fillId="3" borderId="37" xfId="0" applyFont="1" applyFill="1" applyBorder="1" applyAlignment="1">
      <alignment/>
    </xf>
    <xf numFmtId="0" fontId="5" fillId="8" borderId="146" xfId="0" applyFont="1" applyFill="1" applyBorder="1" applyAlignment="1">
      <alignment/>
    </xf>
    <xf numFmtId="0" fontId="5" fillId="8" borderId="147" xfId="0" applyFont="1" applyFill="1" applyBorder="1" applyAlignment="1">
      <alignment/>
    </xf>
    <xf numFmtId="0" fontId="5" fillId="4" borderId="148" xfId="0" applyFont="1" applyFill="1" applyBorder="1" applyAlignment="1">
      <alignment/>
    </xf>
    <xf numFmtId="0" fontId="4" fillId="3" borderId="37" xfId="0" applyFont="1" applyFill="1" applyBorder="1" applyAlignment="1">
      <alignment/>
    </xf>
    <xf numFmtId="0" fontId="5" fillId="8" borderId="148" xfId="0" applyFont="1" applyFill="1" applyBorder="1" applyAlignment="1">
      <alignment/>
    </xf>
    <xf numFmtId="0" fontId="0" fillId="3" borderId="150" xfId="0" applyFont="1" applyFill="1" applyBorder="1" applyAlignment="1">
      <alignment/>
    </xf>
    <xf numFmtId="0" fontId="5" fillId="3" borderId="150" xfId="0" applyFont="1" applyFill="1" applyBorder="1" applyAlignment="1">
      <alignment/>
    </xf>
    <xf numFmtId="0" fontId="0" fillId="3" borderId="151" xfId="0" applyFont="1" applyFill="1" applyBorder="1" applyAlignment="1">
      <alignment/>
    </xf>
    <xf numFmtId="3" fontId="4" fillId="3" borderId="151" xfId="0" applyNumberFormat="1" applyFont="1" applyFill="1" applyBorder="1" applyAlignment="1">
      <alignment horizontal="right"/>
    </xf>
    <xf numFmtId="0" fontId="5" fillId="8" borderId="150" xfId="0" applyFont="1" applyFill="1" applyBorder="1" applyAlignment="1">
      <alignment/>
    </xf>
    <xf numFmtId="0" fontId="5" fillId="8" borderId="151" xfId="0" applyFont="1" applyFill="1" applyBorder="1" applyAlignment="1">
      <alignment/>
    </xf>
    <xf numFmtId="0" fontId="5" fillId="3" borderId="151" xfId="0" applyFont="1" applyFill="1" applyBorder="1" applyAlignment="1">
      <alignment/>
    </xf>
    <xf numFmtId="0" fontId="0" fillId="8" borderId="151" xfId="0" applyFont="1" applyFill="1" applyBorder="1" applyAlignment="1">
      <alignment/>
    </xf>
    <xf numFmtId="0" fontId="0" fillId="5" borderId="16" xfId="0" applyFont="1" applyFill="1" applyBorder="1" applyAlignment="1">
      <alignment wrapText="1"/>
    </xf>
    <xf numFmtId="3" fontId="0" fillId="5" borderId="16" xfId="0" applyNumberFormat="1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3" fontId="4" fillId="5" borderId="2" xfId="0" applyNumberFormat="1" applyFont="1" applyFill="1" applyBorder="1" applyAlignment="1">
      <alignment wrapText="1"/>
    </xf>
    <xf numFmtId="3" fontId="0" fillId="5" borderId="2" xfId="0" applyNumberFormat="1" applyFont="1" applyFill="1" applyBorder="1" applyAlignment="1">
      <alignment wrapText="1"/>
    </xf>
    <xf numFmtId="0" fontId="0" fillId="5" borderId="16" xfId="0" applyFont="1" applyFill="1" applyBorder="1" applyAlignment="1">
      <alignment/>
    </xf>
    <xf numFmtId="3" fontId="0" fillId="8" borderId="16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3" fontId="4" fillId="8" borderId="2" xfId="0" applyNumberFormat="1" applyFont="1" applyFill="1" applyBorder="1" applyAlignment="1">
      <alignment/>
    </xf>
    <xf numFmtId="0" fontId="7" fillId="5" borderId="18" xfId="0" applyFont="1" applyFill="1" applyBorder="1" applyAlignment="1">
      <alignment wrapText="1"/>
    </xf>
    <xf numFmtId="3" fontId="7" fillId="5" borderId="18" xfId="0" applyNumberFormat="1" applyFont="1" applyFill="1" applyBorder="1" applyAlignment="1">
      <alignment wrapText="1"/>
    </xf>
    <xf numFmtId="3" fontId="7" fillId="8" borderId="18" xfId="0" applyNumberFormat="1" applyFont="1" applyFill="1" applyBorder="1" applyAlignment="1">
      <alignment/>
    </xf>
    <xf numFmtId="0" fontId="5" fillId="4" borderId="28" xfId="0" applyFont="1" applyFill="1" applyBorder="1" applyAlignment="1">
      <alignment wrapText="1"/>
    </xf>
    <xf numFmtId="0" fontId="0" fillId="8" borderId="16" xfId="0" applyFont="1" applyFill="1" applyBorder="1" applyAlignment="1">
      <alignment wrapText="1"/>
    </xf>
    <xf numFmtId="0" fontId="0" fillId="8" borderId="52" xfId="0" applyFont="1" applyFill="1" applyBorder="1" applyAlignment="1">
      <alignment wrapText="1"/>
    </xf>
    <xf numFmtId="3" fontId="0" fillId="5" borderId="16" xfId="0" applyNumberFormat="1" applyFont="1" applyFill="1" applyBorder="1" applyAlignment="1">
      <alignment/>
    </xf>
    <xf numFmtId="0" fontId="0" fillId="8" borderId="2" xfId="0" applyFont="1" applyFill="1" applyBorder="1" applyAlignment="1">
      <alignment wrapText="1"/>
    </xf>
    <xf numFmtId="0" fontId="0" fillId="8" borderId="28" xfId="0" applyFont="1" applyFill="1" applyBorder="1" applyAlignment="1">
      <alignment wrapText="1"/>
    </xf>
    <xf numFmtId="3" fontId="4" fillId="5" borderId="2" xfId="0" applyNumberFormat="1" applyFont="1" applyFill="1" applyBorder="1" applyAlignment="1">
      <alignment/>
    </xf>
    <xf numFmtId="3" fontId="4" fillId="5" borderId="16" xfId="0" applyNumberFormat="1" applyFont="1" applyFill="1" applyBorder="1" applyAlignment="1">
      <alignment/>
    </xf>
    <xf numFmtId="0" fontId="5" fillId="3" borderId="28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0" fillId="8" borderId="15" xfId="0" applyFont="1" applyFill="1" applyBorder="1" applyAlignment="1">
      <alignment wrapText="1"/>
    </xf>
    <xf numFmtId="0" fontId="0" fillId="8" borderId="3" xfId="0" applyFont="1" applyFill="1" applyBorder="1" applyAlignment="1">
      <alignment wrapText="1"/>
    </xf>
    <xf numFmtId="0" fontId="4" fillId="3" borderId="28" xfId="0" applyFont="1" applyFill="1" applyBorder="1" applyAlignment="1">
      <alignment/>
    </xf>
    <xf numFmtId="0" fontId="7" fillId="3" borderId="23" xfId="0" applyFont="1" applyFill="1" applyBorder="1" applyAlignment="1">
      <alignment horizontal="left" wrapText="1"/>
    </xf>
    <xf numFmtId="3" fontId="7" fillId="3" borderId="23" xfId="0" applyNumberFormat="1" applyFont="1" applyFill="1" applyBorder="1" applyAlignment="1">
      <alignment wrapText="1"/>
    </xf>
    <xf numFmtId="3" fontId="7" fillId="3" borderId="24" xfId="0" applyNumberFormat="1" applyFont="1" applyFill="1" applyBorder="1" applyAlignment="1">
      <alignment wrapText="1"/>
    </xf>
    <xf numFmtId="0" fontId="5" fillId="4" borderId="3" xfId="0" applyFont="1" applyFill="1" applyBorder="1" applyAlignment="1">
      <alignment/>
    </xf>
    <xf numFmtId="3" fontId="5" fillId="4" borderId="3" xfId="0" applyNumberFormat="1" applyFont="1" applyFill="1" applyBorder="1" applyAlignment="1">
      <alignment wrapText="1"/>
    </xf>
    <xf numFmtId="0" fontId="0" fillId="3" borderId="28" xfId="0" applyFont="1" applyFill="1" applyBorder="1" applyAlignment="1">
      <alignment/>
    </xf>
    <xf numFmtId="0" fontId="5" fillId="4" borderId="28" xfId="0" applyFont="1" applyFill="1" applyBorder="1" applyAlignment="1">
      <alignment/>
    </xf>
    <xf numFmtId="0" fontId="0" fillId="3" borderId="52" xfId="0" applyFont="1" applyFill="1" applyBorder="1" applyAlignment="1">
      <alignment wrapText="1"/>
    </xf>
    <xf numFmtId="3" fontId="13" fillId="3" borderId="16" xfId="0" applyNumberFormat="1" applyFont="1" applyFill="1" applyBorder="1" applyAlignment="1">
      <alignment wrapText="1"/>
    </xf>
    <xf numFmtId="0" fontId="0" fillId="3" borderId="28" xfId="0" applyFont="1" applyFill="1" applyBorder="1" applyAlignment="1">
      <alignment wrapText="1"/>
    </xf>
    <xf numFmtId="3" fontId="16" fillId="3" borderId="2" xfId="0" applyNumberFormat="1" applyFont="1" applyFill="1" applyBorder="1" applyAlignment="1">
      <alignment wrapText="1"/>
    </xf>
    <xf numFmtId="0" fontId="4" fillId="3" borderId="147" xfId="0" applyFont="1" applyFill="1" applyBorder="1" applyAlignment="1">
      <alignment/>
    </xf>
    <xf numFmtId="3" fontId="5" fillId="4" borderId="43" xfId="0" applyNumberFormat="1" applyFont="1" applyFill="1" applyBorder="1" applyAlignment="1">
      <alignment wrapText="1"/>
    </xf>
    <xf numFmtId="3" fontId="5" fillId="4" borderId="81" xfId="0" applyNumberFormat="1" applyFont="1" applyFill="1" applyBorder="1" applyAlignment="1">
      <alignment wrapText="1"/>
    </xf>
    <xf numFmtId="0" fontId="5" fillId="4" borderId="81" xfId="0" applyFont="1" applyFill="1" applyBorder="1" applyAlignment="1">
      <alignment wrapText="1"/>
    </xf>
    <xf numFmtId="0" fontId="0" fillId="3" borderId="43" xfId="0" applyFont="1" applyFill="1" applyBorder="1" applyAlignment="1">
      <alignment/>
    </xf>
    <xf numFmtId="0" fontId="0" fillId="3" borderId="50" xfId="0" applyFont="1" applyFill="1" applyBorder="1" applyAlignment="1">
      <alignment wrapText="1"/>
    </xf>
    <xf numFmtId="0" fontId="5" fillId="4" borderId="15" xfId="0" applyFont="1" applyFill="1" applyBorder="1" applyAlignment="1">
      <alignment wrapText="1"/>
    </xf>
    <xf numFmtId="0" fontId="14" fillId="0" borderId="145" xfId="0" applyBorder="1" applyAlignment="1">
      <alignment horizontal="center" vertical="center"/>
    </xf>
    <xf numFmtId="0" fontId="17" fillId="0" borderId="145" xfId="0" applyFont="1" applyBorder="1" applyAlignment="1">
      <alignment horizontal="center"/>
    </xf>
    <xf numFmtId="0" fontId="4" fillId="3" borderId="146" xfId="0" applyFont="1" applyFill="1" applyBorder="1" applyAlignment="1">
      <alignment/>
    </xf>
    <xf numFmtId="0" fontId="4" fillId="5" borderId="37" xfId="0" applyFont="1" applyFill="1" applyBorder="1" applyAlignment="1">
      <alignment/>
    </xf>
    <xf numFmtId="0" fontId="5" fillId="4" borderId="148" xfId="0" applyFont="1" applyFill="1" applyBorder="1" applyAlignment="1">
      <alignment wrapText="1"/>
    </xf>
    <xf numFmtId="0" fontId="5" fillId="3" borderId="37" xfId="0" applyFont="1" applyFill="1" applyBorder="1" applyAlignment="1">
      <alignment wrapText="1"/>
    </xf>
    <xf numFmtId="0" fontId="0" fillId="3" borderId="146" xfId="0" applyFont="1" applyFill="1" applyBorder="1" applyAlignment="1">
      <alignment/>
    </xf>
    <xf numFmtId="0" fontId="0" fillId="3" borderId="37" xfId="0" applyFill="1" applyBorder="1" applyAlignment="1">
      <alignment/>
    </xf>
    <xf numFmtId="0" fontId="5" fillId="4" borderId="152" xfId="0" applyFont="1" applyFill="1" applyBorder="1" applyAlignment="1">
      <alignment wrapText="1"/>
    </xf>
    <xf numFmtId="0" fontId="0" fillId="5" borderId="153" xfId="0" applyFont="1" applyFill="1" applyBorder="1" applyAlignment="1">
      <alignment/>
    </xf>
    <xf numFmtId="3" fontId="4" fillId="3" borderId="154" xfId="0" applyNumberFormat="1" applyFont="1" applyFill="1" applyBorder="1" applyAlignment="1">
      <alignment wrapText="1"/>
    </xf>
    <xf numFmtId="3" fontId="4" fillId="5" borderId="154" xfId="0" applyNumberFormat="1" applyFont="1" applyFill="1" applyBorder="1" applyAlignment="1">
      <alignment/>
    </xf>
    <xf numFmtId="3" fontId="14" fillId="0" borderId="155" xfId="0" applyBorder="1" applyAlignment="1">
      <alignment horizontal="center" vertical="center" wrapText="1"/>
    </xf>
    <xf numFmtId="3" fontId="17" fillId="0" borderId="155" xfId="0" applyFont="1" applyBorder="1" applyAlignment="1">
      <alignment horizontal="center" vertical="center"/>
    </xf>
    <xf numFmtId="3" fontId="18" fillId="5" borderId="36" xfId="0" applyNumberFormat="1" applyFont="1" applyFill="1" applyBorder="1" applyAlignment="1">
      <alignment horizontal="right"/>
    </xf>
    <xf numFmtId="3" fontId="14" fillId="6" borderId="38" xfId="0" applyNumberFormat="1" applyFill="1" applyBorder="1" applyAlignment="1">
      <alignment horizontal="right"/>
    </xf>
    <xf numFmtId="3" fontId="19" fillId="6" borderId="19" xfId="0" applyNumberFormat="1" applyFill="1" applyBorder="1" applyAlignment="1">
      <alignment horizontal="center"/>
    </xf>
    <xf numFmtId="3" fontId="7" fillId="3" borderId="156" xfId="0" applyNumberFormat="1" applyFont="1" applyFill="1" applyBorder="1" applyAlignment="1">
      <alignment/>
    </xf>
    <xf numFmtId="3" fontId="7" fillId="3" borderId="157" xfId="0" applyNumberFormat="1" applyFont="1" applyFill="1" applyBorder="1" applyAlignment="1">
      <alignment wrapText="1"/>
    </xf>
    <xf numFmtId="3" fontId="5" fillId="4" borderId="158" xfId="0" applyNumberFormat="1" applyFont="1" applyFill="1" applyBorder="1" applyAlignment="1">
      <alignment wrapText="1"/>
    </xf>
    <xf numFmtId="3" fontId="0" fillId="5" borderId="159" xfId="0" applyNumberFormat="1" applyFont="1" applyFill="1" applyBorder="1" applyAlignment="1">
      <alignment wrapText="1"/>
    </xf>
    <xf numFmtId="3" fontId="4" fillId="5" borderId="158" xfId="0" applyNumberFormat="1" applyFont="1" applyFill="1" applyBorder="1" applyAlignment="1">
      <alignment wrapText="1"/>
    </xf>
    <xf numFmtId="3" fontId="0" fillId="8" borderId="159" xfId="0" applyNumberFormat="1" applyFont="1" applyFill="1" applyBorder="1" applyAlignment="1">
      <alignment/>
    </xf>
    <xf numFmtId="3" fontId="4" fillId="8" borderId="158" xfId="0" applyNumberFormat="1" applyFont="1" applyFill="1" applyBorder="1" applyAlignment="1">
      <alignment/>
    </xf>
    <xf numFmtId="3" fontId="7" fillId="8" borderId="157" xfId="0" applyNumberFormat="1" applyFont="1" applyFill="1" applyBorder="1" applyAlignment="1">
      <alignment/>
    </xf>
    <xf numFmtId="3" fontId="5" fillId="4" borderId="158" xfId="0" applyNumberFormat="1" applyFont="1" applyFill="1" applyBorder="1" applyAlignment="1">
      <alignment/>
    </xf>
    <xf numFmtId="3" fontId="0" fillId="5" borderId="159" xfId="0" applyNumberFormat="1" applyFont="1" applyFill="1" applyBorder="1" applyAlignment="1">
      <alignment/>
    </xf>
    <xf numFmtId="3" fontId="4" fillId="5" borderId="158" xfId="0" applyNumberFormat="1" applyFont="1" applyFill="1" applyBorder="1" applyAlignment="1">
      <alignment/>
    </xf>
    <xf numFmtId="3" fontId="5" fillId="4" borderId="160" xfId="0" applyNumberFormat="1" applyFont="1" applyFill="1" applyBorder="1" applyAlignment="1">
      <alignment wrapText="1"/>
    </xf>
    <xf numFmtId="3" fontId="4" fillId="5" borderId="161" xfId="0" applyNumberFormat="1" applyFont="1" applyFill="1" applyBorder="1" applyAlignment="1">
      <alignment/>
    </xf>
    <xf numFmtId="3" fontId="5" fillId="4" borderId="162" xfId="0" applyNumberFormat="1" applyFont="1" applyFill="1" applyBorder="1" applyAlignment="1">
      <alignment wrapText="1"/>
    </xf>
    <xf numFmtId="3" fontId="4" fillId="5" borderId="159" xfId="0" applyNumberFormat="1" applyFont="1" applyFill="1" applyBorder="1" applyAlignment="1">
      <alignment/>
    </xf>
    <xf numFmtId="3" fontId="0" fillId="5" borderId="162" xfId="0" applyNumberFormat="1" applyFont="1" applyFill="1" applyBorder="1" applyAlignment="1">
      <alignment/>
    </xf>
    <xf numFmtId="3" fontId="7" fillId="3" borderId="156" xfId="0" applyNumberFormat="1" applyFont="1" applyFill="1" applyBorder="1" applyAlignment="1">
      <alignment wrapText="1"/>
    </xf>
    <xf numFmtId="3" fontId="7" fillId="3" borderId="163" xfId="0" applyNumberFormat="1" applyFont="1" applyFill="1" applyBorder="1" applyAlignment="1">
      <alignment wrapText="1"/>
    </xf>
    <xf numFmtId="3" fontId="5" fillId="4" borderId="164" xfId="0" applyNumberFormat="1" applyFont="1" applyFill="1" applyBorder="1" applyAlignment="1">
      <alignment wrapText="1"/>
    </xf>
    <xf numFmtId="3" fontId="4" fillId="3" borderId="160" xfId="0" applyNumberFormat="1" applyFont="1" applyFill="1" applyBorder="1" applyAlignment="1">
      <alignment wrapText="1"/>
    </xf>
    <xf numFmtId="3" fontId="0" fillId="3" borderId="159" xfId="0" applyNumberFormat="1" applyFont="1" applyFill="1" applyBorder="1" applyAlignment="1">
      <alignment wrapText="1"/>
    </xf>
    <xf numFmtId="3" fontId="4" fillId="3" borderId="158" xfId="0" applyNumberFormat="1" applyFont="1" applyFill="1" applyBorder="1" applyAlignment="1">
      <alignment wrapText="1"/>
    </xf>
    <xf numFmtId="3" fontId="0" fillId="0" borderId="16" xfId="0" applyNumberFormat="1" applyFont="1" applyBorder="1" applyAlignment="1">
      <alignment/>
    </xf>
    <xf numFmtId="0" fontId="4" fillId="0" borderId="78" xfId="0" applyFont="1" applyBorder="1" applyAlignment="1">
      <alignment/>
    </xf>
    <xf numFmtId="3" fontId="4" fillId="0" borderId="78" xfId="0" applyNumberFormat="1" applyFont="1" applyBorder="1" applyAlignment="1">
      <alignment horizontal="right"/>
    </xf>
    <xf numFmtId="3" fontId="4" fillId="3" borderId="78" xfId="0" applyNumberFormat="1" applyFont="1" applyFill="1" applyBorder="1" applyAlignment="1">
      <alignment/>
    </xf>
    <xf numFmtId="3" fontId="0" fillId="0" borderId="78" xfId="0" applyNumberFormat="1" applyFont="1" applyBorder="1" applyAlignment="1">
      <alignment horizontal="right"/>
    </xf>
    <xf numFmtId="3" fontId="0" fillId="3" borderId="78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3" fontId="0" fillId="0" borderId="44" xfId="0" applyNumberFormat="1" applyFont="1" applyBorder="1" applyAlignment="1">
      <alignment horizontal="right"/>
    </xf>
    <xf numFmtId="3" fontId="0" fillId="3" borderId="44" xfId="0" applyNumberFormat="1" applyFont="1" applyFill="1" applyBorder="1" applyAlignment="1">
      <alignment/>
    </xf>
    <xf numFmtId="3" fontId="5" fillId="8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4" fillId="0" borderId="71" xfId="0" applyNumberFormat="1" applyFont="1" applyBorder="1" applyAlignment="1">
      <alignment horizontal="right"/>
    </xf>
    <xf numFmtId="3" fontId="0" fillId="3" borderId="2" xfId="0" applyNumberFormat="1" applyFont="1" applyFill="1" applyBorder="1" applyAlignment="1">
      <alignment/>
    </xf>
    <xf numFmtId="0" fontId="0" fillId="0" borderId="44" xfId="0" applyFont="1" applyBorder="1" applyAlignment="1">
      <alignment wrapText="1"/>
    </xf>
    <xf numFmtId="3" fontId="0" fillId="0" borderId="74" xfId="0" applyNumberFormat="1" applyFont="1" applyBorder="1" applyAlignment="1">
      <alignment horizontal="right"/>
    </xf>
    <xf numFmtId="3" fontId="0" fillId="3" borderId="74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 horizontal="left"/>
    </xf>
    <xf numFmtId="3" fontId="4" fillId="0" borderId="71" xfId="0" applyNumberFormat="1" applyFont="1" applyBorder="1" applyAlignment="1">
      <alignment horizontal="left"/>
    </xf>
    <xf numFmtId="0" fontId="0" fillId="0" borderId="165" xfId="0" applyFont="1" applyBorder="1" applyAlignment="1">
      <alignment/>
    </xf>
    <xf numFmtId="3" fontId="0" fillId="0" borderId="165" xfId="0" applyNumberFormat="1" applyFont="1" applyBorder="1" applyAlignment="1">
      <alignment horizontal="right"/>
    </xf>
    <xf numFmtId="3" fontId="0" fillId="3" borderId="165" xfId="0" applyNumberFormat="1" applyFont="1" applyFill="1" applyBorder="1" applyAlignment="1">
      <alignment/>
    </xf>
    <xf numFmtId="3" fontId="4" fillId="0" borderId="74" xfId="0" applyNumberFormat="1" applyFont="1" applyBorder="1" applyAlignment="1">
      <alignment horizontal="left"/>
    </xf>
    <xf numFmtId="3" fontId="4" fillId="0" borderId="74" xfId="0" applyNumberFormat="1" applyFont="1" applyBorder="1" applyAlignment="1">
      <alignment horizontal="right"/>
    </xf>
    <xf numFmtId="3" fontId="4" fillId="3" borderId="74" xfId="0" applyNumberFormat="1" applyFont="1" applyFill="1" applyBorder="1" applyAlignment="1">
      <alignment/>
    </xf>
    <xf numFmtId="0" fontId="0" fillId="0" borderId="102" xfId="0" applyFont="1" applyBorder="1" applyAlignment="1">
      <alignment/>
    </xf>
    <xf numFmtId="3" fontId="0" fillId="0" borderId="102" xfId="0" applyNumberFormat="1" applyFont="1" applyBorder="1" applyAlignment="1">
      <alignment horizontal="right"/>
    </xf>
    <xf numFmtId="3" fontId="0" fillId="3" borderId="102" xfId="0" applyNumberFormat="1" applyFont="1" applyFill="1" applyBorder="1" applyAlignment="1">
      <alignment/>
    </xf>
    <xf numFmtId="3" fontId="4" fillId="3" borderId="102" xfId="0" applyNumberFormat="1" applyFont="1" applyFill="1" applyBorder="1" applyAlignment="1">
      <alignment/>
    </xf>
    <xf numFmtId="3" fontId="5" fillId="9" borderId="43" xfId="0" applyNumberFormat="1" applyFont="1" applyFill="1" applyBorder="1" applyAlignment="1">
      <alignment horizontal="right"/>
    </xf>
    <xf numFmtId="3" fontId="4" fillId="3" borderId="74" xfId="0" applyNumberFormat="1" applyFont="1" applyFill="1" applyBorder="1" applyAlignment="1">
      <alignment horizontal="right"/>
    </xf>
    <xf numFmtId="3" fontId="0" fillId="3" borderId="44" xfId="0" applyNumberFormat="1" applyFont="1" applyFill="1" applyBorder="1" applyAlignment="1">
      <alignment horizontal="right"/>
    </xf>
    <xf numFmtId="3" fontId="0" fillId="3" borderId="165" xfId="0" applyNumberFormat="1" applyFont="1" applyFill="1" applyBorder="1" applyAlignment="1">
      <alignment horizontal="right"/>
    </xf>
    <xf numFmtId="0" fontId="0" fillId="2" borderId="44" xfId="0" applyFont="1" applyFill="1" applyBorder="1" applyAlignment="1">
      <alignment/>
    </xf>
    <xf numFmtId="3" fontId="0" fillId="9" borderId="2" xfId="0" applyNumberFormat="1" applyFont="1" applyFill="1" applyBorder="1" applyAlignment="1">
      <alignment horizontal="right"/>
    </xf>
    <xf numFmtId="0" fontId="0" fillId="0" borderId="166" xfId="0" applyFont="1" applyBorder="1" applyAlignment="1">
      <alignment/>
    </xf>
    <xf numFmtId="3" fontId="0" fillId="9" borderId="78" xfId="0" applyNumberFormat="1" applyFont="1" applyFill="1" applyBorder="1" applyAlignment="1">
      <alignment horizontal="right"/>
    </xf>
    <xf numFmtId="3" fontId="0" fillId="8" borderId="78" xfId="0" applyNumberFormat="1" applyFont="1" applyFill="1" applyBorder="1" applyAlignment="1">
      <alignment horizontal="right"/>
    </xf>
    <xf numFmtId="0" fontId="4" fillId="0" borderId="71" xfId="0" applyFont="1" applyBorder="1" applyAlignment="1">
      <alignment/>
    </xf>
    <xf numFmtId="0" fontId="4" fillId="3" borderId="154" xfId="0" applyFont="1" applyFill="1" applyBorder="1" applyAlignment="1">
      <alignment wrapText="1"/>
    </xf>
    <xf numFmtId="0" fontId="4" fillId="3" borderId="167" xfId="0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3" fontId="4" fillId="0" borderId="3" xfId="0" applyNumberFormat="1" applyFont="1" applyBorder="1" applyAlignment="1">
      <alignment wrapText="1"/>
    </xf>
    <xf numFmtId="0" fontId="0" fillId="0" borderId="46" xfId="0" applyFont="1" applyBorder="1" applyAlignment="1">
      <alignment horizontal="left" wrapText="1"/>
    </xf>
    <xf numFmtId="0" fontId="0" fillId="0" borderId="168" xfId="0" applyFont="1" applyBorder="1" applyAlignment="1">
      <alignment/>
    </xf>
    <xf numFmtId="3" fontId="12" fillId="0" borderId="47" xfId="0" applyNumberFormat="1" applyFont="1" applyBorder="1" applyAlignment="1">
      <alignment horizontal="center" wrapText="1"/>
    </xf>
    <xf numFmtId="3" fontId="28" fillId="0" borderId="47" xfId="0" applyNumberFormat="1" applyFont="1" applyBorder="1" applyAlignment="1">
      <alignment horizontal="right" wrapText="1"/>
    </xf>
    <xf numFmtId="3" fontId="10" fillId="0" borderId="43" xfId="0" applyNumberFormat="1" applyFont="1" applyBorder="1" applyAlignment="1">
      <alignment horizontal="right" wrapText="1"/>
    </xf>
    <xf numFmtId="3" fontId="4" fillId="0" borderId="46" xfId="0" applyNumberFormat="1" applyFont="1" applyBorder="1" applyAlignment="1">
      <alignment wrapText="1"/>
    </xf>
    <xf numFmtId="3" fontId="4" fillId="0" borderId="75" xfId="0" applyNumberFormat="1" applyFont="1" applyBorder="1" applyAlignment="1">
      <alignment wrapText="1"/>
    </xf>
    <xf numFmtId="3" fontId="31" fillId="7" borderId="15" xfId="0" applyNumberFormat="1" applyFont="1" applyFill="1" applyBorder="1" applyAlignment="1">
      <alignment horizontal="center" wrapText="1"/>
    </xf>
    <xf numFmtId="3" fontId="31" fillId="2" borderId="43" xfId="0" applyNumberFormat="1" applyFont="1" applyFill="1" applyBorder="1" applyAlignment="1">
      <alignment horizontal="center" wrapText="1"/>
    </xf>
    <xf numFmtId="3" fontId="5" fillId="2" borderId="43" xfId="0" applyNumberFormat="1" applyFont="1" applyFill="1" applyBorder="1" applyAlignment="1">
      <alignment horizontal="center" wrapText="1"/>
    </xf>
    <xf numFmtId="3" fontId="31" fillId="2" borderId="15" xfId="0" applyNumberFormat="1" applyFont="1" applyFill="1" applyBorder="1" applyAlignment="1">
      <alignment horizontal="center" wrapText="1"/>
    </xf>
    <xf numFmtId="3" fontId="5" fillId="2" borderId="15" xfId="0" applyNumberFormat="1" applyFont="1" applyFill="1" applyBorder="1" applyAlignment="1">
      <alignment horizontal="center" wrapText="1"/>
    </xf>
    <xf numFmtId="3" fontId="31" fillId="2" borderId="44" xfId="0" applyNumberFormat="1" applyFont="1" applyFill="1" applyBorder="1" applyAlignment="1">
      <alignment horizontal="center" wrapText="1"/>
    </xf>
    <xf numFmtId="3" fontId="5" fillId="2" borderId="44" xfId="0" applyNumberFormat="1" applyFont="1" applyFill="1" applyBorder="1" applyAlignment="1">
      <alignment horizontal="center" wrapText="1"/>
    </xf>
    <xf numFmtId="3" fontId="31" fillId="2" borderId="42" xfId="0" applyNumberFormat="1" applyFont="1" applyFill="1" applyBorder="1" applyAlignment="1">
      <alignment horizontal="center" wrapText="1"/>
    </xf>
    <xf numFmtId="3" fontId="5" fillId="2" borderId="42" xfId="0" applyNumberFormat="1" applyFont="1" applyFill="1" applyBorder="1" applyAlignment="1">
      <alignment horizontal="center" wrapText="1"/>
    </xf>
    <xf numFmtId="3" fontId="31" fillId="2" borderId="2" xfId="0" applyNumberFormat="1" applyFont="1" applyFill="1" applyBorder="1" applyAlignment="1">
      <alignment horizontal="center" wrapText="1"/>
    </xf>
    <xf numFmtId="3" fontId="5" fillId="2" borderId="2" xfId="0" applyNumberFormat="1" applyFont="1" applyFill="1" applyBorder="1" applyAlignment="1">
      <alignment horizontal="center" wrapText="1"/>
    </xf>
    <xf numFmtId="3" fontId="31" fillId="0" borderId="43" xfId="0" applyNumberFormat="1" applyFont="1" applyBorder="1" applyAlignment="1">
      <alignment horizontal="center" wrapText="1"/>
    </xf>
    <xf numFmtId="3" fontId="31" fillId="0" borderId="15" xfId="0" applyNumberFormat="1" applyFont="1" applyBorder="1" applyAlignment="1">
      <alignment horizontal="center" wrapText="1"/>
    </xf>
    <xf numFmtId="3" fontId="31" fillId="0" borderId="44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right" wrapText="1"/>
    </xf>
    <xf numFmtId="3" fontId="5" fillId="0" borderId="18" xfId="0" applyNumberFormat="1" applyFont="1" applyBorder="1" applyAlignment="1">
      <alignment horizontal="right" wrapText="1"/>
    </xf>
    <xf numFmtId="0" fontId="0" fillId="0" borderId="3" xfId="0" applyFont="1" applyBorder="1" applyAlignment="1">
      <alignment/>
    </xf>
    <xf numFmtId="3" fontId="31" fillId="7" borderId="73" xfId="0" applyNumberFormat="1" applyFont="1" applyFill="1" applyBorder="1" applyAlignment="1">
      <alignment horizontal="center" wrapText="1"/>
    </xf>
    <xf numFmtId="3" fontId="31" fillId="0" borderId="42" xfId="0" applyNumberFormat="1" applyFont="1" applyBorder="1" applyAlignment="1">
      <alignment horizontal="center" wrapText="1"/>
    </xf>
    <xf numFmtId="3" fontId="12" fillId="3" borderId="15" xfId="0" applyNumberFormat="1" applyFont="1" applyFill="1" applyBorder="1" applyAlignment="1">
      <alignment/>
    </xf>
    <xf numFmtId="0" fontId="4" fillId="0" borderId="74" xfId="0" applyFont="1" applyBorder="1" applyAlignment="1">
      <alignment/>
    </xf>
    <xf numFmtId="3" fontId="0" fillId="0" borderId="71" xfId="0" applyNumberFormat="1" applyFont="1" applyBorder="1" applyAlignment="1">
      <alignment wrapText="1"/>
    </xf>
    <xf numFmtId="3" fontId="4" fillId="0" borderId="85" xfId="0" applyNumberFormat="1" applyFont="1" applyBorder="1" applyAlignment="1">
      <alignment wrapText="1"/>
    </xf>
    <xf numFmtId="0" fontId="0" fillId="0" borderId="85" xfId="0" applyFont="1" applyBorder="1" applyAlignment="1">
      <alignment horizontal="left" wrapText="1"/>
    </xf>
    <xf numFmtId="3" fontId="5" fillId="0" borderId="87" xfId="0" applyNumberFormat="1" applyFont="1" applyBorder="1" applyAlignment="1">
      <alignment horizontal="right"/>
    </xf>
    <xf numFmtId="3" fontId="0" fillId="0" borderId="87" xfId="0" applyNumberFormat="1" applyFont="1" applyBorder="1" applyAlignment="1">
      <alignment horizontal="right"/>
    </xf>
    <xf numFmtId="0" fontId="4" fillId="2" borderId="76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right" wrapText="1"/>
    </xf>
    <xf numFmtId="3" fontId="7" fillId="3" borderId="103" xfId="0" applyNumberFormat="1" applyFont="1" applyFill="1" applyBorder="1" applyAlignment="1">
      <alignment/>
    </xf>
    <xf numFmtId="3" fontId="0" fillId="3" borderId="103" xfId="0" applyNumberFormat="1" applyFont="1" applyFill="1" applyBorder="1" applyAlignment="1">
      <alignment/>
    </xf>
    <xf numFmtId="3" fontId="7" fillId="3" borderId="88" xfId="0" applyNumberFormat="1" applyFont="1" applyFill="1" applyBorder="1" applyAlignment="1">
      <alignment/>
    </xf>
    <xf numFmtId="3" fontId="4" fillId="3" borderId="88" xfId="0" applyNumberFormat="1" applyFont="1" applyFill="1" applyBorder="1" applyAlignment="1">
      <alignment/>
    </xf>
    <xf numFmtId="3" fontId="5" fillId="7" borderId="73" xfId="0" applyNumberFormat="1" applyFont="1" applyFill="1" applyBorder="1" applyAlignment="1">
      <alignment/>
    </xf>
    <xf numFmtId="0" fontId="5" fillId="3" borderId="28" xfId="0" applyFont="1" applyFill="1" applyBorder="1" applyAlignment="1">
      <alignment/>
    </xf>
    <xf numFmtId="0" fontId="11" fillId="0" borderId="2" xfId="0" applyFont="1" applyBorder="1" applyAlignment="1">
      <alignment/>
    </xf>
    <xf numFmtId="0" fontId="0" fillId="0" borderId="165" xfId="0" applyFont="1" applyBorder="1" applyAlignment="1">
      <alignment wrapText="1"/>
    </xf>
    <xf numFmtId="3" fontId="4" fillId="3" borderId="165" xfId="0" applyNumberFormat="1" applyFont="1" applyFill="1" applyBorder="1" applyAlignment="1">
      <alignment/>
    </xf>
    <xf numFmtId="0" fontId="4" fillId="8" borderId="43" xfId="0" applyFont="1" applyFill="1" applyBorder="1" applyAlignment="1">
      <alignment/>
    </xf>
    <xf numFmtId="3" fontId="5" fillId="0" borderId="82" xfId="0" applyNumberFormat="1" applyFont="1" applyFill="1" applyBorder="1" applyAlignment="1">
      <alignment/>
    </xf>
    <xf numFmtId="3" fontId="5" fillId="0" borderId="169" xfId="0" applyNumberFormat="1" applyFont="1" applyFill="1" applyBorder="1" applyAlignment="1">
      <alignment/>
    </xf>
    <xf numFmtId="1" fontId="5" fillId="2" borderId="66" xfId="0" applyNumberFormat="1" applyFont="1" applyFill="1" applyBorder="1" applyAlignment="1">
      <alignment/>
    </xf>
    <xf numFmtId="1" fontId="4" fillId="0" borderId="43" xfId="0" applyNumberFormat="1" applyFont="1" applyBorder="1" applyAlignment="1">
      <alignment/>
    </xf>
    <xf numFmtId="3" fontId="0" fillId="0" borderId="3" xfId="0" applyNumberFormat="1" applyFont="1" applyBorder="1" applyAlignment="1">
      <alignment wrapText="1"/>
    </xf>
    <xf numFmtId="3" fontId="0" fillId="0" borderId="72" xfId="0" applyNumberFormat="1" applyFont="1" applyBorder="1" applyAlignment="1">
      <alignment wrapText="1"/>
    </xf>
    <xf numFmtId="3" fontId="5" fillId="0" borderId="66" xfId="0" applyNumberFormat="1" applyFont="1" applyBorder="1" applyAlignment="1">
      <alignment wrapText="1"/>
    </xf>
    <xf numFmtId="3" fontId="5" fillId="0" borderId="68" xfId="0" applyNumberFormat="1" applyFont="1" applyBorder="1" applyAlignment="1">
      <alignment wrapText="1"/>
    </xf>
    <xf numFmtId="3" fontId="5" fillId="0" borderId="170" xfId="0" applyNumberFormat="1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1" fontId="11" fillId="0" borderId="2" xfId="0" applyNumberFormat="1" applyFont="1" applyBorder="1" applyAlignment="1">
      <alignment/>
    </xf>
    <xf numFmtId="3" fontId="5" fillId="3" borderId="59" xfId="0" applyNumberFormat="1" applyFont="1" applyFill="1" applyBorder="1" applyAlignment="1">
      <alignment/>
    </xf>
    <xf numFmtId="3" fontId="10" fillId="3" borderId="2" xfId="0" applyNumberFormat="1" applyFont="1" applyFill="1" applyBorder="1" applyAlignment="1">
      <alignment/>
    </xf>
    <xf numFmtId="1" fontId="0" fillId="0" borderId="66" xfId="0" applyNumberFormat="1" applyFont="1" applyBorder="1" applyAlignment="1">
      <alignment/>
    </xf>
    <xf numFmtId="3" fontId="0" fillId="3" borderId="66" xfId="0" applyNumberFormat="1" applyFont="1" applyFill="1" applyBorder="1" applyAlignment="1">
      <alignment wrapText="1"/>
    </xf>
    <xf numFmtId="3" fontId="0" fillId="3" borderId="23" xfId="0" applyNumberFormat="1" applyFont="1" applyFill="1" applyBorder="1" applyAlignment="1">
      <alignment/>
    </xf>
    <xf numFmtId="3" fontId="0" fillId="3" borderId="70" xfId="0" applyNumberFormat="1" applyFont="1" applyFill="1" applyBorder="1" applyAlignment="1">
      <alignment/>
    </xf>
    <xf numFmtId="3" fontId="0" fillId="0" borderId="171" xfId="0" applyNumberFormat="1" applyFont="1" applyBorder="1" applyAlignment="1">
      <alignment wrapText="1"/>
    </xf>
    <xf numFmtId="3" fontId="0" fillId="3" borderId="23" xfId="0" applyNumberFormat="1" applyFont="1" applyFill="1" applyBorder="1" applyAlignment="1">
      <alignment wrapText="1"/>
    </xf>
    <xf numFmtId="3" fontId="5" fillId="3" borderId="45" xfId="0" applyNumberFormat="1" applyFont="1" applyFill="1" applyBorder="1" applyAlignment="1">
      <alignment/>
    </xf>
    <xf numFmtId="3" fontId="5" fillId="0" borderId="34" xfId="0" applyNumberFormat="1" applyFont="1" applyBorder="1" applyAlignment="1">
      <alignment wrapText="1"/>
    </xf>
    <xf numFmtId="3" fontId="5" fillId="3" borderId="7" xfId="0" applyNumberFormat="1" applyFont="1" applyFill="1" applyBorder="1" applyAlignment="1">
      <alignment/>
    </xf>
    <xf numFmtId="3" fontId="5" fillId="3" borderId="34" xfId="0" applyNumberFormat="1" applyFont="1" applyFill="1" applyBorder="1" applyAlignment="1">
      <alignment/>
    </xf>
    <xf numFmtId="3" fontId="10" fillId="3" borderId="18" xfId="0" applyNumberFormat="1" applyFont="1" applyFill="1" applyBorder="1" applyAlignment="1">
      <alignment/>
    </xf>
    <xf numFmtId="3" fontId="5" fillId="3" borderId="18" xfId="0" applyNumberFormat="1" applyFont="1" applyFill="1" applyBorder="1" applyAlignment="1">
      <alignment wrapText="1"/>
    </xf>
    <xf numFmtId="3" fontId="4" fillId="3" borderId="74" xfId="0" applyNumberFormat="1" applyFont="1" applyFill="1" applyBorder="1" applyAlignment="1">
      <alignment wrapText="1"/>
    </xf>
    <xf numFmtId="0" fontId="0" fillId="3" borderId="16" xfId="0" applyFont="1" applyFill="1" applyBorder="1" applyAlignment="1">
      <alignment horizontal="right"/>
    </xf>
    <xf numFmtId="3" fontId="5" fillId="2" borderId="47" xfId="0" applyNumberFormat="1" applyFont="1" applyFill="1" applyBorder="1" applyAlignment="1">
      <alignment horizontal="right" wrapText="1"/>
    </xf>
    <xf numFmtId="3" fontId="5" fillId="2" borderId="28" xfId="0" applyNumberFormat="1" applyFont="1" applyFill="1" applyBorder="1" applyAlignment="1">
      <alignment horizontal="right" wrapText="1"/>
    </xf>
    <xf numFmtId="3" fontId="4" fillId="2" borderId="74" xfId="0" applyNumberFormat="1" applyFont="1" applyFill="1" applyBorder="1" applyAlignment="1">
      <alignment horizontal="right" wrapText="1"/>
    </xf>
    <xf numFmtId="3" fontId="4" fillId="2" borderId="74" xfId="0" applyNumberFormat="1" applyFont="1" applyFill="1" applyBorder="1" applyAlignment="1">
      <alignment wrapText="1"/>
    </xf>
    <xf numFmtId="3" fontId="5" fillId="7" borderId="47" xfId="0" applyNumberFormat="1" applyFont="1" applyFill="1" applyBorder="1" applyAlignment="1">
      <alignment horizontal="right" wrapText="1"/>
    </xf>
    <xf numFmtId="3" fontId="5" fillId="2" borderId="3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/>
    </xf>
    <xf numFmtId="3" fontId="0" fillId="0" borderId="78" xfId="0" applyNumberFormat="1" applyFont="1" applyBorder="1" applyAlignment="1">
      <alignment/>
    </xf>
    <xf numFmtId="1" fontId="5" fillId="2" borderId="2" xfId="0" applyNumberFormat="1" applyFont="1" applyFill="1" applyBorder="1" applyAlignment="1">
      <alignment/>
    </xf>
    <xf numFmtId="1" fontId="4" fillId="2" borderId="16" xfId="0" applyNumberFormat="1" applyFont="1" applyFill="1" applyBorder="1" applyAlignment="1">
      <alignment/>
    </xf>
    <xf numFmtId="1" fontId="4" fillId="2" borderId="28" xfId="0" applyNumberFormat="1" applyFont="1" applyFill="1" applyBorder="1" applyAlignment="1">
      <alignment wrapText="1"/>
    </xf>
    <xf numFmtId="1" fontId="0" fillId="0" borderId="16" xfId="0" applyNumberFormat="1" applyFont="1" applyBorder="1" applyAlignment="1">
      <alignment/>
    </xf>
    <xf numFmtId="1" fontId="5" fillId="7" borderId="2" xfId="0" applyNumberFormat="1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right"/>
    </xf>
    <xf numFmtId="0" fontId="0" fillId="2" borderId="28" xfId="0" applyFont="1" applyFill="1" applyBorder="1" applyAlignment="1">
      <alignment/>
    </xf>
    <xf numFmtId="0" fontId="0" fillId="2" borderId="47" xfId="0" applyFont="1" applyFill="1" applyBorder="1" applyAlignment="1">
      <alignment/>
    </xf>
    <xf numFmtId="3" fontId="7" fillId="3" borderId="47" xfId="0" applyNumberFormat="1" applyFont="1" applyFill="1" applyBorder="1" applyAlignment="1">
      <alignment wrapText="1"/>
    </xf>
    <xf numFmtId="3" fontId="0" fillId="3" borderId="47" xfId="0" applyNumberFormat="1" applyFont="1" applyFill="1" applyBorder="1" applyAlignment="1">
      <alignment wrapText="1"/>
    </xf>
    <xf numFmtId="0" fontId="0" fillId="2" borderId="43" xfId="0" applyFont="1" applyFill="1" applyBorder="1" applyAlignment="1">
      <alignment/>
    </xf>
    <xf numFmtId="3" fontId="0" fillId="2" borderId="43" xfId="0" applyNumberFormat="1" applyFont="1" applyFill="1" applyBorder="1" applyAlignment="1">
      <alignment wrapText="1"/>
    </xf>
    <xf numFmtId="3" fontId="4" fillId="8" borderId="71" xfId="0" applyNumberFormat="1" applyFont="1" applyFill="1" applyBorder="1" applyAlignment="1">
      <alignment/>
    </xf>
    <xf numFmtId="3" fontId="4" fillId="8" borderId="102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0" fontId="5" fillId="9" borderId="70" xfId="0" applyFont="1" applyFill="1" applyBorder="1" applyAlignment="1">
      <alignment wrapText="1"/>
    </xf>
    <xf numFmtId="3" fontId="5" fillId="3" borderId="67" xfId="0" applyNumberFormat="1" applyFont="1" applyFill="1" applyBorder="1" applyAlignment="1">
      <alignment/>
    </xf>
    <xf numFmtId="3" fontId="5" fillId="3" borderId="171" xfId="0" applyNumberFormat="1" applyFont="1" applyFill="1" applyBorder="1" applyAlignment="1">
      <alignment/>
    </xf>
    <xf numFmtId="3" fontId="10" fillId="3" borderId="23" xfId="0" applyNumberFormat="1" applyFont="1" applyFill="1" applyBorder="1" applyAlignment="1">
      <alignment/>
    </xf>
    <xf numFmtId="0" fontId="4" fillId="3" borderId="85" xfId="0" applyFont="1" applyFill="1" applyBorder="1" applyAlignment="1">
      <alignment/>
    </xf>
    <xf numFmtId="3" fontId="4" fillId="0" borderId="85" xfId="0" applyNumberFormat="1" applyFont="1" applyFill="1" applyBorder="1" applyAlignment="1">
      <alignment horizontal="right"/>
    </xf>
    <xf numFmtId="3" fontId="7" fillId="3" borderId="85" xfId="0" applyNumberFormat="1" applyFont="1" applyFill="1" applyBorder="1" applyAlignment="1">
      <alignment/>
    </xf>
    <xf numFmtId="3" fontId="4" fillId="3" borderId="85" xfId="0" applyNumberFormat="1" applyFont="1" applyFill="1" applyBorder="1" applyAlignment="1">
      <alignment/>
    </xf>
    <xf numFmtId="0" fontId="30" fillId="0" borderId="88" xfId="0" applyFont="1" applyBorder="1" applyAlignment="1">
      <alignment horizontal="left" wrapText="1"/>
    </xf>
    <xf numFmtId="0" fontId="0" fillId="0" borderId="86" xfId="0" applyFont="1" applyBorder="1" applyAlignment="1">
      <alignment wrapText="1"/>
    </xf>
    <xf numFmtId="3" fontId="4" fillId="2" borderId="86" xfId="0" applyNumberFormat="1" applyFont="1" applyFill="1" applyBorder="1" applyAlignment="1">
      <alignment horizontal="right" wrapText="1"/>
    </xf>
    <xf numFmtId="3" fontId="0" fillId="2" borderId="86" xfId="0" applyNumberFormat="1" applyFont="1" applyFill="1" applyBorder="1" applyAlignment="1">
      <alignment horizontal="right" wrapText="1"/>
    </xf>
    <xf numFmtId="3" fontId="4" fillId="0" borderId="43" xfId="0" applyNumberFormat="1" applyFont="1" applyBorder="1" applyAlignment="1">
      <alignment horizontal="right" wrapText="1"/>
    </xf>
    <xf numFmtId="3" fontId="7" fillId="0" borderId="18" xfId="0" applyNumberFormat="1" applyFont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right"/>
    </xf>
    <xf numFmtId="3" fontId="0" fillId="0" borderId="85" xfId="0" applyNumberFormat="1" applyFon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3" fontId="4" fillId="0" borderId="71" xfId="0" applyNumberFormat="1" applyFont="1" applyBorder="1" applyAlignment="1">
      <alignment/>
    </xf>
    <xf numFmtId="0" fontId="4" fillId="0" borderId="88" xfId="0" applyFont="1" applyBorder="1" applyAlignment="1">
      <alignment/>
    </xf>
    <xf numFmtId="3" fontId="4" fillId="0" borderId="88" xfId="0" applyNumberFormat="1" applyFont="1" applyBorder="1" applyAlignment="1">
      <alignment horizontal="right"/>
    </xf>
    <xf numFmtId="0" fontId="4" fillId="0" borderId="85" xfId="0" applyFont="1" applyBorder="1" applyAlignment="1">
      <alignment/>
    </xf>
    <xf numFmtId="0" fontId="4" fillId="9" borderId="2" xfId="0" applyFont="1" applyFill="1" applyBorder="1" applyAlignment="1">
      <alignment/>
    </xf>
    <xf numFmtId="3" fontId="0" fillId="3" borderId="86" xfId="0" applyNumberFormat="1" applyFont="1" applyFill="1" applyBorder="1" applyAlignment="1">
      <alignment/>
    </xf>
    <xf numFmtId="3" fontId="4" fillId="3" borderId="88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3" fontId="0" fillId="3" borderId="75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0" fillId="2" borderId="43" xfId="0" applyNumberFormat="1" applyFont="1" applyFill="1" applyBorder="1" applyAlignment="1">
      <alignment/>
    </xf>
    <xf numFmtId="3" fontId="14" fillId="0" borderId="135" xfId="0" applyFont="1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7" fillId="0" borderId="0" xfId="0" applyNumberFormat="1" applyFont="1" applyAlignment="1">
      <alignment/>
    </xf>
    <xf numFmtId="0" fontId="0" fillId="0" borderId="0" xfId="0" applyAlignment="1">
      <alignment/>
    </xf>
    <xf numFmtId="0" fontId="5" fillId="3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top" wrapText="1"/>
    </xf>
    <xf numFmtId="3" fontId="5" fillId="2" borderId="17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2" borderId="173" xfId="0" applyFont="1" applyFill="1" applyBorder="1" applyAlignment="1">
      <alignment horizontal="center" vertical="center"/>
    </xf>
    <xf numFmtId="0" fontId="0" fillId="0" borderId="174" xfId="0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3" fontId="26" fillId="0" borderId="81" xfId="15" applyNumberFormat="1" applyFont="1" applyFill="1" applyBorder="1" applyAlignment="1">
      <alignment horizontal="center" wrapText="1"/>
    </xf>
    <xf numFmtId="0" fontId="0" fillId="0" borderId="91" xfId="0" applyBorder="1" applyAlignment="1">
      <alignment horizontal="center" wrapText="1"/>
    </xf>
    <xf numFmtId="3" fontId="17" fillId="0" borderId="81" xfId="15" applyNumberFormat="1" applyFont="1" applyFill="1" applyBorder="1" applyAlignment="1">
      <alignment horizontal="center" wrapText="1"/>
    </xf>
    <xf numFmtId="3" fontId="17" fillId="0" borderId="91" xfId="15" applyNumberFormat="1" applyFont="1" applyFill="1" applyBorder="1" applyAlignment="1">
      <alignment horizontal="center" wrapText="1"/>
    </xf>
    <xf numFmtId="3" fontId="17" fillId="0" borderId="11" xfId="15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332517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332517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678180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678180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678180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320</xdr:row>
      <xdr:rowOff>0</xdr:rowOff>
    </xdr:from>
    <xdr:to>
      <xdr:col>2</xdr:col>
      <xdr:colOff>0</xdr:colOff>
      <xdr:row>320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758856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320</xdr:row>
      <xdr:rowOff>0</xdr:rowOff>
    </xdr:from>
    <xdr:to>
      <xdr:col>2</xdr:col>
      <xdr:colOff>0</xdr:colOff>
      <xdr:row>320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758856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320</xdr:row>
      <xdr:rowOff>0</xdr:rowOff>
    </xdr:from>
    <xdr:to>
      <xdr:col>2</xdr:col>
      <xdr:colOff>0</xdr:colOff>
      <xdr:row>320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758856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332517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332517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678180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678180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678180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320</xdr:row>
      <xdr:rowOff>0</xdr:rowOff>
    </xdr:from>
    <xdr:to>
      <xdr:col>2</xdr:col>
      <xdr:colOff>0</xdr:colOff>
      <xdr:row>320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758856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320</xdr:row>
      <xdr:rowOff>0</xdr:rowOff>
    </xdr:from>
    <xdr:to>
      <xdr:col>2</xdr:col>
      <xdr:colOff>0</xdr:colOff>
      <xdr:row>320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758856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320</xdr:row>
      <xdr:rowOff>0</xdr:rowOff>
    </xdr:from>
    <xdr:to>
      <xdr:col>2</xdr:col>
      <xdr:colOff>0</xdr:colOff>
      <xdr:row>320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758856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332517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332517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49" name="Line 349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350" name="Line 350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290</xdr:row>
      <xdr:rowOff>0</xdr:rowOff>
    </xdr:from>
    <xdr:to>
      <xdr:col>2</xdr:col>
      <xdr:colOff>0</xdr:colOff>
      <xdr:row>290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100" y="685038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290</xdr:row>
      <xdr:rowOff>0</xdr:rowOff>
    </xdr:from>
    <xdr:to>
      <xdr:col>2</xdr:col>
      <xdr:colOff>0</xdr:colOff>
      <xdr:row>290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100" y="685038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290</xdr:row>
      <xdr:rowOff>0</xdr:rowOff>
    </xdr:from>
    <xdr:to>
      <xdr:col>2</xdr:col>
      <xdr:colOff>0</xdr:colOff>
      <xdr:row>290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100" y="685038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323</xdr:row>
      <xdr:rowOff>0</xdr:rowOff>
    </xdr:from>
    <xdr:to>
      <xdr:col>2</xdr:col>
      <xdr:colOff>0</xdr:colOff>
      <xdr:row>323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100" y="76571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323</xdr:row>
      <xdr:rowOff>0</xdr:rowOff>
    </xdr:from>
    <xdr:to>
      <xdr:col>2</xdr:col>
      <xdr:colOff>0</xdr:colOff>
      <xdr:row>323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00" y="76571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323</xdr:row>
      <xdr:rowOff>0</xdr:rowOff>
    </xdr:from>
    <xdr:to>
      <xdr:col>2</xdr:col>
      <xdr:colOff>0</xdr:colOff>
      <xdr:row>323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100" y="76571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100" y="332517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100" y="332517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290</xdr:row>
      <xdr:rowOff>0</xdr:rowOff>
    </xdr:from>
    <xdr:to>
      <xdr:col>2</xdr:col>
      <xdr:colOff>0</xdr:colOff>
      <xdr:row>290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100" y="685038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290</xdr:row>
      <xdr:rowOff>0</xdr:rowOff>
    </xdr:from>
    <xdr:to>
      <xdr:col>2</xdr:col>
      <xdr:colOff>0</xdr:colOff>
      <xdr:row>290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100" y="685038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290</xdr:row>
      <xdr:rowOff>0</xdr:rowOff>
    </xdr:from>
    <xdr:to>
      <xdr:col>2</xdr:col>
      <xdr:colOff>0</xdr:colOff>
      <xdr:row>290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100" y="685038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323</xdr:row>
      <xdr:rowOff>0</xdr:rowOff>
    </xdr:from>
    <xdr:to>
      <xdr:col>2</xdr:col>
      <xdr:colOff>0</xdr:colOff>
      <xdr:row>323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100" y="76571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323</xdr:row>
      <xdr:rowOff>0</xdr:rowOff>
    </xdr:from>
    <xdr:to>
      <xdr:col>2</xdr:col>
      <xdr:colOff>0</xdr:colOff>
      <xdr:row>323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100" y="76571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323</xdr:row>
      <xdr:rowOff>0</xdr:rowOff>
    </xdr:from>
    <xdr:to>
      <xdr:col>2</xdr:col>
      <xdr:colOff>0</xdr:colOff>
      <xdr:row>323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100" y="76571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64" name="Line 46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65" name="Line 46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66" name="Line 46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67" name="Line 46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68" name="Line 46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69" name="Line 46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70" name="Line 470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471" name="Line 471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72" name="Line 472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473" name="Line 473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474" name="Line 474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75" name="Line 475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476" name="Line 476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77" name="Line 477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478" name="Line 478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480" name="Line 480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484" name="Line 484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31" name="Line 531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536" name="Line 536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100" y="77943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100" y="78400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100" y="79419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61" name="Line 66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62" name="Line 66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65" name="Line 66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66" name="Line 66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67" name="Line 66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100" y="332517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100" y="332517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290</xdr:row>
      <xdr:rowOff>0</xdr:rowOff>
    </xdr:from>
    <xdr:to>
      <xdr:col>2</xdr:col>
      <xdr:colOff>0</xdr:colOff>
      <xdr:row>290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100" y="685038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290</xdr:row>
      <xdr:rowOff>0</xdr:rowOff>
    </xdr:from>
    <xdr:to>
      <xdr:col>2</xdr:col>
      <xdr:colOff>0</xdr:colOff>
      <xdr:row>290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100" y="685038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290</xdr:row>
      <xdr:rowOff>0</xdr:rowOff>
    </xdr:from>
    <xdr:to>
      <xdr:col>2</xdr:col>
      <xdr:colOff>0</xdr:colOff>
      <xdr:row>290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100" y="685038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323</xdr:row>
      <xdr:rowOff>0</xdr:rowOff>
    </xdr:from>
    <xdr:to>
      <xdr:col>2</xdr:col>
      <xdr:colOff>0</xdr:colOff>
      <xdr:row>323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100" y="76571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323</xdr:row>
      <xdr:rowOff>0</xdr:rowOff>
    </xdr:from>
    <xdr:to>
      <xdr:col>2</xdr:col>
      <xdr:colOff>0</xdr:colOff>
      <xdr:row>323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100" y="76571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323</xdr:row>
      <xdr:rowOff>0</xdr:rowOff>
    </xdr:from>
    <xdr:to>
      <xdr:col>2</xdr:col>
      <xdr:colOff>0</xdr:colOff>
      <xdr:row>323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100" y="76571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100" y="332517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100" y="332517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290</xdr:row>
      <xdr:rowOff>0</xdr:rowOff>
    </xdr:from>
    <xdr:to>
      <xdr:col>2</xdr:col>
      <xdr:colOff>0</xdr:colOff>
      <xdr:row>290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100" y="685038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290</xdr:row>
      <xdr:rowOff>0</xdr:rowOff>
    </xdr:from>
    <xdr:to>
      <xdr:col>2</xdr:col>
      <xdr:colOff>0</xdr:colOff>
      <xdr:row>290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100" y="685038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290</xdr:row>
      <xdr:rowOff>0</xdr:rowOff>
    </xdr:from>
    <xdr:to>
      <xdr:col>2</xdr:col>
      <xdr:colOff>0</xdr:colOff>
      <xdr:row>290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100" y="685038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323</xdr:row>
      <xdr:rowOff>0</xdr:rowOff>
    </xdr:from>
    <xdr:to>
      <xdr:col>2</xdr:col>
      <xdr:colOff>0</xdr:colOff>
      <xdr:row>323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100" y="76571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323</xdr:row>
      <xdr:rowOff>0</xdr:rowOff>
    </xdr:from>
    <xdr:to>
      <xdr:col>2</xdr:col>
      <xdr:colOff>0</xdr:colOff>
      <xdr:row>323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100" y="76571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323</xdr:row>
      <xdr:rowOff>0</xdr:rowOff>
    </xdr:from>
    <xdr:to>
      <xdr:col>2</xdr:col>
      <xdr:colOff>0</xdr:colOff>
      <xdr:row>323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100" y="76571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206</xdr:row>
      <xdr:rowOff>0</xdr:rowOff>
    </xdr:from>
    <xdr:to>
      <xdr:col>2</xdr:col>
      <xdr:colOff>0</xdr:colOff>
      <xdr:row>206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100" y="47863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221</xdr:row>
      <xdr:rowOff>0</xdr:rowOff>
    </xdr:from>
    <xdr:to>
      <xdr:col>2</xdr:col>
      <xdr:colOff>0</xdr:colOff>
      <xdr:row>221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100" y="51339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353</xdr:row>
      <xdr:rowOff>0</xdr:rowOff>
    </xdr:from>
    <xdr:to>
      <xdr:col>2</xdr:col>
      <xdr:colOff>0</xdr:colOff>
      <xdr:row>353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100" y="83639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358</xdr:row>
      <xdr:rowOff>0</xdr:rowOff>
    </xdr:from>
    <xdr:to>
      <xdr:col>2</xdr:col>
      <xdr:colOff>0</xdr:colOff>
      <xdr:row>358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100" y="84782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43" name="Line 943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100" y="88401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235</xdr:row>
      <xdr:rowOff>0</xdr:rowOff>
    </xdr:from>
    <xdr:to>
      <xdr:col>2</xdr:col>
      <xdr:colOff>0</xdr:colOff>
      <xdr:row>235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100" y="549021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24" name="Line 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25" name="Line 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26" name="Line 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27" name="Line 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28" name="Line 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29" name="Line 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30" name="Line 6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031" name="Line 7"/>
        <xdr:cNvSpPr>
          <a:spLocks/>
        </xdr:cNvSpPr>
      </xdr:nvSpPr>
      <xdr:spPr>
        <a:xfrm>
          <a:off x="38100" y="334803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032" name="Line 8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033" name="Line 9"/>
        <xdr:cNvSpPr>
          <a:spLocks/>
        </xdr:cNvSpPr>
      </xdr:nvSpPr>
      <xdr:spPr>
        <a:xfrm>
          <a:off x="38100" y="334803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034" name="Line 10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035" name="Line 11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036" name="Line 12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037" name="Line 13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038" name="Line 14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039" name="Line 15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040" name="Line 16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041" name="Line 17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42" name="Line 1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291</xdr:row>
      <xdr:rowOff>0</xdr:rowOff>
    </xdr:from>
    <xdr:to>
      <xdr:col>2</xdr:col>
      <xdr:colOff>0</xdr:colOff>
      <xdr:row>291</xdr:row>
      <xdr:rowOff>0</xdr:rowOff>
    </xdr:to>
    <xdr:sp>
      <xdr:nvSpPr>
        <xdr:cNvPr id="1045" name="Line 21"/>
        <xdr:cNvSpPr>
          <a:spLocks/>
        </xdr:cNvSpPr>
      </xdr:nvSpPr>
      <xdr:spPr>
        <a:xfrm>
          <a:off x="38100" y="687324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291</xdr:row>
      <xdr:rowOff>0</xdr:rowOff>
    </xdr:from>
    <xdr:to>
      <xdr:col>2</xdr:col>
      <xdr:colOff>0</xdr:colOff>
      <xdr:row>291</xdr:row>
      <xdr:rowOff>0</xdr:rowOff>
    </xdr:to>
    <xdr:sp>
      <xdr:nvSpPr>
        <xdr:cNvPr id="1046" name="Line 22"/>
        <xdr:cNvSpPr>
          <a:spLocks/>
        </xdr:cNvSpPr>
      </xdr:nvSpPr>
      <xdr:spPr>
        <a:xfrm>
          <a:off x="38100" y="687324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291</xdr:row>
      <xdr:rowOff>0</xdr:rowOff>
    </xdr:from>
    <xdr:to>
      <xdr:col>2</xdr:col>
      <xdr:colOff>0</xdr:colOff>
      <xdr:row>291</xdr:row>
      <xdr:rowOff>0</xdr:rowOff>
    </xdr:to>
    <xdr:sp>
      <xdr:nvSpPr>
        <xdr:cNvPr id="1047" name="Line 23"/>
        <xdr:cNvSpPr>
          <a:spLocks/>
        </xdr:cNvSpPr>
      </xdr:nvSpPr>
      <xdr:spPr>
        <a:xfrm>
          <a:off x="38100" y="687324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324</xdr:row>
      <xdr:rowOff>0</xdr:rowOff>
    </xdr:from>
    <xdr:to>
      <xdr:col>2</xdr:col>
      <xdr:colOff>0</xdr:colOff>
      <xdr:row>324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100" y="76800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324</xdr:row>
      <xdr:rowOff>0</xdr:rowOff>
    </xdr:from>
    <xdr:to>
      <xdr:col>2</xdr:col>
      <xdr:colOff>0</xdr:colOff>
      <xdr:row>324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100" y="76800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324</xdr:row>
      <xdr:rowOff>0</xdr:rowOff>
    </xdr:from>
    <xdr:to>
      <xdr:col>2</xdr:col>
      <xdr:colOff>0</xdr:colOff>
      <xdr:row>324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100" y="76800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100" y="334803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100" y="334803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057" name="Line 33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058" name="Line 34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059" name="Line 35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060" name="Line 36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061" name="Line 37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062" name="Line 38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63" name="Line 3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64" name="Line 4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65" name="Line 4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291</xdr:row>
      <xdr:rowOff>0</xdr:rowOff>
    </xdr:from>
    <xdr:to>
      <xdr:col>2</xdr:col>
      <xdr:colOff>0</xdr:colOff>
      <xdr:row>291</xdr:row>
      <xdr:rowOff>0</xdr:rowOff>
    </xdr:to>
    <xdr:sp>
      <xdr:nvSpPr>
        <xdr:cNvPr id="1066" name="Line 42"/>
        <xdr:cNvSpPr>
          <a:spLocks/>
        </xdr:cNvSpPr>
      </xdr:nvSpPr>
      <xdr:spPr>
        <a:xfrm>
          <a:off x="38100" y="687324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291</xdr:row>
      <xdr:rowOff>0</xdr:rowOff>
    </xdr:from>
    <xdr:to>
      <xdr:col>2</xdr:col>
      <xdr:colOff>0</xdr:colOff>
      <xdr:row>291</xdr:row>
      <xdr:rowOff>0</xdr:rowOff>
    </xdr:to>
    <xdr:sp>
      <xdr:nvSpPr>
        <xdr:cNvPr id="1067" name="Line 43"/>
        <xdr:cNvSpPr>
          <a:spLocks/>
        </xdr:cNvSpPr>
      </xdr:nvSpPr>
      <xdr:spPr>
        <a:xfrm>
          <a:off x="38100" y="687324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291</xdr:row>
      <xdr:rowOff>0</xdr:rowOff>
    </xdr:from>
    <xdr:to>
      <xdr:col>2</xdr:col>
      <xdr:colOff>0</xdr:colOff>
      <xdr:row>291</xdr:row>
      <xdr:rowOff>0</xdr:rowOff>
    </xdr:to>
    <xdr:sp>
      <xdr:nvSpPr>
        <xdr:cNvPr id="1068" name="Line 44"/>
        <xdr:cNvSpPr>
          <a:spLocks/>
        </xdr:cNvSpPr>
      </xdr:nvSpPr>
      <xdr:spPr>
        <a:xfrm>
          <a:off x="38100" y="687324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324</xdr:row>
      <xdr:rowOff>0</xdr:rowOff>
    </xdr:from>
    <xdr:to>
      <xdr:col>2</xdr:col>
      <xdr:colOff>0</xdr:colOff>
      <xdr:row>324</xdr:row>
      <xdr:rowOff>0</xdr:rowOff>
    </xdr:to>
    <xdr:sp>
      <xdr:nvSpPr>
        <xdr:cNvPr id="1069" name="Line 45"/>
        <xdr:cNvSpPr>
          <a:spLocks/>
        </xdr:cNvSpPr>
      </xdr:nvSpPr>
      <xdr:spPr>
        <a:xfrm>
          <a:off x="38100" y="76800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324</xdr:row>
      <xdr:rowOff>0</xdr:rowOff>
    </xdr:from>
    <xdr:to>
      <xdr:col>2</xdr:col>
      <xdr:colOff>0</xdr:colOff>
      <xdr:row>324</xdr:row>
      <xdr:rowOff>0</xdr:rowOff>
    </xdr:to>
    <xdr:sp>
      <xdr:nvSpPr>
        <xdr:cNvPr id="1070" name="Line 46"/>
        <xdr:cNvSpPr>
          <a:spLocks/>
        </xdr:cNvSpPr>
      </xdr:nvSpPr>
      <xdr:spPr>
        <a:xfrm>
          <a:off x="38100" y="76800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324</xdr:row>
      <xdr:rowOff>0</xdr:rowOff>
    </xdr:from>
    <xdr:to>
      <xdr:col>2</xdr:col>
      <xdr:colOff>0</xdr:colOff>
      <xdr:row>324</xdr:row>
      <xdr:rowOff>0</xdr:rowOff>
    </xdr:to>
    <xdr:sp>
      <xdr:nvSpPr>
        <xdr:cNvPr id="1071" name="Line 47"/>
        <xdr:cNvSpPr>
          <a:spLocks/>
        </xdr:cNvSpPr>
      </xdr:nvSpPr>
      <xdr:spPr>
        <a:xfrm>
          <a:off x="38100" y="768000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72" name="Line 48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073" name="Line 49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074" name="Line 50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075" name="Line 51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076" name="Line 52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077" name="Line 53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078" name="Line 54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086" name="Line 62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87" name="Line 6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90" name="Line 6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91" name="Line 6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096" name="Line 72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120" name="Line 96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100" y="15401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207</xdr:row>
      <xdr:rowOff>0</xdr:rowOff>
    </xdr:from>
    <xdr:to>
      <xdr:col>2</xdr:col>
      <xdr:colOff>0</xdr:colOff>
      <xdr:row>207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100" y="481012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222</xdr:row>
      <xdr:rowOff>0</xdr:rowOff>
    </xdr:from>
    <xdr:to>
      <xdr:col>2</xdr:col>
      <xdr:colOff>0</xdr:colOff>
      <xdr:row>222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100" y="515683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205" name="Line 181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06" name="Line 18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07" name="Line 18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08" name="Line 184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09" name="Line 185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210" name="Line 186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263" name="Line 239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2</xdr:col>
      <xdr:colOff>0</xdr:colOff>
      <xdr:row>78</xdr:row>
      <xdr:rowOff>0</xdr:rowOff>
    </xdr:to>
    <xdr:sp>
      <xdr:nvSpPr>
        <xdr:cNvPr id="1264" name="Line 240"/>
        <xdr:cNvSpPr>
          <a:spLocks/>
        </xdr:cNvSpPr>
      </xdr:nvSpPr>
      <xdr:spPr>
        <a:xfrm>
          <a:off x="38100" y="17764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67" name="Line 243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268" name="Line 244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355</xdr:row>
      <xdr:rowOff>0</xdr:rowOff>
    </xdr:from>
    <xdr:to>
      <xdr:col>2</xdr:col>
      <xdr:colOff>0</xdr:colOff>
      <xdr:row>355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100" y="840962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273" name="Line 249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361</xdr:row>
      <xdr:rowOff>0</xdr:rowOff>
    </xdr:from>
    <xdr:to>
      <xdr:col>2</xdr:col>
      <xdr:colOff>0</xdr:colOff>
      <xdr:row>361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100" y="854678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376</xdr:row>
      <xdr:rowOff>0</xdr:rowOff>
    </xdr:from>
    <xdr:to>
      <xdr:col>2</xdr:col>
      <xdr:colOff>0</xdr:colOff>
      <xdr:row>376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100" y="890873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100" y="54673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100" y="337089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100" y="337089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100" y="49053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8100" y="49053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8100" y="49053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387" name="Line 36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293</xdr:row>
      <xdr:rowOff>0</xdr:rowOff>
    </xdr:from>
    <xdr:to>
      <xdr:col>2</xdr:col>
      <xdr:colOff>0</xdr:colOff>
      <xdr:row>293</xdr:row>
      <xdr:rowOff>0</xdr:rowOff>
    </xdr:to>
    <xdr:sp>
      <xdr:nvSpPr>
        <xdr:cNvPr id="1388" name="Line 364"/>
        <xdr:cNvSpPr>
          <a:spLocks/>
        </xdr:cNvSpPr>
      </xdr:nvSpPr>
      <xdr:spPr>
        <a:xfrm>
          <a:off x="38100" y="691896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293</xdr:row>
      <xdr:rowOff>0</xdr:rowOff>
    </xdr:from>
    <xdr:to>
      <xdr:col>2</xdr:col>
      <xdr:colOff>0</xdr:colOff>
      <xdr:row>293</xdr:row>
      <xdr:rowOff>0</xdr:rowOff>
    </xdr:to>
    <xdr:sp>
      <xdr:nvSpPr>
        <xdr:cNvPr id="1389" name="Line 365"/>
        <xdr:cNvSpPr>
          <a:spLocks/>
        </xdr:cNvSpPr>
      </xdr:nvSpPr>
      <xdr:spPr>
        <a:xfrm>
          <a:off x="38100" y="691896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293</xdr:row>
      <xdr:rowOff>0</xdr:rowOff>
    </xdr:from>
    <xdr:to>
      <xdr:col>2</xdr:col>
      <xdr:colOff>0</xdr:colOff>
      <xdr:row>293</xdr:row>
      <xdr:rowOff>0</xdr:rowOff>
    </xdr:to>
    <xdr:sp>
      <xdr:nvSpPr>
        <xdr:cNvPr id="1390" name="Line 366"/>
        <xdr:cNvSpPr>
          <a:spLocks/>
        </xdr:cNvSpPr>
      </xdr:nvSpPr>
      <xdr:spPr>
        <a:xfrm>
          <a:off x="38100" y="691896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326</xdr:row>
      <xdr:rowOff>0</xdr:rowOff>
    </xdr:from>
    <xdr:to>
      <xdr:col>2</xdr:col>
      <xdr:colOff>0</xdr:colOff>
      <xdr:row>326</xdr:row>
      <xdr:rowOff>0</xdr:rowOff>
    </xdr:to>
    <xdr:sp>
      <xdr:nvSpPr>
        <xdr:cNvPr id="1391" name="Line 367"/>
        <xdr:cNvSpPr>
          <a:spLocks/>
        </xdr:cNvSpPr>
      </xdr:nvSpPr>
      <xdr:spPr>
        <a:xfrm>
          <a:off x="38100" y="77257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326</xdr:row>
      <xdr:rowOff>0</xdr:rowOff>
    </xdr:from>
    <xdr:to>
      <xdr:col>2</xdr:col>
      <xdr:colOff>0</xdr:colOff>
      <xdr:row>326</xdr:row>
      <xdr:rowOff>0</xdr:rowOff>
    </xdr:to>
    <xdr:sp>
      <xdr:nvSpPr>
        <xdr:cNvPr id="1392" name="Line 368"/>
        <xdr:cNvSpPr>
          <a:spLocks/>
        </xdr:cNvSpPr>
      </xdr:nvSpPr>
      <xdr:spPr>
        <a:xfrm>
          <a:off x="38100" y="77257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326</xdr:row>
      <xdr:rowOff>0</xdr:rowOff>
    </xdr:from>
    <xdr:to>
      <xdr:col>2</xdr:col>
      <xdr:colOff>0</xdr:colOff>
      <xdr:row>326</xdr:row>
      <xdr:rowOff>0</xdr:rowOff>
    </xdr:to>
    <xdr:sp>
      <xdr:nvSpPr>
        <xdr:cNvPr id="1393" name="Line 369"/>
        <xdr:cNvSpPr>
          <a:spLocks/>
        </xdr:cNvSpPr>
      </xdr:nvSpPr>
      <xdr:spPr>
        <a:xfrm>
          <a:off x="38100" y="77257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94" name="Line 370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395" name="Line 371"/>
        <xdr:cNvSpPr>
          <a:spLocks/>
        </xdr:cNvSpPr>
      </xdr:nvSpPr>
      <xdr:spPr>
        <a:xfrm>
          <a:off x="38100" y="337089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96" name="Line 372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397" name="Line 373"/>
        <xdr:cNvSpPr>
          <a:spLocks/>
        </xdr:cNvSpPr>
      </xdr:nvSpPr>
      <xdr:spPr>
        <a:xfrm>
          <a:off x="38100" y="337089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398" name="Line 374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99" name="Line 375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100" y="49053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402" name="Line 378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1403" name="Line 379"/>
        <xdr:cNvSpPr>
          <a:spLocks/>
        </xdr:cNvSpPr>
      </xdr:nvSpPr>
      <xdr:spPr>
        <a:xfrm>
          <a:off x="38100" y="405574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1404" name="Line 380"/>
        <xdr:cNvSpPr>
          <a:spLocks/>
        </xdr:cNvSpPr>
      </xdr:nvSpPr>
      <xdr:spPr>
        <a:xfrm>
          <a:off x="38100" y="49053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211</xdr:row>
      <xdr:rowOff>0</xdr:rowOff>
    </xdr:from>
    <xdr:to>
      <xdr:col>2</xdr:col>
      <xdr:colOff>0</xdr:colOff>
      <xdr:row>211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100" y="490537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293</xdr:row>
      <xdr:rowOff>0</xdr:rowOff>
    </xdr:from>
    <xdr:to>
      <xdr:col>2</xdr:col>
      <xdr:colOff>0</xdr:colOff>
      <xdr:row>293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100" y="691896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293</xdr:row>
      <xdr:rowOff>0</xdr:rowOff>
    </xdr:from>
    <xdr:to>
      <xdr:col>2</xdr:col>
      <xdr:colOff>0</xdr:colOff>
      <xdr:row>293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100" y="691896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293</xdr:row>
      <xdr:rowOff>0</xdr:rowOff>
    </xdr:from>
    <xdr:to>
      <xdr:col>2</xdr:col>
      <xdr:colOff>0</xdr:colOff>
      <xdr:row>293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100" y="691896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326</xdr:row>
      <xdr:rowOff>0</xdr:rowOff>
    </xdr:from>
    <xdr:to>
      <xdr:col>2</xdr:col>
      <xdr:colOff>0</xdr:colOff>
      <xdr:row>326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100" y="77257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326</xdr:row>
      <xdr:rowOff>0</xdr:rowOff>
    </xdr:from>
    <xdr:to>
      <xdr:col>2</xdr:col>
      <xdr:colOff>0</xdr:colOff>
      <xdr:row>326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100" y="77257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326</xdr:row>
      <xdr:rowOff>0</xdr:rowOff>
    </xdr:from>
    <xdr:to>
      <xdr:col>2</xdr:col>
      <xdr:colOff>0</xdr:colOff>
      <xdr:row>326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100" y="772572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54" name="Line 43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100" y="10725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100" y="6838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70</xdr:row>
      <xdr:rowOff>0</xdr:rowOff>
    </xdr:from>
    <xdr:to>
      <xdr:col>2</xdr:col>
      <xdr:colOff>0</xdr:colOff>
      <xdr:row>70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100" y="156305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100" y="48577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100" y="179927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100" y="179927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100" y="179927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100" y="179927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8100" y="179927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100" y="179927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8100" y="179927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100" y="179927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100" y="714375"/>
          <a:ext cx="33337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100" y="179927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100" y="179927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100" y="72961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357</xdr:row>
      <xdr:rowOff>0</xdr:rowOff>
    </xdr:from>
    <xdr:to>
      <xdr:col>2</xdr:col>
      <xdr:colOff>0</xdr:colOff>
      <xdr:row>357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100" y="845534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363</xdr:row>
      <xdr:rowOff>0</xdr:rowOff>
    </xdr:from>
    <xdr:to>
      <xdr:col>2</xdr:col>
      <xdr:colOff>0</xdr:colOff>
      <xdr:row>363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100" y="859250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377</xdr:row>
      <xdr:rowOff>0</xdr:rowOff>
    </xdr:from>
    <xdr:to>
      <xdr:col>2</xdr:col>
      <xdr:colOff>0</xdr:colOff>
      <xdr:row>377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100" y="893159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100" y="551307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0</xdr:colOff>
      <xdr:row>237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100" y="553593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239</xdr:row>
      <xdr:rowOff>0</xdr:rowOff>
    </xdr:from>
    <xdr:to>
      <xdr:col>2</xdr:col>
      <xdr:colOff>0</xdr:colOff>
      <xdr:row>239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100" y="5581650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223</xdr:row>
      <xdr:rowOff>0</xdr:rowOff>
    </xdr:from>
    <xdr:to>
      <xdr:col>2</xdr:col>
      <xdr:colOff>0</xdr:colOff>
      <xdr:row>223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100" y="51796950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16" name="Line 728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17" name="Line 729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18" name="Line 730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19" name="Line 731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20" name="Line 732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21" name="Line 733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22" name="Line 734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23" name="Line 735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24" name="Line 736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25" name="Line 737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26" name="Line 738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27" name="Line 739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28" name="Line 740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29" name="Line 741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30" name="Line 742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31" name="Line 743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32" name="Line 744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33" name="Line 745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34" name="Line 746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35" name="Line 747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36" name="Line 748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37" name="Line 749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38" name="Line 750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39" name="Line 751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40" name="Line 752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41" name="Line 753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42" name="Line 754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43" name="Line 755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44" name="Line 756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45" name="Line 757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46" name="Line 758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47" name="Line 759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48" name="Line 760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49" name="Line 761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50" name="Line 762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51" name="Line 763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52" name="Line 764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53" name="Line 765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54" name="Line 766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55" name="Line 767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56" name="Line 768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57" name="Line 769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58" name="Line 770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59" name="Line 771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60" name="Line 772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61" name="Line 773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62" name="Line 774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63" name="Line 775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64" name="Line 776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65" name="Line 777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66" name="Line 778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67" name="Line 779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68" name="Line 780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69" name="Line 781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70" name="Line 782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71" name="Line 783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72" name="Line 784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73" name="Line 785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74" name="Line 786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75" name="Line 787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76" name="Line 788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77" name="Line 789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78" name="Line 790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79" name="Line 791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80" name="Line 792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81" name="Line 793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82" name="Line 794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83" name="Line 795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84" name="Line 796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85" name="Line 797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86" name="Line 798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87" name="Line 799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88" name="Line 800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89" name="Line 801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90" name="Line 802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91" name="Line 803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92" name="Line 804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93" name="Line 805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94" name="Line 806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95" name="Line 807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96" name="Line 808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97" name="Line 809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98" name="Line 810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799" name="Line 811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800" name="Line 812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801" name="Line 813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802" name="Line 814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803" name="Line 815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804" name="Line 816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108</xdr:row>
      <xdr:rowOff>0</xdr:rowOff>
    </xdr:from>
    <xdr:to>
      <xdr:col>2</xdr:col>
      <xdr:colOff>0</xdr:colOff>
      <xdr:row>108</xdr:row>
      <xdr:rowOff>0</xdr:rowOff>
    </xdr:to>
    <xdr:sp>
      <xdr:nvSpPr>
        <xdr:cNvPr id="1805" name="Line 817"/>
        <xdr:cNvSpPr>
          <a:spLocks/>
        </xdr:cNvSpPr>
      </xdr:nvSpPr>
      <xdr:spPr>
        <a:xfrm>
          <a:off x="38100" y="2462212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Rysowanie 11"/>
        <xdr:cNvSpPr>
          <a:spLocks/>
        </xdr:cNvSpPr>
      </xdr:nvSpPr>
      <xdr:spPr>
        <a:xfrm>
          <a:off x="1104900" y="22764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" name="AutoShape 4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" name="AutoShape 5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" name="AutoShape 7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" name="AutoShape 8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" name="AutoShape 9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" name="AutoShape 11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" name="AutoShape 12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" name="AutoShape 13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4" name="AutoShape 15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5" name="AutoShape 16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6" name="AutoShape 17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8" name="AutoShape 19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9" name="AutoShape 20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0" name="AutoShape 21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2" name="AutoShape 23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3" name="AutoShape 24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4" name="AutoShape 25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6" name="AutoShape 27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7" name="AutoShape 28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28" name="AutoShape 29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0" name="AutoShape 31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1" name="AutoShape 32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2" name="AutoShape 33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4" name="AutoShape 35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5" name="AutoShape 36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6" name="AutoShape 37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8" name="AutoShape 39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39" name="AutoShape 40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0" name="AutoShape 41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2" name="AutoShape 43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3" name="AutoShape 44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4" name="AutoShape 45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6" name="AutoShape 47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7" name="AutoShape 48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48" name="AutoShape 49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0" name="AutoShape 51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1" name="AutoShape 52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2" name="AutoShape 53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4" name="AutoShape 55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5" name="AutoShape 56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6" name="AutoShape 57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8" name="AutoShape 59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59" name="AutoShape 60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0" name="AutoShape 61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2" name="AutoShape 63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3" name="AutoShape 64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4" name="AutoShape 65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5" name="AutoShape 66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6" name="AutoShape 67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7" name="AutoShape 68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68" name="AutoShape 69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9" name="AutoShape 70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0" name="AutoShape 71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1" name="AutoShape 72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2" name="AutoShape 73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3" name="AutoShape 74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4" name="AutoShape 75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5" name="AutoShape 76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6" name="AutoShape 77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7" name="AutoShape 78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8" name="AutoShape 79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79" name="AutoShape 80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0" name="AutoShape 81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1" name="AutoShape 82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2" name="AutoShape 83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3" name="AutoShape 84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4" name="AutoShape 85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5" name="AutoShape 86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6" name="AutoShape 87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7" name="AutoShape 88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88" name="AutoShape 89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9" name="AutoShape 90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0" name="AutoShape 91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1" name="AutoShape 92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2" name="AutoShape 93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3" name="AutoShape 94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4" name="AutoShape 95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5" name="AutoShape 96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6" name="AutoShape 97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7" name="AutoShape 98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8" name="AutoShape 99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99" name="AutoShape 100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0" name="AutoShape 101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1" name="AutoShape 102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2" name="AutoShape 103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3" name="AutoShape 104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4" name="AutoShape 105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5" name="AutoShape 106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6" name="AutoShape 107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7" name="AutoShape 108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08" name="AutoShape 109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9" name="AutoShape 110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0" name="AutoShape 111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1" name="AutoShape 112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2" name="AutoShape 113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3" name="AutoShape 114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4" name="AutoShape 115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5" name="AutoShape 116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6" name="AutoShape 117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7" name="AutoShape 118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8" name="AutoShape 119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19" name="AutoShape 120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0" name="AutoShape 121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1" name="AutoShape 122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2" name="AutoShape 123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3" name="AutoShape 124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219075</xdr:rowOff>
    </xdr:from>
    <xdr:to>
      <xdr:col>1</xdr:col>
      <xdr:colOff>447675</xdr:colOff>
      <xdr:row>11</xdr:row>
      <xdr:rowOff>219075</xdr:rowOff>
    </xdr:to>
    <xdr:sp>
      <xdr:nvSpPr>
        <xdr:cNvPr id="124" name="AutoShape 125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5" name="AutoShape 126"/>
        <xdr:cNvSpPr>
          <a:spLocks/>
        </xdr:cNvSpPr>
      </xdr:nvSpPr>
      <xdr:spPr>
        <a:xfrm>
          <a:off x="933450" y="24955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98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26" name="Rysowanie 11"/>
        <xdr:cNvSpPr>
          <a:spLocks/>
        </xdr:cNvSpPr>
      </xdr:nvSpPr>
      <xdr:spPr>
        <a:xfrm>
          <a:off x="1104900" y="24955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27" name="Rysowanie 11"/>
        <xdr:cNvSpPr>
          <a:spLocks/>
        </xdr:cNvSpPr>
      </xdr:nvSpPr>
      <xdr:spPr>
        <a:xfrm>
          <a:off x="1104900" y="24955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28" name="Rysowanie 11"/>
        <xdr:cNvSpPr>
          <a:spLocks/>
        </xdr:cNvSpPr>
      </xdr:nvSpPr>
      <xdr:spPr>
        <a:xfrm>
          <a:off x="1104900" y="24955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N77"/>
  <sheetViews>
    <sheetView tabSelected="1" zoomScale="80" zoomScaleNormal="80" zoomScaleSheetLayoutView="75" workbookViewId="0" topLeftCell="A61">
      <selection activeCell="C76" sqref="C76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41.875" style="82" customWidth="1"/>
    <col min="4" max="4" width="17.75390625" style="0" customWidth="1"/>
    <col min="5" max="8" width="12.75390625" style="0" customWidth="1"/>
    <col min="9" max="9" width="16.125" style="0" customWidth="1"/>
    <col min="10" max="12" width="12.75390625" style="0" customWidth="1"/>
    <col min="13" max="13" width="11.625" style="0" customWidth="1"/>
    <col min="14" max="14" width="12.75390625" style="0" customWidth="1"/>
  </cols>
  <sheetData>
    <row r="1" spans="3:10" s="1" customFormat="1" ht="15.75" customHeight="1">
      <c r="C1" s="56"/>
      <c r="J1" s="57" t="s">
        <v>873</v>
      </c>
    </row>
    <row r="2" spans="3:10" s="1" customFormat="1" ht="15.75" customHeight="1">
      <c r="C2" s="56"/>
      <c r="J2" s="1" t="s">
        <v>658</v>
      </c>
    </row>
    <row r="3" spans="3:10" s="1" customFormat="1" ht="15.75" customHeight="1">
      <c r="C3" s="101" t="s">
        <v>861</v>
      </c>
      <c r="J3" s="1" t="s">
        <v>817</v>
      </c>
    </row>
    <row r="4" spans="3:10" s="1" customFormat="1" ht="15.75" customHeight="1">
      <c r="C4" s="56"/>
      <c r="J4" s="1" t="s">
        <v>371</v>
      </c>
    </row>
    <row r="5" spans="2:12" s="1" customFormat="1" ht="14.25" customHeight="1" thickBot="1">
      <c r="B5" s="17"/>
      <c r="C5" s="56"/>
      <c r="K5" s="51"/>
      <c r="L5" s="58" t="s">
        <v>819</v>
      </c>
    </row>
    <row r="6" spans="1:12" s="1" customFormat="1" ht="42" customHeight="1" thickBot="1" thickTop="1">
      <c r="A6" s="59"/>
      <c r="B6" s="59"/>
      <c r="C6" s="60"/>
      <c r="D6" s="1433" t="s">
        <v>874</v>
      </c>
      <c r="E6" s="61" t="s">
        <v>826</v>
      </c>
      <c r="F6" s="62"/>
      <c r="G6" s="62"/>
      <c r="H6" s="63"/>
      <c r="I6" s="64" t="s">
        <v>809</v>
      </c>
      <c r="J6" s="61" t="s">
        <v>826</v>
      </c>
      <c r="K6" s="65"/>
      <c r="L6" s="66"/>
    </row>
    <row r="7" spans="1:12" s="1" customFormat="1" ht="67.5" customHeight="1" thickBot="1" thickTop="1">
      <c r="A7" s="67" t="s">
        <v>820</v>
      </c>
      <c r="B7" s="68" t="s">
        <v>810</v>
      </c>
      <c r="C7" s="68" t="s">
        <v>811</v>
      </c>
      <c r="D7" s="1434"/>
      <c r="E7" s="69" t="s">
        <v>812</v>
      </c>
      <c r="F7" s="69" t="s">
        <v>813</v>
      </c>
      <c r="G7" s="69" t="s">
        <v>814</v>
      </c>
      <c r="H7" s="70" t="s">
        <v>799</v>
      </c>
      <c r="I7" s="68" t="s">
        <v>351</v>
      </c>
      <c r="J7" s="69" t="s">
        <v>812</v>
      </c>
      <c r="K7" s="69" t="s">
        <v>813</v>
      </c>
      <c r="L7" s="69" t="s">
        <v>814</v>
      </c>
    </row>
    <row r="8" spans="1:12" s="74" customFormat="1" ht="13.5" customHeight="1" thickBot="1" thickTop="1">
      <c r="A8" s="71">
        <v>1</v>
      </c>
      <c r="B8" s="71">
        <v>2</v>
      </c>
      <c r="C8" s="72">
        <v>3</v>
      </c>
      <c r="D8" s="71">
        <v>4</v>
      </c>
      <c r="E8" s="71">
        <v>5</v>
      </c>
      <c r="F8" s="73">
        <v>6</v>
      </c>
      <c r="G8" s="71">
        <v>7</v>
      </c>
      <c r="H8" s="71">
        <v>8</v>
      </c>
      <c r="I8" s="71">
        <v>9</v>
      </c>
      <c r="J8" s="71">
        <v>10</v>
      </c>
      <c r="K8" s="73">
        <v>11</v>
      </c>
      <c r="L8" s="73">
        <v>12</v>
      </c>
    </row>
    <row r="9" spans="1:14" s="20" customFormat="1" ht="21" customHeight="1" thickBot="1" thickTop="1">
      <c r="A9" s="75"/>
      <c r="B9" s="75"/>
      <c r="C9" s="149" t="s">
        <v>815</v>
      </c>
      <c r="D9" s="823">
        <f>103050950+160000</f>
        <v>103210950</v>
      </c>
      <c r="E9" s="823">
        <v>95234649</v>
      </c>
      <c r="F9" s="823">
        <f>3259202+160000</f>
        <v>3419202</v>
      </c>
      <c r="G9" s="823">
        <v>4557099</v>
      </c>
      <c r="H9" s="151">
        <f>H11+H61+H57</f>
        <v>-548795</v>
      </c>
      <c r="I9" s="152">
        <f>SUM(J9:L9)</f>
        <v>102662155</v>
      </c>
      <c r="J9" s="150">
        <f>E9+H9-1560000-1467910-24000-100000</f>
        <v>91533944</v>
      </c>
      <c r="K9" s="150">
        <f>F9+1560000+1467910+24000</f>
        <v>6471112</v>
      </c>
      <c r="L9" s="150">
        <f>G9+100000</f>
        <v>4657099</v>
      </c>
      <c r="M9" s="76"/>
      <c r="N9" s="25"/>
    </row>
    <row r="10" spans="1:13" s="81" customFormat="1" ht="12.75" customHeight="1">
      <c r="A10" s="77"/>
      <c r="B10" s="77"/>
      <c r="C10" s="78" t="s">
        <v>826</v>
      </c>
      <c r="D10" s="824"/>
      <c r="E10" s="824"/>
      <c r="F10" s="824"/>
      <c r="G10" s="825"/>
      <c r="H10" s="153"/>
      <c r="I10" s="80"/>
      <c r="J10" s="79"/>
      <c r="K10" s="79"/>
      <c r="L10" s="79"/>
      <c r="M10" s="76"/>
    </row>
    <row r="11" spans="1:14" ht="21" customHeight="1" thickBot="1">
      <c r="A11" s="87"/>
      <c r="B11" s="87"/>
      <c r="C11" s="154" t="s">
        <v>827</v>
      </c>
      <c r="D11" s="826">
        <f>102604950+160000</f>
        <v>102764950</v>
      </c>
      <c r="E11" s="826">
        <v>95234649</v>
      </c>
      <c r="F11" s="826">
        <f>3259202+160000</f>
        <v>3419202</v>
      </c>
      <c r="G11" s="826">
        <v>4111099</v>
      </c>
      <c r="H11" s="156">
        <f>H12+H20+H25+H28+H31+H40+H43+H46+H50+H53</f>
        <v>-672795</v>
      </c>
      <c r="I11" s="157">
        <f>SUM(J11:L11)</f>
        <v>102092155</v>
      </c>
      <c r="J11" s="155">
        <f>E11+H11-1560000-1467910</f>
        <v>91533944</v>
      </c>
      <c r="K11" s="155">
        <f>F11+1560000+1467910</f>
        <v>6447112</v>
      </c>
      <c r="L11" s="155">
        <f>G11</f>
        <v>4111099</v>
      </c>
      <c r="M11" s="76"/>
      <c r="N11" s="25"/>
    </row>
    <row r="12" spans="1:14" ht="21" customHeight="1" thickBot="1" thickTop="1">
      <c r="A12" s="147">
        <v>600</v>
      </c>
      <c r="B12" s="147"/>
      <c r="C12" s="820" t="s">
        <v>369</v>
      </c>
      <c r="D12" s="827">
        <f>31929060+160000</f>
        <v>32089060</v>
      </c>
      <c r="E12" s="827">
        <v>28879060</v>
      </c>
      <c r="F12" s="827">
        <f>50000+160000</f>
        <v>210000</v>
      </c>
      <c r="G12" s="828">
        <v>3000000</v>
      </c>
      <c r="H12" s="821">
        <f>H13+H15+H18</f>
        <v>3042910</v>
      </c>
      <c r="I12" s="866">
        <f aca="true" t="shared" si="0" ref="I12:I29">SUM(J12:L12)</f>
        <v>35131970</v>
      </c>
      <c r="J12" s="822">
        <f>E12+H12-1560000-1467910</f>
        <v>28894060</v>
      </c>
      <c r="K12" s="822">
        <f>50000+160000+1560000+1467910</f>
        <v>3237910</v>
      </c>
      <c r="L12" s="822">
        <v>3000000</v>
      </c>
      <c r="M12" s="25"/>
      <c r="N12" s="25"/>
    </row>
    <row r="13" spans="1:14" ht="28.5" customHeight="1">
      <c r="A13" s="112"/>
      <c r="B13" s="648">
        <v>60015</v>
      </c>
      <c r="C13" s="649" t="s">
        <v>370</v>
      </c>
      <c r="D13" s="1350">
        <f>27757060+160000</f>
        <v>27917060</v>
      </c>
      <c r="E13" s="1350">
        <v>24707060</v>
      </c>
      <c r="F13" s="1350">
        <f>50000+160000</f>
        <v>210000</v>
      </c>
      <c r="G13" s="1351">
        <v>3000000</v>
      </c>
      <c r="H13" s="783">
        <f>H14</f>
        <v>17040</v>
      </c>
      <c r="I13" s="259">
        <f t="shared" si="0"/>
        <v>27934100</v>
      </c>
      <c r="J13" s="867">
        <f aca="true" t="shared" si="1" ref="J13:J29">E13+H13</f>
        <v>24724100</v>
      </c>
      <c r="K13" s="589">
        <f>F13</f>
        <v>210000</v>
      </c>
      <c r="L13" s="589">
        <f>G13</f>
        <v>3000000</v>
      </c>
      <c r="M13" s="25"/>
      <c r="N13" s="25"/>
    </row>
    <row r="14" spans="1:14" ht="21" customHeight="1">
      <c r="A14" s="865"/>
      <c r="B14" s="189"/>
      <c r="C14" s="465" t="s">
        <v>18</v>
      </c>
      <c r="D14" s="788">
        <v>464060</v>
      </c>
      <c r="E14" s="788">
        <v>464060</v>
      </c>
      <c r="F14" s="788"/>
      <c r="G14" s="789"/>
      <c r="H14" s="790">
        <v>17040</v>
      </c>
      <c r="I14" s="468">
        <f t="shared" si="0"/>
        <v>481100</v>
      </c>
      <c r="J14" s="788">
        <f t="shared" si="1"/>
        <v>481100</v>
      </c>
      <c r="K14" s="792"/>
      <c r="L14" s="792"/>
      <c r="M14" s="25"/>
      <c r="N14" s="25"/>
    </row>
    <row r="15" spans="1:14" ht="21" customHeight="1">
      <c r="A15" s="865"/>
      <c r="B15" s="372">
        <v>60016</v>
      </c>
      <c r="C15" s="434" t="s">
        <v>750</v>
      </c>
      <c r="D15" s="752">
        <v>2762000</v>
      </c>
      <c r="E15" s="752">
        <v>2762000</v>
      </c>
      <c r="F15" s="752"/>
      <c r="G15" s="793"/>
      <c r="H15" s="794">
        <f>SUM(H16:H17)</f>
        <v>2920000</v>
      </c>
      <c r="I15" s="795">
        <f t="shared" si="0"/>
        <v>5682000</v>
      </c>
      <c r="J15" s="752">
        <f>E15+H15-1560000-1467910</f>
        <v>2654090</v>
      </c>
      <c r="K15" s="752">
        <f>1560000+1467910</f>
        <v>3027910</v>
      </c>
      <c r="L15" s="752"/>
      <c r="M15" s="25"/>
      <c r="N15" s="25"/>
    </row>
    <row r="16" spans="1:14" ht="45" customHeight="1">
      <c r="A16" s="865"/>
      <c r="B16" s="280"/>
      <c r="C16" s="494" t="s">
        <v>206</v>
      </c>
      <c r="D16" s="779">
        <v>1240000</v>
      </c>
      <c r="E16" s="779">
        <v>1240000</v>
      </c>
      <c r="F16" s="779"/>
      <c r="G16" s="785"/>
      <c r="H16" s="786">
        <v>1520000</v>
      </c>
      <c r="I16" s="781">
        <f t="shared" si="0"/>
        <v>2760000</v>
      </c>
      <c r="J16" s="79">
        <f>680000+520000</f>
        <v>1200000</v>
      </c>
      <c r="K16" s="779">
        <v>1560000</v>
      </c>
      <c r="L16" s="791"/>
      <c r="M16" s="25"/>
      <c r="N16" s="25"/>
    </row>
    <row r="17" spans="1:14" ht="27.75" customHeight="1">
      <c r="A17" s="865"/>
      <c r="B17" s="280"/>
      <c r="C17" s="494" t="s">
        <v>207</v>
      </c>
      <c r="D17" s="779">
        <v>722000</v>
      </c>
      <c r="E17" s="779">
        <v>722000</v>
      </c>
      <c r="F17" s="779"/>
      <c r="G17" s="785"/>
      <c r="H17" s="786">
        <v>1400000</v>
      </c>
      <c r="I17" s="781">
        <f t="shared" si="0"/>
        <v>2122000</v>
      </c>
      <c r="J17" s="779">
        <f>164787+489303</f>
        <v>654090</v>
      </c>
      <c r="K17" s="780">
        <v>1467910</v>
      </c>
      <c r="L17" s="791"/>
      <c r="M17" s="25"/>
      <c r="N17" s="25"/>
    </row>
    <row r="18" spans="1:14" ht="20.25" customHeight="1">
      <c r="A18" s="112"/>
      <c r="B18" s="372">
        <v>60017</v>
      </c>
      <c r="C18" s="434" t="s">
        <v>599</v>
      </c>
      <c r="D18" s="752">
        <v>130000</v>
      </c>
      <c r="E18" s="752">
        <v>130000</v>
      </c>
      <c r="F18" s="752"/>
      <c r="G18" s="793"/>
      <c r="H18" s="794">
        <f>H19</f>
        <v>105870</v>
      </c>
      <c r="I18" s="795">
        <f t="shared" si="0"/>
        <v>235870</v>
      </c>
      <c r="J18" s="752">
        <f t="shared" si="1"/>
        <v>235870</v>
      </c>
      <c r="K18" s="752"/>
      <c r="L18" s="752"/>
      <c r="M18" s="25"/>
      <c r="N18" s="25"/>
    </row>
    <row r="19" spans="1:14" ht="26.25" customHeight="1">
      <c r="A19" s="457"/>
      <c r="B19" s="189"/>
      <c r="C19" s="688" t="s">
        <v>19</v>
      </c>
      <c r="D19" s="788">
        <v>130000</v>
      </c>
      <c r="E19" s="788">
        <v>130000</v>
      </c>
      <c r="F19" s="788"/>
      <c r="G19" s="789"/>
      <c r="H19" s="790">
        <v>105870</v>
      </c>
      <c r="I19" s="468">
        <f t="shared" si="0"/>
        <v>235870</v>
      </c>
      <c r="J19" s="788">
        <f t="shared" si="1"/>
        <v>235870</v>
      </c>
      <c r="K19" s="792"/>
      <c r="L19" s="792"/>
      <c r="M19" s="25"/>
      <c r="N19" s="25"/>
    </row>
    <row r="20" spans="1:14" s="1" customFormat="1" ht="21" customHeight="1" thickBot="1">
      <c r="A20" s="1352">
        <v>750</v>
      </c>
      <c r="B20" s="263"/>
      <c r="C20" s="371" t="s">
        <v>505</v>
      </c>
      <c r="D20" s="371">
        <v>2870310</v>
      </c>
      <c r="E20" s="371">
        <v>2843254</v>
      </c>
      <c r="F20" s="371">
        <v>27056</v>
      </c>
      <c r="G20" s="375"/>
      <c r="H20" s="466">
        <f>H21+H23</f>
        <v>63300</v>
      </c>
      <c r="I20" s="376">
        <f t="shared" si="0"/>
        <v>2933610</v>
      </c>
      <c r="J20" s="371">
        <f t="shared" si="1"/>
        <v>2906554</v>
      </c>
      <c r="K20" s="371">
        <f>F20</f>
        <v>27056</v>
      </c>
      <c r="L20" s="371"/>
      <c r="M20" s="25"/>
      <c r="N20" s="8"/>
    </row>
    <row r="21" spans="1:14" s="1" customFormat="1" ht="18.75" customHeight="1">
      <c r="A21" s="254"/>
      <c r="B21" s="372">
        <v>75022</v>
      </c>
      <c r="C21" s="240" t="s">
        <v>682</v>
      </c>
      <c r="D21" s="240"/>
      <c r="E21" s="240"/>
      <c r="F21" s="240"/>
      <c r="G21" s="258"/>
      <c r="H21" s="261">
        <f>H22</f>
        <v>60000</v>
      </c>
      <c r="I21" s="259">
        <f t="shared" si="0"/>
        <v>60000</v>
      </c>
      <c r="J21" s="240">
        <f t="shared" si="1"/>
        <v>60000</v>
      </c>
      <c r="K21" s="240"/>
      <c r="L21" s="240"/>
      <c r="M21" s="25"/>
      <c r="N21" s="8"/>
    </row>
    <row r="22" spans="1:14" s="1" customFormat="1" ht="19.5" customHeight="1">
      <c r="A22" s="280"/>
      <c r="B22" s="1353"/>
      <c r="C22" s="241" t="s">
        <v>20</v>
      </c>
      <c r="D22" s="277"/>
      <c r="E22" s="277"/>
      <c r="F22" s="277"/>
      <c r="G22" s="487"/>
      <c r="H22" s="612">
        <v>60000</v>
      </c>
      <c r="I22" s="613">
        <f t="shared" si="0"/>
        <v>60000</v>
      </c>
      <c r="J22" s="277">
        <f t="shared" si="1"/>
        <v>60000</v>
      </c>
      <c r="K22" s="277"/>
      <c r="L22" s="277"/>
      <c r="M22" s="25"/>
      <c r="N22" s="8"/>
    </row>
    <row r="23" spans="1:14" s="1" customFormat="1" ht="20.25" customHeight="1">
      <c r="A23" s="280"/>
      <c r="B23" s="476">
        <v>75023</v>
      </c>
      <c r="C23" s="240" t="s">
        <v>506</v>
      </c>
      <c r="D23" s="797">
        <v>2833810</v>
      </c>
      <c r="E23" s="797">
        <v>2833810</v>
      </c>
      <c r="F23" s="797"/>
      <c r="G23" s="798"/>
      <c r="H23" s="799">
        <f>H24</f>
        <v>3300</v>
      </c>
      <c r="I23" s="755">
        <f t="shared" si="0"/>
        <v>2837110</v>
      </c>
      <c r="J23" s="797">
        <f t="shared" si="1"/>
        <v>2837110</v>
      </c>
      <c r="K23" s="797"/>
      <c r="L23" s="797"/>
      <c r="M23" s="25"/>
      <c r="N23" s="8"/>
    </row>
    <row r="24" spans="1:14" s="1" customFormat="1" ht="21.75" customHeight="1">
      <c r="A24" s="280"/>
      <c r="B24" s="606"/>
      <c r="C24" s="363" t="s">
        <v>31</v>
      </c>
      <c r="D24" s="242">
        <v>73810</v>
      </c>
      <c r="E24" s="242">
        <v>73810</v>
      </c>
      <c r="F24" s="242"/>
      <c r="G24" s="271"/>
      <c r="H24" s="300">
        <v>3300</v>
      </c>
      <c r="I24" s="299">
        <f t="shared" si="0"/>
        <v>77110</v>
      </c>
      <c r="J24" s="242">
        <f t="shared" si="1"/>
        <v>77110</v>
      </c>
      <c r="K24" s="242"/>
      <c r="L24" s="242"/>
      <c r="M24" s="25"/>
      <c r="N24" s="8"/>
    </row>
    <row r="25" spans="1:14" s="1" customFormat="1" ht="29.25" customHeight="1" thickBot="1">
      <c r="A25" s="1352">
        <v>754</v>
      </c>
      <c r="B25" s="1352"/>
      <c r="C25" s="373" t="s">
        <v>724</v>
      </c>
      <c r="D25" s="800">
        <v>1199880</v>
      </c>
      <c r="E25" s="800">
        <v>949880</v>
      </c>
      <c r="F25" s="800">
        <v>250000</v>
      </c>
      <c r="G25" s="801"/>
      <c r="H25" s="466">
        <f>H26</f>
        <v>1700</v>
      </c>
      <c r="I25" s="802">
        <f t="shared" si="0"/>
        <v>1201580</v>
      </c>
      <c r="J25" s="800">
        <f t="shared" si="1"/>
        <v>951580</v>
      </c>
      <c r="K25" s="800">
        <v>250000</v>
      </c>
      <c r="L25" s="800"/>
      <c r="M25" s="25"/>
      <c r="N25" s="8"/>
    </row>
    <row r="26" spans="1:14" s="1" customFormat="1" ht="18.75" customHeight="1">
      <c r="A26" s="191"/>
      <c r="B26" s="193">
        <v>75416</v>
      </c>
      <c r="C26" s="193" t="s">
        <v>593</v>
      </c>
      <c r="D26" s="277">
        <v>170000</v>
      </c>
      <c r="E26" s="277">
        <v>170000</v>
      </c>
      <c r="F26" s="277"/>
      <c r="G26" s="487"/>
      <c r="H26" s="612">
        <f>H27</f>
        <v>1700</v>
      </c>
      <c r="I26" s="613">
        <f t="shared" si="0"/>
        <v>171700</v>
      </c>
      <c r="J26" s="277">
        <f t="shared" si="1"/>
        <v>171700</v>
      </c>
      <c r="K26" s="277"/>
      <c r="L26" s="277"/>
      <c r="M26" s="25"/>
      <c r="N26" s="8"/>
    </row>
    <row r="27" spans="1:14" s="1" customFormat="1" ht="20.25" customHeight="1">
      <c r="A27" s="280"/>
      <c r="B27" s="606"/>
      <c r="C27" s="241" t="s">
        <v>20</v>
      </c>
      <c r="D27" s="277">
        <v>170000</v>
      </c>
      <c r="E27" s="277">
        <v>170000</v>
      </c>
      <c r="F27" s="277"/>
      <c r="G27" s="487"/>
      <c r="H27" s="300">
        <v>1700</v>
      </c>
      <c r="I27" s="613">
        <f t="shared" si="0"/>
        <v>171700</v>
      </c>
      <c r="J27" s="277">
        <f t="shared" si="1"/>
        <v>171700</v>
      </c>
      <c r="K27" s="277"/>
      <c r="L27" s="277"/>
      <c r="M27" s="25"/>
      <c r="N27" s="8"/>
    </row>
    <row r="28" spans="1:14" s="1" customFormat="1" ht="20.25" customHeight="1" thickBot="1">
      <c r="A28" s="952">
        <v>758</v>
      </c>
      <c r="B28" s="953"/>
      <c r="C28" s="954" t="s">
        <v>286</v>
      </c>
      <c r="D28" s="1356">
        <v>4500000</v>
      </c>
      <c r="E28" s="1356">
        <v>4500000</v>
      </c>
      <c r="F28" s="1356"/>
      <c r="G28" s="1357"/>
      <c r="H28" s="1358">
        <f>H29</f>
        <v>-2920000</v>
      </c>
      <c r="I28" s="1359">
        <f t="shared" si="0"/>
        <v>1580000</v>
      </c>
      <c r="J28" s="1356">
        <f t="shared" si="1"/>
        <v>1580000</v>
      </c>
      <c r="K28" s="1356"/>
      <c r="L28" s="1356"/>
      <c r="M28" s="25"/>
      <c r="N28" s="8"/>
    </row>
    <row r="29" spans="1:14" s="1" customFormat="1" ht="20.25" customHeight="1">
      <c r="A29" s="955"/>
      <c r="B29" s="255">
        <v>75818</v>
      </c>
      <c r="C29" s="240" t="s">
        <v>287</v>
      </c>
      <c r="D29" s="456">
        <v>4500000</v>
      </c>
      <c r="E29" s="456">
        <v>4500000</v>
      </c>
      <c r="F29" s="456"/>
      <c r="G29" s="1354"/>
      <c r="H29" s="778">
        <f>H30</f>
        <v>-2920000</v>
      </c>
      <c r="I29" s="1355">
        <f t="shared" si="0"/>
        <v>1580000</v>
      </c>
      <c r="J29" s="456">
        <f t="shared" si="1"/>
        <v>1580000</v>
      </c>
      <c r="K29" s="456"/>
      <c r="L29" s="456"/>
      <c r="M29" s="25"/>
      <c r="N29" s="8"/>
    </row>
    <row r="30" spans="1:14" s="1" customFormat="1" ht="37.5" customHeight="1">
      <c r="A30" s="1360"/>
      <c r="B30" s="956"/>
      <c r="C30" s="242" t="s">
        <v>644</v>
      </c>
      <c r="D30" s="242">
        <v>4500000</v>
      </c>
      <c r="E30" s="242">
        <v>4500000</v>
      </c>
      <c r="F30" s="242"/>
      <c r="G30" s="271"/>
      <c r="H30" s="300">
        <v>-2920000</v>
      </c>
      <c r="I30" s="299">
        <f>SUM(J30:L30)</f>
        <v>1580000</v>
      </c>
      <c r="J30" s="242">
        <f>E30+H30</f>
        <v>1580000</v>
      </c>
      <c r="K30" s="242"/>
      <c r="L30" s="242"/>
      <c r="M30" s="25"/>
      <c r="N30" s="8"/>
    </row>
    <row r="31" spans="1:14" s="1" customFormat="1" ht="26.25" customHeight="1" thickBot="1">
      <c r="A31" s="263">
        <v>801</v>
      </c>
      <c r="B31" s="263"/>
      <c r="C31" s="800" t="s">
        <v>730</v>
      </c>
      <c r="D31" s="800">
        <v>16947299</v>
      </c>
      <c r="E31" s="800">
        <v>16409799</v>
      </c>
      <c r="F31" s="800">
        <v>537500</v>
      </c>
      <c r="G31" s="801"/>
      <c r="H31" s="466">
        <f>H32+H34+H36+H38</f>
        <v>-848220</v>
      </c>
      <c r="I31" s="802">
        <f aca="true" t="shared" si="2" ref="I31:I41">SUM(J31:L31)</f>
        <v>16099079</v>
      </c>
      <c r="J31" s="800">
        <f aca="true" t="shared" si="3" ref="J31:J41">E31+H31</f>
        <v>15561579</v>
      </c>
      <c r="K31" s="800">
        <f>F31</f>
        <v>537500</v>
      </c>
      <c r="L31" s="800"/>
      <c r="M31" s="25"/>
      <c r="N31" s="8"/>
    </row>
    <row r="32" spans="1:14" s="1" customFormat="1" ht="22.5" customHeight="1">
      <c r="A32" s="254"/>
      <c r="B32" s="255">
        <v>80101</v>
      </c>
      <c r="C32" s="240" t="s">
        <v>499</v>
      </c>
      <c r="D32" s="240">
        <v>10139649</v>
      </c>
      <c r="E32" s="240">
        <v>9689649</v>
      </c>
      <c r="F32" s="240">
        <v>450000</v>
      </c>
      <c r="G32" s="258"/>
      <c r="H32" s="261">
        <f>SUM(H33:H33)</f>
        <v>-421200</v>
      </c>
      <c r="I32" s="259">
        <f t="shared" si="2"/>
        <v>9718449</v>
      </c>
      <c r="J32" s="240">
        <f t="shared" si="3"/>
        <v>9268449</v>
      </c>
      <c r="K32" s="240">
        <f>F32</f>
        <v>450000</v>
      </c>
      <c r="L32" s="240"/>
      <c r="M32" s="25"/>
      <c r="N32" s="8"/>
    </row>
    <row r="33" spans="1:14" s="1" customFormat="1" ht="20.25" customHeight="1">
      <c r="A33" s="280"/>
      <c r="B33" s="280"/>
      <c r="C33" s="688" t="s">
        <v>28</v>
      </c>
      <c r="D33" s="257">
        <v>1542000</v>
      </c>
      <c r="E33" s="257">
        <v>1092000</v>
      </c>
      <c r="F33" s="257">
        <v>450000</v>
      </c>
      <c r="G33" s="281"/>
      <c r="H33" s="283">
        <v>-421200</v>
      </c>
      <c r="I33" s="260">
        <f t="shared" si="2"/>
        <v>1120800</v>
      </c>
      <c r="J33" s="257">
        <f t="shared" si="3"/>
        <v>670800</v>
      </c>
      <c r="K33" s="257">
        <f>F33</f>
        <v>450000</v>
      </c>
      <c r="L33" s="257"/>
      <c r="M33" s="25"/>
      <c r="N33" s="8"/>
    </row>
    <row r="34" spans="1:14" s="1" customFormat="1" ht="20.25" customHeight="1">
      <c r="A34" s="254"/>
      <c r="B34" s="689">
        <v>80104</v>
      </c>
      <c r="C34" s="284" t="s">
        <v>731</v>
      </c>
      <c r="D34" s="240">
        <v>781232</v>
      </c>
      <c r="E34" s="240">
        <v>743732</v>
      </c>
      <c r="F34" s="240">
        <v>37500</v>
      </c>
      <c r="G34" s="258"/>
      <c r="H34" s="261">
        <f>H35</f>
        <v>-317620</v>
      </c>
      <c r="I34" s="259">
        <f t="shared" si="2"/>
        <v>463612</v>
      </c>
      <c r="J34" s="240">
        <f t="shared" si="3"/>
        <v>426112</v>
      </c>
      <c r="K34" s="240">
        <f>F34</f>
        <v>37500</v>
      </c>
      <c r="L34" s="240"/>
      <c r="M34" s="25"/>
      <c r="N34" s="8"/>
    </row>
    <row r="35" spans="1:14" s="1" customFormat="1" ht="19.5" customHeight="1">
      <c r="A35" s="280"/>
      <c r="B35" s="280"/>
      <c r="C35" s="456" t="s">
        <v>29</v>
      </c>
      <c r="D35" s="242">
        <v>511732</v>
      </c>
      <c r="E35" s="242">
        <v>511732</v>
      </c>
      <c r="F35" s="242"/>
      <c r="G35" s="271"/>
      <c r="H35" s="300">
        <v>-317620</v>
      </c>
      <c r="I35" s="299">
        <f t="shared" si="2"/>
        <v>194112</v>
      </c>
      <c r="J35" s="242">
        <f t="shared" si="3"/>
        <v>194112</v>
      </c>
      <c r="K35" s="242"/>
      <c r="L35" s="242"/>
      <c r="M35" s="25"/>
      <c r="N35" s="8"/>
    </row>
    <row r="36" spans="1:14" s="1" customFormat="1" ht="23.25" customHeight="1">
      <c r="A36" s="280"/>
      <c r="B36" s="689">
        <v>80110</v>
      </c>
      <c r="C36" s="284" t="s">
        <v>502</v>
      </c>
      <c r="D36" s="240">
        <v>1677438</v>
      </c>
      <c r="E36" s="240">
        <v>1627438</v>
      </c>
      <c r="F36" s="240">
        <v>50000</v>
      </c>
      <c r="G36" s="258"/>
      <c r="H36" s="261">
        <f>H37</f>
        <v>-116000</v>
      </c>
      <c r="I36" s="259">
        <f t="shared" si="2"/>
        <v>1561438</v>
      </c>
      <c r="J36" s="240">
        <f t="shared" si="3"/>
        <v>1511438</v>
      </c>
      <c r="K36" s="240">
        <f>F36</f>
        <v>50000</v>
      </c>
      <c r="L36" s="240"/>
      <c r="M36" s="25"/>
      <c r="N36" s="8"/>
    </row>
    <row r="37" spans="1:14" s="1" customFormat="1" ht="23.25" customHeight="1">
      <c r="A37" s="254"/>
      <c r="B37" s="372"/>
      <c r="C37" s="363" t="s">
        <v>28</v>
      </c>
      <c r="D37" s="242">
        <v>251185</v>
      </c>
      <c r="E37" s="242">
        <v>201185</v>
      </c>
      <c r="F37" s="242">
        <v>50000</v>
      </c>
      <c r="G37" s="271"/>
      <c r="H37" s="300">
        <v>-116000</v>
      </c>
      <c r="I37" s="299">
        <f t="shared" si="2"/>
        <v>135185</v>
      </c>
      <c r="J37" s="242">
        <f t="shared" si="3"/>
        <v>85185</v>
      </c>
      <c r="K37" s="242">
        <f>F37</f>
        <v>50000</v>
      </c>
      <c r="L37" s="242"/>
      <c r="M37" s="25"/>
      <c r="N37" s="8"/>
    </row>
    <row r="38" spans="1:14" s="1" customFormat="1" ht="26.25" customHeight="1">
      <c r="A38" s="280"/>
      <c r="B38" s="689">
        <v>80130</v>
      </c>
      <c r="C38" s="284" t="s">
        <v>501</v>
      </c>
      <c r="D38" s="240">
        <v>3404000</v>
      </c>
      <c r="E38" s="240">
        <v>3404000</v>
      </c>
      <c r="F38" s="240"/>
      <c r="G38" s="258"/>
      <c r="H38" s="261">
        <f>SUM(H39:H39)</f>
        <v>6600</v>
      </c>
      <c r="I38" s="259">
        <f t="shared" si="2"/>
        <v>3410600</v>
      </c>
      <c r="J38" s="240">
        <f t="shared" si="3"/>
        <v>3410600</v>
      </c>
      <c r="K38" s="240"/>
      <c r="L38" s="240"/>
      <c r="M38" s="25"/>
      <c r="N38" s="8"/>
    </row>
    <row r="39" spans="1:14" s="1" customFormat="1" ht="21.75" customHeight="1">
      <c r="A39" s="280"/>
      <c r="B39" s="280"/>
      <c r="C39" s="494" t="s">
        <v>30</v>
      </c>
      <c r="D39" s="779"/>
      <c r="E39" s="779"/>
      <c r="F39" s="779"/>
      <c r="G39" s="785"/>
      <c r="H39" s="790">
        <v>6600</v>
      </c>
      <c r="I39" s="804">
        <f t="shared" si="2"/>
        <v>6600</v>
      </c>
      <c r="J39" s="788">
        <f t="shared" si="3"/>
        <v>6600</v>
      </c>
      <c r="K39" s="791"/>
      <c r="L39" s="791"/>
      <c r="M39" s="25"/>
      <c r="N39" s="8"/>
    </row>
    <row r="40" spans="1:14" s="1" customFormat="1" ht="26.25" customHeight="1" thickBot="1">
      <c r="A40" s="1352">
        <v>851</v>
      </c>
      <c r="B40" s="1352"/>
      <c r="C40" s="371" t="s">
        <v>877</v>
      </c>
      <c r="D40" s="371">
        <v>1610800</v>
      </c>
      <c r="E40" s="371">
        <v>1610800</v>
      </c>
      <c r="F40" s="371"/>
      <c r="G40" s="375"/>
      <c r="H40" s="466">
        <f>H41</f>
        <v>30000</v>
      </c>
      <c r="I40" s="376">
        <f t="shared" si="2"/>
        <v>1640800</v>
      </c>
      <c r="J40" s="371">
        <f t="shared" si="3"/>
        <v>1640800</v>
      </c>
      <c r="K40" s="371"/>
      <c r="L40" s="371"/>
      <c r="M40" s="25"/>
      <c r="N40" s="8"/>
    </row>
    <row r="41" spans="1:14" s="1" customFormat="1" ht="23.25" customHeight="1">
      <c r="A41" s="280"/>
      <c r="B41" s="255">
        <v>85154</v>
      </c>
      <c r="C41" s="240" t="s">
        <v>878</v>
      </c>
      <c r="D41" s="240">
        <v>1065000</v>
      </c>
      <c r="E41" s="240">
        <v>1065000</v>
      </c>
      <c r="F41" s="240"/>
      <c r="G41" s="258"/>
      <c r="H41" s="261">
        <f>H42</f>
        <v>30000</v>
      </c>
      <c r="I41" s="259">
        <f t="shared" si="2"/>
        <v>1095000</v>
      </c>
      <c r="J41" s="240">
        <f t="shared" si="3"/>
        <v>1095000</v>
      </c>
      <c r="K41" s="240"/>
      <c r="L41" s="240"/>
      <c r="M41" s="25"/>
      <c r="N41" s="8"/>
    </row>
    <row r="42" spans="1:14" s="1" customFormat="1" ht="25.5" customHeight="1">
      <c r="A42" s="256"/>
      <c r="B42" s="1360"/>
      <c r="C42" s="456" t="s">
        <v>20</v>
      </c>
      <c r="D42" s="805">
        <f>E42</f>
        <v>65000</v>
      </c>
      <c r="E42" s="806">
        <v>65000</v>
      </c>
      <c r="F42" s="277"/>
      <c r="G42" s="487"/>
      <c r="H42" s="300">
        <v>30000</v>
      </c>
      <c r="I42" s="260">
        <f>SUM(J42:L42)</f>
        <v>95000</v>
      </c>
      <c r="J42" s="456">
        <f>E42+H42</f>
        <v>95000</v>
      </c>
      <c r="K42" s="277"/>
      <c r="L42" s="277"/>
      <c r="M42" s="25"/>
      <c r="N42" s="8"/>
    </row>
    <row r="43" spans="1:14" s="1" customFormat="1" ht="22.5" customHeight="1" thickBot="1">
      <c r="A43" s="263">
        <v>852</v>
      </c>
      <c r="B43" s="263"/>
      <c r="C43" s="371" t="s">
        <v>746</v>
      </c>
      <c r="D43" s="371">
        <v>3769786</v>
      </c>
      <c r="E43" s="371">
        <v>2228394</v>
      </c>
      <c r="F43" s="371">
        <v>430293</v>
      </c>
      <c r="G43" s="375">
        <v>1111099</v>
      </c>
      <c r="H43" s="466">
        <f>H44</f>
        <v>1700</v>
      </c>
      <c r="I43" s="376">
        <f>SUM(J43:L43)</f>
        <v>3771486</v>
      </c>
      <c r="J43" s="371">
        <f aca="true" t="shared" si="4" ref="J43:J49">E43+H43</f>
        <v>2230094</v>
      </c>
      <c r="K43" s="371">
        <v>430293</v>
      </c>
      <c r="L43" s="371">
        <v>1111099</v>
      </c>
      <c r="M43" s="25"/>
      <c r="N43" s="8"/>
    </row>
    <row r="44" spans="1:14" s="1" customFormat="1" ht="23.25" customHeight="1">
      <c r="A44" s="280"/>
      <c r="B44" s="255">
        <v>85202</v>
      </c>
      <c r="C44" s="240" t="s">
        <v>497</v>
      </c>
      <c r="D44" s="240">
        <v>1747292</v>
      </c>
      <c r="E44" s="240">
        <v>971111</v>
      </c>
      <c r="F44" s="240">
        <v>175082</v>
      </c>
      <c r="G44" s="258">
        <v>601099</v>
      </c>
      <c r="H44" s="261">
        <f>H45</f>
        <v>1700</v>
      </c>
      <c r="I44" s="259">
        <f>SUM(J44:L44)</f>
        <v>1748992</v>
      </c>
      <c r="J44" s="240">
        <f t="shared" si="4"/>
        <v>972811</v>
      </c>
      <c r="K44" s="240">
        <v>175082</v>
      </c>
      <c r="L44" s="240">
        <v>601099</v>
      </c>
      <c r="M44" s="25"/>
      <c r="N44" s="8"/>
    </row>
    <row r="45" spans="1:14" s="1" customFormat="1" ht="23.25" customHeight="1">
      <c r="A45" s="256"/>
      <c r="B45" s="615"/>
      <c r="C45" s="494" t="s">
        <v>20</v>
      </c>
      <c r="D45" s="779">
        <v>54500</v>
      </c>
      <c r="E45" s="779">
        <v>54500</v>
      </c>
      <c r="F45" s="779"/>
      <c r="G45" s="785"/>
      <c r="H45" s="790">
        <v>1700</v>
      </c>
      <c r="I45" s="804">
        <f>D45+H45</f>
        <v>56200</v>
      </c>
      <c r="J45" s="788">
        <f t="shared" si="4"/>
        <v>56200</v>
      </c>
      <c r="K45" s="791"/>
      <c r="L45" s="791"/>
      <c r="M45" s="25"/>
      <c r="N45" s="8"/>
    </row>
    <row r="46" spans="1:14" s="1" customFormat="1" ht="26.25" customHeight="1" thickBot="1">
      <c r="A46" s="263">
        <v>853</v>
      </c>
      <c r="B46" s="263"/>
      <c r="C46" s="614" t="s">
        <v>752</v>
      </c>
      <c r="D46" s="371">
        <v>472068</v>
      </c>
      <c r="E46" s="371">
        <v>417715</v>
      </c>
      <c r="F46" s="371">
        <v>54353</v>
      </c>
      <c r="G46" s="375"/>
      <c r="H46" s="466">
        <f>H47</f>
        <v>7800</v>
      </c>
      <c r="I46" s="376">
        <f>SUM(J46:L46)</f>
        <v>479868</v>
      </c>
      <c r="J46" s="371">
        <f t="shared" si="4"/>
        <v>425515</v>
      </c>
      <c r="K46" s="371">
        <f>F46</f>
        <v>54353</v>
      </c>
      <c r="L46" s="371"/>
      <c r="M46" s="25"/>
      <c r="N46" s="8"/>
    </row>
    <row r="47" spans="1:14" s="1" customFormat="1" ht="18.75" customHeight="1">
      <c r="A47" s="254"/>
      <c r="B47" s="372">
        <v>85333</v>
      </c>
      <c r="C47" s="193" t="s">
        <v>668</v>
      </c>
      <c r="D47" s="240">
        <v>443068</v>
      </c>
      <c r="E47" s="240">
        <v>388715</v>
      </c>
      <c r="F47" s="240">
        <v>54353</v>
      </c>
      <c r="G47" s="258"/>
      <c r="H47" s="261">
        <f>SUM(H48:H49)</f>
        <v>7800</v>
      </c>
      <c r="I47" s="259">
        <f>SUM(J47:L47)</f>
        <v>450868</v>
      </c>
      <c r="J47" s="240">
        <f t="shared" si="4"/>
        <v>396515</v>
      </c>
      <c r="K47" s="240">
        <f>F47</f>
        <v>54353</v>
      </c>
      <c r="L47" s="240"/>
      <c r="M47" s="25"/>
      <c r="N47" s="8"/>
    </row>
    <row r="48" spans="1:14" s="1" customFormat="1" ht="26.25" customHeight="1">
      <c r="A48" s="280"/>
      <c r="B48" s="280"/>
      <c r="C48" s="494" t="s">
        <v>21</v>
      </c>
      <c r="D48" s="779">
        <v>94000</v>
      </c>
      <c r="E48" s="779">
        <v>94000</v>
      </c>
      <c r="F48" s="779"/>
      <c r="G48" s="785"/>
      <c r="H48" s="786">
        <v>3500</v>
      </c>
      <c r="I48" s="781">
        <f>D48+H48</f>
        <v>97500</v>
      </c>
      <c r="J48" s="779">
        <f t="shared" si="4"/>
        <v>97500</v>
      </c>
      <c r="K48" s="791"/>
      <c r="L48" s="791"/>
      <c r="M48" s="25"/>
      <c r="N48" s="8"/>
    </row>
    <row r="49" spans="1:14" s="1" customFormat="1" ht="22.5" customHeight="1">
      <c r="A49" s="256"/>
      <c r="B49" s="256"/>
      <c r="C49" s="807" t="s">
        <v>20</v>
      </c>
      <c r="D49" s="788"/>
      <c r="E49" s="788"/>
      <c r="F49" s="788"/>
      <c r="G49" s="789"/>
      <c r="H49" s="790">
        <v>4300</v>
      </c>
      <c r="I49" s="804">
        <f>D49+H49</f>
        <v>4300</v>
      </c>
      <c r="J49" s="788">
        <f t="shared" si="4"/>
        <v>4300</v>
      </c>
      <c r="K49" s="792"/>
      <c r="L49" s="792"/>
      <c r="M49" s="25"/>
      <c r="N49" s="8"/>
    </row>
    <row r="50" spans="1:14" s="1" customFormat="1" ht="23.25" customHeight="1" thickBot="1">
      <c r="A50" s="262">
        <v>854</v>
      </c>
      <c r="B50" s="263"/>
      <c r="C50" s="373" t="s">
        <v>503</v>
      </c>
      <c r="D50" s="373">
        <v>51185</v>
      </c>
      <c r="E50" s="373">
        <v>51185</v>
      </c>
      <c r="F50" s="373"/>
      <c r="G50" s="379"/>
      <c r="H50" s="374">
        <f>H51</f>
        <v>-25985</v>
      </c>
      <c r="I50" s="380">
        <f aca="true" t="shared" si="5" ref="I50:I55">SUM(J50:L50)</f>
        <v>25200</v>
      </c>
      <c r="J50" s="373">
        <f aca="true" t="shared" si="6" ref="J50:J55">E50+H50</f>
        <v>25200</v>
      </c>
      <c r="K50" s="373"/>
      <c r="L50" s="373"/>
      <c r="M50" s="25"/>
      <c r="N50" s="8"/>
    </row>
    <row r="51" spans="1:14" s="1" customFormat="1" ht="18.75" customHeight="1">
      <c r="A51" s="254"/>
      <c r="B51" s="476">
        <v>85403</v>
      </c>
      <c r="C51" s="196" t="s">
        <v>504</v>
      </c>
      <c r="D51" s="240">
        <v>25985</v>
      </c>
      <c r="E51" s="240">
        <v>25985</v>
      </c>
      <c r="F51" s="240"/>
      <c r="G51" s="258"/>
      <c r="H51" s="282">
        <f>H52</f>
        <v>-25985</v>
      </c>
      <c r="I51" s="259">
        <f t="shared" si="5"/>
        <v>0</v>
      </c>
      <c r="J51" s="240">
        <f t="shared" si="6"/>
        <v>0</v>
      </c>
      <c r="K51" s="240"/>
      <c r="L51" s="240"/>
      <c r="M51" s="25"/>
      <c r="N51" s="8"/>
    </row>
    <row r="52" spans="1:14" s="1" customFormat="1" ht="21.75" customHeight="1">
      <c r="A52" s="256"/>
      <c r="B52" s="803"/>
      <c r="C52" s="808" t="s">
        <v>30</v>
      </c>
      <c r="D52" s="242">
        <v>25985</v>
      </c>
      <c r="E52" s="242">
        <v>25985</v>
      </c>
      <c r="F52" s="242"/>
      <c r="G52" s="271"/>
      <c r="H52" s="300">
        <v>-25985</v>
      </c>
      <c r="I52" s="299">
        <f t="shared" si="5"/>
        <v>0</v>
      </c>
      <c r="J52" s="242">
        <f t="shared" si="6"/>
        <v>0</v>
      </c>
      <c r="K52" s="242"/>
      <c r="L52" s="242"/>
      <c r="M52" s="25"/>
      <c r="N52" s="8"/>
    </row>
    <row r="53" spans="1:14" s="1" customFormat="1" ht="20.25" customHeight="1" thickBot="1">
      <c r="A53" s="262">
        <v>900</v>
      </c>
      <c r="B53" s="263"/>
      <c r="C53" s="373" t="s">
        <v>498</v>
      </c>
      <c r="D53" s="373">
        <v>19521000</v>
      </c>
      <c r="E53" s="373">
        <v>17711000</v>
      </c>
      <c r="F53" s="373">
        <v>1810000</v>
      </c>
      <c r="G53" s="379"/>
      <c r="H53" s="374">
        <f>H54</f>
        <v>-26000</v>
      </c>
      <c r="I53" s="380">
        <f t="shared" si="5"/>
        <v>19495000</v>
      </c>
      <c r="J53" s="373">
        <f t="shared" si="6"/>
        <v>17685000</v>
      </c>
      <c r="K53" s="373">
        <f>F53</f>
        <v>1810000</v>
      </c>
      <c r="L53" s="373"/>
      <c r="M53" s="25"/>
      <c r="N53" s="8"/>
    </row>
    <row r="54" spans="1:14" s="1" customFormat="1" ht="22.5" customHeight="1">
      <c r="A54" s="254"/>
      <c r="B54" s="476">
        <v>90015</v>
      </c>
      <c r="C54" s="196" t="s">
        <v>600</v>
      </c>
      <c r="D54" s="240">
        <v>76000</v>
      </c>
      <c r="E54" s="258">
        <v>76000</v>
      </c>
      <c r="F54" s="240"/>
      <c r="G54" s="811"/>
      <c r="H54" s="810">
        <f>H55</f>
        <v>-26000</v>
      </c>
      <c r="I54" s="259">
        <f t="shared" si="5"/>
        <v>50000</v>
      </c>
      <c r="J54" s="240">
        <f t="shared" si="6"/>
        <v>50000</v>
      </c>
      <c r="K54" s="240"/>
      <c r="L54" s="240"/>
      <c r="M54" s="25"/>
      <c r="N54" s="8"/>
    </row>
    <row r="55" spans="1:14" s="1" customFormat="1" ht="25.5" customHeight="1">
      <c r="A55" s="256"/>
      <c r="B55" s="809"/>
      <c r="C55" s="788" t="s">
        <v>17</v>
      </c>
      <c r="D55" s="788">
        <v>76000</v>
      </c>
      <c r="E55" s="789">
        <v>76000</v>
      </c>
      <c r="F55" s="788"/>
      <c r="G55" s="812"/>
      <c r="H55" s="813">
        <v>-26000</v>
      </c>
      <c r="I55" s="1428">
        <f t="shared" si="5"/>
        <v>50000</v>
      </c>
      <c r="J55" s="788">
        <f t="shared" si="6"/>
        <v>50000</v>
      </c>
      <c r="K55" s="807"/>
      <c r="L55" s="809"/>
      <c r="M55" s="25"/>
      <c r="N55" s="8"/>
    </row>
    <row r="56" ht="25.5" customHeight="1">
      <c r="C56"/>
    </row>
    <row r="57" spans="1:14" s="1" customFormat="1" ht="29.25" customHeight="1" thickBot="1">
      <c r="A57" s="476"/>
      <c r="B57" s="596"/>
      <c r="C57" s="96" t="s">
        <v>785</v>
      </c>
      <c r="D57" s="411"/>
      <c r="E57" s="1369"/>
      <c r="F57" s="411"/>
      <c r="G57" s="1370"/>
      <c r="H57" s="1371">
        <f>H58</f>
        <v>24000</v>
      </c>
      <c r="I57" s="1372">
        <f>SUM(J57:L57)</f>
        <v>24000</v>
      </c>
      <c r="J57" s="1373"/>
      <c r="K57" s="411">
        <f>G57+H57</f>
        <v>24000</v>
      </c>
      <c r="L57" s="1374"/>
      <c r="M57" s="25"/>
      <c r="N57" s="8"/>
    </row>
    <row r="58" spans="1:14" s="1" customFormat="1" ht="31.5" customHeight="1" thickBot="1" thickTop="1">
      <c r="A58" s="1363">
        <v>754</v>
      </c>
      <c r="B58" s="1364"/>
      <c r="C58" s="1400" t="s">
        <v>724</v>
      </c>
      <c r="D58" s="1365"/>
      <c r="E58" s="1366"/>
      <c r="F58" s="1365"/>
      <c r="G58" s="1367"/>
      <c r="H58" s="1401">
        <f>H59</f>
        <v>24000</v>
      </c>
      <c r="I58" s="1402">
        <f>SUM(J58:L58)</f>
        <v>24000</v>
      </c>
      <c r="J58" s="1403"/>
      <c r="K58" s="125">
        <f>G58+H58</f>
        <v>24000</v>
      </c>
      <c r="L58" s="1368"/>
      <c r="M58" s="25"/>
      <c r="N58" s="8"/>
    </row>
    <row r="59" spans="1:14" s="1" customFormat="1" ht="28.5" customHeight="1">
      <c r="A59" s="280"/>
      <c r="B59" s="256">
        <v>75411</v>
      </c>
      <c r="C59" s="416" t="s">
        <v>489</v>
      </c>
      <c r="D59" s="948"/>
      <c r="E59" s="948"/>
      <c r="F59" s="948"/>
      <c r="G59" s="951"/>
      <c r="H59" s="261">
        <f>H60</f>
        <v>24000</v>
      </c>
      <c r="I59" s="1361">
        <f>SUM(J59:L59)</f>
        <v>24000</v>
      </c>
      <c r="J59" s="1362"/>
      <c r="K59" s="589">
        <f>G59+H59</f>
        <v>24000</v>
      </c>
      <c r="L59" s="382"/>
      <c r="M59" s="25"/>
      <c r="N59" s="8"/>
    </row>
    <row r="60" spans="1:14" s="1" customFormat="1" ht="21" customHeight="1">
      <c r="A60" s="280"/>
      <c r="B60" s="280"/>
      <c r="C60" s="807" t="s">
        <v>20</v>
      </c>
      <c r="D60" s="796"/>
      <c r="E60" s="796"/>
      <c r="F60" s="796"/>
      <c r="G60" s="949"/>
      <c r="H60" s="300">
        <v>24000</v>
      </c>
      <c r="I60" s="949">
        <f>SUM(J60:L60)</f>
        <v>24000</v>
      </c>
      <c r="J60" s="950"/>
      <c r="K60" s="796">
        <f>G60+H60</f>
        <v>24000</v>
      </c>
      <c r="L60" s="290"/>
      <c r="M60" s="25"/>
      <c r="N60" s="8"/>
    </row>
    <row r="61" spans="1:13" ht="19.5" customHeight="1" thickBot="1">
      <c r="A61" s="457"/>
      <c r="B61" s="457"/>
      <c r="C61" s="818" t="s">
        <v>816</v>
      </c>
      <c r="D61" s="869">
        <v>446000</v>
      </c>
      <c r="E61" s="869"/>
      <c r="F61" s="869"/>
      <c r="G61" s="870">
        <v>446000</v>
      </c>
      <c r="H61" s="871">
        <f>H63</f>
        <v>100000</v>
      </c>
      <c r="I61" s="872">
        <f>L61</f>
        <v>546000</v>
      </c>
      <c r="J61" s="873"/>
      <c r="K61" s="873"/>
      <c r="L61" s="873">
        <f>L63</f>
        <v>546000</v>
      </c>
      <c r="M61" s="25"/>
    </row>
    <row r="62" spans="1:13" ht="19.5" customHeight="1" thickTop="1">
      <c r="A62" s="457"/>
      <c r="B62" s="457"/>
      <c r="C62" s="760" t="s">
        <v>826</v>
      </c>
      <c r="D62" s="876"/>
      <c r="E62" s="876"/>
      <c r="F62" s="876"/>
      <c r="G62" s="877"/>
      <c r="H62" s="878"/>
      <c r="I62" s="879"/>
      <c r="J62" s="876"/>
      <c r="K62" s="876"/>
      <c r="L62" s="876"/>
      <c r="M62" s="25"/>
    </row>
    <row r="63" spans="1:13" ht="30" customHeight="1">
      <c r="A63" s="119"/>
      <c r="B63" s="119"/>
      <c r="C63" s="761" t="s">
        <v>831</v>
      </c>
      <c r="D63" s="874">
        <v>446000</v>
      </c>
      <c r="E63" s="874"/>
      <c r="F63" s="874"/>
      <c r="G63" s="875">
        <v>446000</v>
      </c>
      <c r="H63" s="819">
        <f>H64</f>
        <v>100000</v>
      </c>
      <c r="I63" s="868">
        <f>SUM(J63:L63)</f>
        <v>546000</v>
      </c>
      <c r="J63" s="814"/>
      <c r="K63" s="814"/>
      <c r="L63" s="814">
        <f>G63+H63</f>
        <v>546000</v>
      </c>
      <c r="M63" s="25"/>
    </row>
    <row r="64" spans="1:13" ht="30" customHeight="1" thickBot="1">
      <c r="A64" s="262">
        <v>754</v>
      </c>
      <c r="B64" s="263"/>
      <c r="C64" s="373" t="s">
        <v>724</v>
      </c>
      <c r="D64" s="373">
        <v>262000</v>
      </c>
      <c r="E64" s="373"/>
      <c r="F64" s="373"/>
      <c r="G64" s="379">
        <v>262000</v>
      </c>
      <c r="H64" s="374">
        <f>H65</f>
        <v>100000</v>
      </c>
      <c r="I64" s="380">
        <f>SUM(J64:L64)</f>
        <v>362000</v>
      </c>
      <c r="J64" s="373"/>
      <c r="K64" s="373"/>
      <c r="L64" s="373">
        <f>G64+H64</f>
        <v>362000</v>
      </c>
      <c r="M64" s="25"/>
    </row>
    <row r="65" spans="1:13" ht="27.75" customHeight="1">
      <c r="A65" s="254"/>
      <c r="B65" s="255">
        <v>75411</v>
      </c>
      <c r="C65" s="240" t="s">
        <v>489</v>
      </c>
      <c r="D65" s="815">
        <v>250000</v>
      </c>
      <c r="E65" s="751"/>
      <c r="F65" s="751"/>
      <c r="G65" s="793">
        <v>250000</v>
      </c>
      <c r="H65" s="794">
        <f>H66</f>
        <v>100000</v>
      </c>
      <c r="I65" s="259">
        <f>SUM(J65:L65)</f>
        <v>350000</v>
      </c>
      <c r="J65" s="752"/>
      <c r="K65" s="752"/>
      <c r="L65" s="752">
        <f>G65+H65</f>
        <v>350000</v>
      </c>
      <c r="M65" s="25"/>
    </row>
    <row r="66" spans="1:13" ht="22.5" customHeight="1">
      <c r="A66" s="256"/>
      <c r="B66" s="256"/>
      <c r="C66" s="257" t="s">
        <v>20</v>
      </c>
      <c r="D66" s="816">
        <v>250000</v>
      </c>
      <c r="E66" s="751"/>
      <c r="F66" s="751"/>
      <c r="G66" s="817">
        <v>250000</v>
      </c>
      <c r="H66" s="813">
        <v>100000</v>
      </c>
      <c r="I66" s="260">
        <f>SUM(J66:L66)</f>
        <v>350000</v>
      </c>
      <c r="J66" s="796"/>
      <c r="K66" s="796"/>
      <c r="L66" s="796">
        <f>G66+H66</f>
        <v>350000</v>
      </c>
      <c r="M66" s="25"/>
    </row>
    <row r="67" spans="1:13" ht="19.5" customHeight="1">
      <c r="A67" s="757"/>
      <c r="B67" s="757"/>
      <c r="C67" s="758"/>
      <c r="D67" s="759"/>
      <c r="E67" s="759"/>
      <c r="F67" s="759"/>
      <c r="G67" s="759"/>
      <c r="H67" s="759"/>
      <c r="I67" s="759"/>
      <c r="J67" s="759"/>
      <c r="K67" s="759"/>
      <c r="L67" s="759"/>
      <c r="M67" s="25"/>
    </row>
    <row r="68" spans="1:13" ht="19.5" customHeight="1">
      <c r="A68" s="757"/>
      <c r="B68" s="757"/>
      <c r="C68" s="758"/>
      <c r="D68" s="759"/>
      <c r="E68" s="759"/>
      <c r="F68" s="759"/>
      <c r="G68" s="759"/>
      <c r="H68" s="759"/>
      <c r="I68" s="759"/>
      <c r="J68" s="759"/>
      <c r="K68" s="759"/>
      <c r="L68" s="759"/>
      <c r="M68" s="25"/>
    </row>
    <row r="69" ht="24.75" customHeight="1"/>
    <row r="70" spans="2:5" s="296" customFormat="1" ht="19.5" customHeight="1">
      <c r="B70" s="489"/>
      <c r="C70" s="296" t="s">
        <v>24</v>
      </c>
      <c r="E70" s="296" t="s">
        <v>22</v>
      </c>
    </row>
    <row r="71" spans="2:5" s="296" customFormat="1" ht="19.5" customHeight="1">
      <c r="B71" s="489"/>
      <c r="C71" s="297" t="s">
        <v>25</v>
      </c>
      <c r="E71" s="296" t="s">
        <v>26</v>
      </c>
    </row>
    <row r="72" spans="2:5" s="231" customFormat="1" ht="19.5" customHeight="1">
      <c r="B72" s="490"/>
      <c r="C72" s="409" t="s">
        <v>23</v>
      </c>
      <c r="E72" s="231" t="s">
        <v>27</v>
      </c>
    </row>
    <row r="73" s="231" customFormat="1" ht="19.5" customHeight="1">
      <c r="B73" s="491"/>
    </row>
    <row r="74" spans="2:13" s="231" customFormat="1" ht="19.5" customHeight="1">
      <c r="B74" s="1435"/>
      <c r="C74" s="1436"/>
      <c r="D74" s="1436"/>
      <c r="E74" s="1436"/>
      <c r="F74" s="1436"/>
      <c r="G74" s="1436"/>
      <c r="H74" s="1436"/>
      <c r="I74" s="1436"/>
      <c r="J74" s="1436"/>
      <c r="K74" s="1436"/>
      <c r="L74" s="1436"/>
      <c r="M74" s="1436"/>
    </row>
    <row r="75" s="231" customFormat="1" ht="19.5" customHeight="1">
      <c r="C75" s="232"/>
    </row>
    <row r="76" ht="12.75">
      <c r="B76" s="231"/>
    </row>
    <row r="77" spans="2:3" ht="12.75">
      <c r="B77" s="231"/>
      <c r="C77" s="492"/>
    </row>
  </sheetData>
  <mergeCells count="2">
    <mergeCell ref="D6:D7"/>
    <mergeCell ref="B74:M74"/>
  </mergeCells>
  <printOptions horizontalCentered="1"/>
  <pageMargins left="0.3937007874015748" right="0.3937007874015748" top="0.4330708661417323" bottom="0.3937007874015748" header="0.31496062992125984" footer="0.1968503937007874"/>
  <pageSetup firstPageNumber="15" useFirstPageNumber="1" horizontalDpi="300" verticalDpi="300" orientation="landscape" paperSize="9" scale="7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4"/>
  <dimension ref="A1:K76"/>
  <sheetViews>
    <sheetView zoomScale="90" zoomScaleNormal="90" zoomScaleSheetLayoutView="75" workbookViewId="0" topLeftCell="A8">
      <pane ySplit="1065" topLeftCell="BM67" activePane="bottomLeft" state="split"/>
      <selection pane="topLeft" activeCell="C8" sqref="C8"/>
      <selection pane="bottomLeft" activeCell="C78" sqref="C78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5.375" style="1" customWidth="1"/>
    <col min="4" max="9" width="15.75390625" style="1" customWidth="1"/>
    <col min="11" max="11" width="11.75390625" style="0" customWidth="1"/>
  </cols>
  <sheetData>
    <row r="1" spans="2:8" ht="13.5" customHeight="1">
      <c r="B1" s="26"/>
      <c r="C1" s="27"/>
      <c r="D1" s="27"/>
      <c r="G1" s="410" t="s">
        <v>391</v>
      </c>
      <c r="H1" s="28"/>
    </row>
    <row r="2" spans="1:7" ht="13.5" customHeight="1">
      <c r="A2" s="107" t="s">
        <v>796</v>
      </c>
      <c r="B2" s="107"/>
      <c r="C2" s="107"/>
      <c r="D2" s="29"/>
      <c r="G2" s="1" t="s">
        <v>658</v>
      </c>
    </row>
    <row r="3" spans="1:7" ht="13.5" customHeight="1">
      <c r="A3" s="107" t="s">
        <v>875</v>
      </c>
      <c r="C3" s="111"/>
      <c r="D3" s="30"/>
      <c r="G3" s="1" t="s">
        <v>817</v>
      </c>
    </row>
    <row r="4" spans="1:7" ht="13.5" customHeight="1">
      <c r="A4" s="107" t="s">
        <v>863</v>
      </c>
      <c r="C4" s="111"/>
      <c r="D4" s="30"/>
      <c r="G4" s="1" t="s">
        <v>371</v>
      </c>
    </row>
    <row r="5" spans="1:9" ht="6" customHeight="1">
      <c r="A5" s="31"/>
      <c r="B5" s="31"/>
      <c r="C5" s="31"/>
      <c r="D5" s="31"/>
      <c r="E5" s="32"/>
      <c r="F5" s="32"/>
      <c r="G5" s="32"/>
      <c r="H5" s="32"/>
      <c r="I5" s="32"/>
    </row>
    <row r="6" spans="5:9" ht="12" customHeight="1" thickBot="1">
      <c r="E6" s="33"/>
      <c r="F6" s="33"/>
      <c r="G6" s="33"/>
      <c r="H6" s="33"/>
      <c r="I6" s="3" t="s">
        <v>819</v>
      </c>
    </row>
    <row r="7" spans="1:9" ht="15" customHeight="1" thickTop="1">
      <c r="A7" s="34"/>
      <c r="B7" s="34"/>
      <c r="C7" s="35" t="s">
        <v>842</v>
      </c>
      <c r="D7" s="1441" t="s">
        <v>854</v>
      </c>
      <c r="E7" s="1438" t="s">
        <v>799</v>
      </c>
      <c r="F7" s="99"/>
      <c r="G7" s="1441" t="s">
        <v>855</v>
      </c>
      <c r="H7" s="1438" t="s">
        <v>799</v>
      </c>
      <c r="I7" s="1438" t="s">
        <v>797</v>
      </c>
    </row>
    <row r="8" spans="1:9" ht="83.25" customHeight="1" thickBot="1">
      <c r="A8" s="94" t="s">
        <v>840</v>
      </c>
      <c r="B8" s="36" t="s">
        <v>876</v>
      </c>
      <c r="C8" s="36" t="s">
        <v>541</v>
      </c>
      <c r="D8" s="1442"/>
      <c r="E8" s="1439"/>
      <c r="F8" s="36" t="s">
        <v>851</v>
      </c>
      <c r="G8" s="1444"/>
      <c r="H8" s="1443"/>
      <c r="I8" s="1440"/>
    </row>
    <row r="9" spans="1:9" ht="14.25" customHeight="1" thickBot="1" thickTop="1">
      <c r="A9" s="6">
        <v>1</v>
      </c>
      <c r="B9" s="6">
        <v>2</v>
      </c>
      <c r="C9" s="6">
        <v>3</v>
      </c>
      <c r="D9" s="37">
        <v>4</v>
      </c>
      <c r="E9" s="37">
        <v>5</v>
      </c>
      <c r="F9" s="37">
        <v>6</v>
      </c>
      <c r="G9" s="6">
        <v>7</v>
      </c>
      <c r="H9" s="6">
        <v>8</v>
      </c>
      <c r="I9" s="6">
        <v>9</v>
      </c>
    </row>
    <row r="10" spans="1:11" ht="18" customHeight="1" thickBot="1" thickTop="1">
      <c r="A10" s="137"/>
      <c r="B10" s="138"/>
      <c r="C10" s="134" t="s">
        <v>800</v>
      </c>
      <c r="D10" s="141">
        <f>D12+D48</f>
        <v>86626782</v>
      </c>
      <c r="E10" s="132">
        <f>E12+E48</f>
        <v>681011</v>
      </c>
      <c r="F10" s="132">
        <f>D10+E10</f>
        <v>87307793</v>
      </c>
      <c r="G10" s="132">
        <f>G12+G48</f>
        <v>79702382</v>
      </c>
      <c r="H10" s="132">
        <f>H12+H48</f>
        <v>681011</v>
      </c>
      <c r="I10" s="132">
        <f>G10+H10</f>
        <v>80383393</v>
      </c>
      <c r="K10" s="25">
        <f>'doch Pr'!H8</f>
        <v>777772568</v>
      </c>
    </row>
    <row r="11" spans="1:9" ht="12" customHeight="1">
      <c r="A11" s="123"/>
      <c r="B11" s="112"/>
      <c r="C11" s="135" t="s">
        <v>826</v>
      </c>
      <c r="D11" s="158"/>
      <c r="E11" s="133"/>
      <c r="F11" s="133"/>
      <c r="G11" s="133"/>
      <c r="H11" s="133"/>
      <c r="I11" s="139"/>
    </row>
    <row r="12" spans="1:11" ht="18" customHeight="1" thickBot="1">
      <c r="A12" s="228"/>
      <c r="B12" s="119"/>
      <c r="C12" s="224" t="s">
        <v>801</v>
      </c>
      <c r="D12" s="85">
        <v>59783064</v>
      </c>
      <c r="E12" s="225">
        <f>E13+E24+E33</f>
        <v>529025</v>
      </c>
      <c r="F12" s="225">
        <f>D12+E12</f>
        <v>60312089</v>
      </c>
      <c r="G12" s="225">
        <v>58419064</v>
      </c>
      <c r="H12" s="225">
        <f>H13+H19+H24+H33</f>
        <v>529025</v>
      </c>
      <c r="I12" s="85">
        <f aca="true" t="shared" si="0" ref="I12:I43">G12+H12</f>
        <v>58948089</v>
      </c>
      <c r="K12" s="25">
        <f>'doch Pr'!G22+'doch Pr'!G44</f>
        <v>681011</v>
      </c>
    </row>
    <row r="13" spans="1:9" ht="25.5" customHeight="1" thickTop="1">
      <c r="A13" s="1129">
        <v>751</v>
      </c>
      <c r="B13" s="605"/>
      <c r="C13" s="98" t="s">
        <v>754</v>
      </c>
      <c r="D13" s="98">
        <v>850166</v>
      </c>
      <c r="E13" s="98">
        <f>E14</f>
        <v>483820</v>
      </c>
      <c r="F13" s="98">
        <f>D13+E13</f>
        <v>1333986</v>
      </c>
      <c r="G13" s="98">
        <v>850166</v>
      </c>
      <c r="H13" s="98">
        <f>H14</f>
        <v>483820</v>
      </c>
      <c r="I13" s="98">
        <f t="shared" si="0"/>
        <v>1333986</v>
      </c>
    </row>
    <row r="14" spans="1:9" s="51" customFormat="1" ht="20.25" customHeight="1">
      <c r="A14" s="557"/>
      <c r="B14" s="1385">
        <v>75107</v>
      </c>
      <c r="C14" s="234" t="s">
        <v>490</v>
      </c>
      <c r="D14" s="234">
        <v>315306</v>
      </c>
      <c r="E14" s="234">
        <f>E15</f>
        <v>483820</v>
      </c>
      <c r="F14" s="234">
        <f>D14+E14</f>
        <v>799126</v>
      </c>
      <c r="G14" s="234">
        <v>315306</v>
      </c>
      <c r="H14" s="234">
        <f>H17</f>
        <v>483820</v>
      </c>
      <c r="I14" s="234">
        <f t="shared" si="0"/>
        <v>799126</v>
      </c>
    </row>
    <row r="15" spans="1:9" s="51" customFormat="1" ht="27.75" customHeight="1">
      <c r="A15" s="899"/>
      <c r="B15" s="1386"/>
      <c r="C15" s="235" t="s">
        <v>757</v>
      </c>
      <c r="D15" s="235">
        <v>315306</v>
      </c>
      <c r="E15" s="235">
        <f>E16</f>
        <v>483820</v>
      </c>
      <c r="F15" s="235">
        <f>D15+E15</f>
        <v>799126</v>
      </c>
      <c r="G15" s="235"/>
      <c r="H15" s="235"/>
      <c r="I15" s="777"/>
    </row>
    <row r="16" spans="1:9" s="50" customFormat="1" ht="29.25" customHeight="1">
      <c r="A16" s="220"/>
      <c r="B16" s="1387">
        <v>2010</v>
      </c>
      <c r="C16" s="236" t="s">
        <v>756</v>
      </c>
      <c r="D16" s="236">
        <v>315306</v>
      </c>
      <c r="E16" s="236">
        <f>241900+241920</f>
        <v>483820</v>
      </c>
      <c r="F16" s="236">
        <f>D16+E16</f>
        <v>799126</v>
      </c>
      <c r="G16" s="236"/>
      <c r="H16" s="236"/>
      <c r="I16" s="236"/>
    </row>
    <row r="17" spans="1:9" s="51" customFormat="1" ht="19.5" customHeight="1">
      <c r="A17" s="484"/>
      <c r="B17" s="1388"/>
      <c r="C17" s="197" t="s">
        <v>330</v>
      </c>
      <c r="D17" s="237"/>
      <c r="E17" s="237"/>
      <c r="F17" s="237"/>
      <c r="G17" s="237">
        <v>315306</v>
      </c>
      <c r="H17" s="219">
        <f>SUM(H18:H18)</f>
        <v>483820</v>
      </c>
      <c r="I17" s="237">
        <f t="shared" si="0"/>
        <v>799126</v>
      </c>
    </row>
    <row r="18" spans="1:9" s="51" customFormat="1" ht="19.5" customHeight="1">
      <c r="A18" s="484"/>
      <c r="B18" s="615">
        <v>3030</v>
      </c>
      <c r="C18" s="275" t="s">
        <v>488</v>
      </c>
      <c r="D18" s="265"/>
      <c r="E18" s="265"/>
      <c r="F18" s="265"/>
      <c r="G18" s="265"/>
      <c r="H18" s="275">
        <f>241900+241920</f>
        <v>483820</v>
      </c>
      <c r="I18" s="265">
        <f t="shared" si="0"/>
        <v>483820</v>
      </c>
    </row>
    <row r="19" spans="1:9" s="51" customFormat="1" ht="19.5" customHeight="1">
      <c r="A19" s="650">
        <v>754</v>
      </c>
      <c r="B19" s="1389"/>
      <c r="C19" s="239" t="s">
        <v>724</v>
      </c>
      <c r="D19" s="776">
        <v>1800</v>
      </c>
      <c r="E19" s="776"/>
      <c r="F19" s="776">
        <v>1800</v>
      </c>
      <c r="G19" s="776">
        <v>1800</v>
      </c>
      <c r="H19" s="775">
        <f>H20</f>
        <v>0</v>
      </c>
      <c r="I19" s="776">
        <f t="shared" si="0"/>
        <v>1800</v>
      </c>
    </row>
    <row r="20" spans="1:9" s="51" customFormat="1" ht="19.5" customHeight="1">
      <c r="A20" s="1382"/>
      <c r="B20" s="1390">
        <v>75414</v>
      </c>
      <c r="C20" s="240" t="s">
        <v>672</v>
      </c>
      <c r="D20" s="686">
        <v>1800</v>
      </c>
      <c r="E20" s="686"/>
      <c r="F20" s="686">
        <v>1800</v>
      </c>
      <c r="G20" s="686">
        <f>G21</f>
        <v>1800</v>
      </c>
      <c r="H20" s="414">
        <f>H21</f>
        <v>0</v>
      </c>
      <c r="I20" s="686">
        <f t="shared" si="0"/>
        <v>1800</v>
      </c>
    </row>
    <row r="21" spans="1:9" s="51" customFormat="1" ht="19.5" customHeight="1">
      <c r="A21" s="1383"/>
      <c r="B21" s="280"/>
      <c r="C21" s="1384" t="s">
        <v>673</v>
      </c>
      <c r="D21" s="498"/>
      <c r="E21" s="498"/>
      <c r="F21" s="498"/>
      <c r="G21" s="461">
        <f>SUM(G22:G23)</f>
        <v>1800</v>
      </c>
      <c r="H21" s="269">
        <f>H22+H23</f>
        <v>0</v>
      </c>
      <c r="I21" s="461">
        <f t="shared" si="0"/>
        <v>1800</v>
      </c>
    </row>
    <row r="22" spans="1:9" s="51" customFormat="1" ht="19.5" customHeight="1">
      <c r="A22" s="1383"/>
      <c r="B22" s="615">
        <v>4210</v>
      </c>
      <c r="C22" s="198" t="s">
        <v>674</v>
      </c>
      <c r="D22" s="577"/>
      <c r="E22" s="577"/>
      <c r="F22" s="577"/>
      <c r="G22" s="577">
        <v>200</v>
      </c>
      <c r="H22" s="475">
        <v>-200</v>
      </c>
      <c r="I22" s="577">
        <f t="shared" si="0"/>
        <v>0</v>
      </c>
    </row>
    <row r="23" spans="1:9" s="51" customFormat="1" ht="19.5" customHeight="1">
      <c r="A23" s="1383"/>
      <c r="B23" s="1353">
        <v>4300</v>
      </c>
      <c r="C23" s="682" t="s">
        <v>742</v>
      </c>
      <c r="D23" s="400"/>
      <c r="E23" s="400"/>
      <c r="F23" s="400"/>
      <c r="G23" s="400">
        <v>1600</v>
      </c>
      <c r="H23" s="298">
        <v>200</v>
      </c>
      <c r="I23" s="400">
        <f t="shared" si="0"/>
        <v>1800</v>
      </c>
    </row>
    <row r="24" spans="1:9" s="51" customFormat="1" ht="19.5" customHeight="1">
      <c r="A24" s="413">
        <v>851</v>
      </c>
      <c r="B24" s="229"/>
      <c r="C24" s="229" t="s">
        <v>877</v>
      </c>
      <c r="D24" s="212"/>
      <c r="E24" s="841">
        <f>E25</f>
        <v>1605</v>
      </c>
      <c r="F24" s="776">
        <f>D24+E24</f>
        <v>1605</v>
      </c>
      <c r="G24" s="776"/>
      <c r="H24" s="629">
        <f>H25</f>
        <v>1605</v>
      </c>
      <c r="I24" s="776">
        <f>G24+H24</f>
        <v>1605</v>
      </c>
    </row>
    <row r="25" spans="1:9" s="51" customFormat="1" ht="19.5" customHeight="1">
      <c r="A25" s="636"/>
      <c r="B25" s="286">
        <v>85195</v>
      </c>
      <c r="C25" s="286" t="s">
        <v>829</v>
      </c>
      <c r="D25" s="1378"/>
      <c r="E25" s="686">
        <f>E26</f>
        <v>1605</v>
      </c>
      <c r="F25" s="772">
        <f>D25+E25</f>
        <v>1605</v>
      </c>
      <c r="G25" s="686"/>
      <c r="H25" s="414">
        <f>H28</f>
        <v>1605</v>
      </c>
      <c r="I25" s="772">
        <f>G25+H25</f>
        <v>1605</v>
      </c>
    </row>
    <row r="26" spans="1:9" s="51" customFormat="1" ht="27" customHeight="1">
      <c r="A26" s="288"/>
      <c r="B26" s="289"/>
      <c r="C26" s="230" t="s">
        <v>519</v>
      </c>
      <c r="D26" s="607"/>
      <c r="E26" s="461">
        <f>E27</f>
        <v>1605</v>
      </c>
      <c r="F26" s="461">
        <f>D26+E26</f>
        <v>1605</v>
      </c>
      <c r="G26" s="498"/>
      <c r="H26" s="499"/>
      <c r="I26" s="498"/>
    </row>
    <row r="27" spans="1:9" s="51" customFormat="1" ht="26.25" customHeight="1">
      <c r="A27" s="188"/>
      <c r="B27" s="226">
        <v>2010</v>
      </c>
      <c r="C27" s="227" t="s">
        <v>756</v>
      </c>
      <c r="D27" s="617"/>
      <c r="E27" s="577">
        <v>1605</v>
      </c>
      <c r="F27" s="577">
        <f>D27+E27</f>
        <v>1605</v>
      </c>
      <c r="G27" s="577"/>
      <c r="H27" s="475"/>
      <c r="I27" s="577"/>
    </row>
    <row r="28" spans="1:9" s="51" customFormat="1" ht="18.75" customHeight="1">
      <c r="A28" s="590"/>
      <c r="B28" s="289"/>
      <c r="C28" s="230" t="s">
        <v>648</v>
      </c>
      <c r="D28" s="607"/>
      <c r="E28" s="498"/>
      <c r="F28" s="498"/>
      <c r="G28" s="498"/>
      <c r="H28" s="269">
        <f>SUM(H29:H31)</f>
        <v>1605</v>
      </c>
      <c r="I28" s="461">
        <f>G28+H28</f>
        <v>1605</v>
      </c>
    </row>
    <row r="29" spans="1:9" s="51" customFormat="1" ht="18.75" customHeight="1">
      <c r="A29" s="590"/>
      <c r="B29" s="188">
        <v>4010</v>
      </c>
      <c r="C29" s="188" t="s">
        <v>664</v>
      </c>
      <c r="D29" s="1002"/>
      <c r="E29" s="1379"/>
      <c r="F29" s="1379"/>
      <c r="G29" s="1379"/>
      <c r="H29" s="1380">
        <v>1341</v>
      </c>
      <c r="I29" s="577">
        <f>G29+H29</f>
        <v>1341</v>
      </c>
    </row>
    <row r="30" spans="1:9" s="51" customFormat="1" ht="18.75" customHeight="1">
      <c r="A30" s="590"/>
      <c r="B30" s="188">
        <v>4110</v>
      </c>
      <c r="C30" s="199" t="s">
        <v>665</v>
      </c>
      <c r="D30" s="1002"/>
      <c r="E30" s="400"/>
      <c r="F30" s="400"/>
      <c r="G30" s="400"/>
      <c r="H30" s="298">
        <v>231</v>
      </c>
      <c r="I30" s="400">
        <f>G30+H30</f>
        <v>231</v>
      </c>
    </row>
    <row r="31" spans="1:9" s="51" customFormat="1" ht="18.75" customHeight="1">
      <c r="A31" s="1391"/>
      <c r="B31" s="189">
        <v>4120</v>
      </c>
      <c r="C31" s="189" t="s">
        <v>666</v>
      </c>
      <c r="D31" s="1002"/>
      <c r="E31" s="400"/>
      <c r="F31" s="400"/>
      <c r="G31" s="400"/>
      <c r="H31" s="298">
        <v>33</v>
      </c>
      <c r="I31" s="400">
        <f>G31+H31</f>
        <v>33</v>
      </c>
    </row>
    <row r="32" spans="1:9" ht="27.75" customHeight="1">
      <c r="A32"/>
      <c r="B32"/>
      <c r="C32"/>
      <c r="D32"/>
      <c r="E32"/>
      <c r="F32"/>
      <c r="G32"/>
      <c r="H32"/>
      <c r="I32"/>
    </row>
    <row r="33" spans="1:9" s="51" customFormat="1" ht="18.75" customHeight="1">
      <c r="A33" s="412">
        <v>852</v>
      </c>
      <c r="B33" s="412"/>
      <c r="C33" s="412" t="s">
        <v>746</v>
      </c>
      <c r="D33" s="774">
        <v>56044200</v>
      </c>
      <c r="E33" s="841">
        <f>E34+E39+E43</f>
        <v>43600</v>
      </c>
      <c r="F33" s="840">
        <f>D33+E33</f>
        <v>56087800</v>
      </c>
      <c r="G33" s="629">
        <v>55966200</v>
      </c>
      <c r="H33" s="841">
        <f>H34+H39+H43</f>
        <v>43600</v>
      </c>
      <c r="I33" s="1381">
        <f t="shared" si="0"/>
        <v>56009800</v>
      </c>
    </row>
    <row r="34" spans="1:9" s="51" customFormat="1" ht="27" customHeight="1">
      <c r="A34" s="1093"/>
      <c r="B34" s="193">
        <v>85212</v>
      </c>
      <c r="C34" s="429" t="s">
        <v>588</v>
      </c>
      <c r="D34" s="773">
        <v>45881000</v>
      </c>
      <c r="E34" s="400"/>
      <c r="F34" s="686">
        <f>D34+E34</f>
        <v>45881000</v>
      </c>
      <c r="G34" s="773">
        <v>45881000</v>
      </c>
      <c r="H34" s="414">
        <f>H35</f>
        <v>0</v>
      </c>
      <c r="I34" s="772">
        <f t="shared" si="0"/>
        <v>45881000</v>
      </c>
    </row>
    <row r="35" spans="1:9" s="51" customFormat="1" ht="18" customHeight="1">
      <c r="A35" s="191"/>
      <c r="B35" s="478"/>
      <c r="C35" s="496" t="s">
        <v>828</v>
      </c>
      <c r="D35" s="498"/>
      <c r="E35" s="498"/>
      <c r="F35" s="498"/>
      <c r="G35" s="269">
        <v>361039</v>
      </c>
      <c r="H35" s="269">
        <f>SUM(H36:H38)</f>
        <v>0</v>
      </c>
      <c r="I35" s="461">
        <f t="shared" si="0"/>
        <v>361039</v>
      </c>
    </row>
    <row r="36" spans="1:9" s="51" customFormat="1" ht="17.25" customHeight="1">
      <c r="A36" s="191"/>
      <c r="B36" s="189">
        <v>4260</v>
      </c>
      <c r="C36" s="189" t="s">
        <v>741</v>
      </c>
      <c r="D36" s="265"/>
      <c r="E36" s="265"/>
      <c r="F36" s="265"/>
      <c r="G36" s="275">
        <v>20000</v>
      </c>
      <c r="H36" s="275">
        <v>9000</v>
      </c>
      <c r="I36" s="265">
        <f t="shared" si="0"/>
        <v>29000</v>
      </c>
    </row>
    <row r="37" spans="1:9" s="51" customFormat="1" ht="19.5" customHeight="1">
      <c r="A37" s="191"/>
      <c r="B37" s="478">
        <v>4300</v>
      </c>
      <c r="C37" s="478" t="s">
        <v>742</v>
      </c>
      <c r="D37" s="400"/>
      <c r="E37" s="400"/>
      <c r="F37" s="400"/>
      <c r="G37" s="298">
        <v>185450</v>
      </c>
      <c r="H37" s="298">
        <v>-9400</v>
      </c>
      <c r="I37" s="400">
        <f t="shared" si="0"/>
        <v>176050</v>
      </c>
    </row>
    <row r="38" spans="1:9" s="51" customFormat="1" ht="19.5" customHeight="1">
      <c r="A38" s="191"/>
      <c r="B38" s="222">
        <v>4350</v>
      </c>
      <c r="C38" s="222" t="s">
        <v>589</v>
      </c>
      <c r="D38" s="577"/>
      <c r="E38" s="577"/>
      <c r="F38" s="577"/>
      <c r="G38" s="298">
        <v>900</v>
      </c>
      <c r="H38" s="475">
        <v>400</v>
      </c>
      <c r="I38" s="577">
        <f t="shared" si="0"/>
        <v>1300</v>
      </c>
    </row>
    <row r="39" spans="1:9" s="51" customFormat="1" ht="19.5" customHeight="1">
      <c r="A39" s="864"/>
      <c r="B39" s="205">
        <v>85214</v>
      </c>
      <c r="C39" s="429" t="s">
        <v>590</v>
      </c>
      <c r="D39" s="686">
        <v>7704200</v>
      </c>
      <c r="E39" s="686"/>
      <c r="F39" s="686">
        <f>D39+E39</f>
        <v>7704200</v>
      </c>
      <c r="G39" s="414">
        <f>G40</f>
        <v>7704200</v>
      </c>
      <c r="H39" s="414">
        <v>0</v>
      </c>
      <c r="I39" s="772">
        <f t="shared" si="0"/>
        <v>7704200</v>
      </c>
    </row>
    <row r="40" spans="1:9" s="51" customFormat="1" ht="19.5" customHeight="1">
      <c r="A40" s="191"/>
      <c r="B40" s="194"/>
      <c r="C40" s="496" t="s">
        <v>591</v>
      </c>
      <c r="D40" s="461"/>
      <c r="E40" s="461"/>
      <c r="F40" s="461"/>
      <c r="G40" s="269">
        <f>SUM(G41:G42)</f>
        <v>7704200</v>
      </c>
      <c r="H40" s="269">
        <f>SUM(H41:H42)</f>
        <v>0</v>
      </c>
      <c r="I40" s="461">
        <f t="shared" si="0"/>
        <v>7704200</v>
      </c>
    </row>
    <row r="41" spans="1:9" s="51" customFormat="1" ht="19.5" customHeight="1">
      <c r="A41" s="191"/>
      <c r="B41" s="189">
        <v>3110</v>
      </c>
      <c r="C41" s="189" t="s">
        <v>729</v>
      </c>
      <c r="D41" s="577"/>
      <c r="E41" s="577"/>
      <c r="F41" s="577"/>
      <c r="G41" s="475">
        <v>7702970</v>
      </c>
      <c r="H41" s="270">
        <v>-195</v>
      </c>
      <c r="I41" s="443">
        <f t="shared" si="0"/>
        <v>7702775</v>
      </c>
    </row>
    <row r="42" spans="1:9" s="51" customFormat="1" ht="19.5" customHeight="1">
      <c r="A42" s="191"/>
      <c r="B42" s="222">
        <v>4110</v>
      </c>
      <c r="C42" s="199" t="s">
        <v>665</v>
      </c>
      <c r="D42" s="400"/>
      <c r="E42" s="400"/>
      <c r="F42" s="400"/>
      <c r="G42" s="298">
        <v>1230</v>
      </c>
      <c r="H42" s="275">
        <v>195</v>
      </c>
      <c r="I42" s="577">
        <f t="shared" si="0"/>
        <v>1425</v>
      </c>
    </row>
    <row r="43" spans="1:9" s="51" customFormat="1" ht="19.5" customHeight="1">
      <c r="A43" s="1093"/>
      <c r="B43" s="203">
        <v>85278</v>
      </c>
      <c r="C43" s="383" t="s">
        <v>727</v>
      </c>
      <c r="D43" s="620">
        <v>82000</v>
      </c>
      <c r="E43" s="620">
        <f>E44</f>
        <v>43600</v>
      </c>
      <c r="F43" s="1377">
        <f>D43+E43</f>
        <v>125600</v>
      </c>
      <c r="G43" s="620">
        <v>82000</v>
      </c>
      <c r="H43" s="771">
        <f>H46</f>
        <v>43600</v>
      </c>
      <c r="I43" s="772">
        <f t="shared" si="0"/>
        <v>125600</v>
      </c>
    </row>
    <row r="44" spans="1:9" s="51" customFormat="1" ht="28.5" customHeight="1">
      <c r="A44" s="1093"/>
      <c r="B44" s="767"/>
      <c r="C44" s="768" t="s">
        <v>562</v>
      </c>
      <c r="D44" s="461">
        <v>82000</v>
      </c>
      <c r="E44" s="461">
        <f>E45</f>
        <v>43600</v>
      </c>
      <c r="F44" s="461">
        <f>D44+E44</f>
        <v>125600</v>
      </c>
      <c r="G44" s="498"/>
      <c r="H44" s="499"/>
      <c r="I44" s="498"/>
    </row>
    <row r="45" spans="1:9" s="51" customFormat="1" ht="26.25" customHeight="1">
      <c r="A45" s="1093"/>
      <c r="B45" s="769">
        <v>2010</v>
      </c>
      <c r="C45" s="770" t="s">
        <v>549</v>
      </c>
      <c r="D45" s="443">
        <v>82000</v>
      </c>
      <c r="E45" s="443">
        <v>43600</v>
      </c>
      <c r="F45" s="443">
        <f>D45+E45</f>
        <v>125600</v>
      </c>
      <c r="G45" s="443"/>
      <c r="H45" s="270"/>
      <c r="I45" s="443"/>
    </row>
    <row r="46" spans="1:9" s="51" customFormat="1" ht="19.5" customHeight="1">
      <c r="A46" s="191"/>
      <c r="B46" s="194"/>
      <c r="C46" s="384" t="s">
        <v>728</v>
      </c>
      <c r="D46" s="498"/>
      <c r="E46" s="498"/>
      <c r="F46" s="498"/>
      <c r="G46" s="461">
        <f>G47</f>
        <v>82000</v>
      </c>
      <c r="H46" s="269">
        <v>43600</v>
      </c>
      <c r="I46" s="461">
        <f>G46+H46</f>
        <v>125600</v>
      </c>
    </row>
    <row r="47" spans="1:9" s="51" customFormat="1" ht="19.5" customHeight="1">
      <c r="A47" s="191"/>
      <c r="B47" s="189">
        <v>3110</v>
      </c>
      <c r="C47" s="233" t="s">
        <v>729</v>
      </c>
      <c r="D47" s="443"/>
      <c r="E47" s="443"/>
      <c r="F47" s="443"/>
      <c r="G47" s="443">
        <v>82000</v>
      </c>
      <c r="H47" s="270">
        <v>43600</v>
      </c>
      <c r="I47" s="443">
        <f>G47+H47</f>
        <v>125600</v>
      </c>
    </row>
    <row r="48" spans="1:9" s="51" customFormat="1" ht="27.75" customHeight="1" thickBot="1">
      <c r="A48" s="136"/>
      <c r="B48" s="114"/>
      <c r="C48" s="96" t="s">
        <v>847</v>
      </c>
      <c r="D48" s="97">
        <v>26843718</v>
      </c>
      <c r="E48" s="97">
        <f>E56+E66</f>
        <v>151986</v>
      </c>
      <c r="F48" s="97">
        <f>D48+E48</f>
        <v>26995704</v>
      </c>
      <c r="G48" s="97">
        <v>21283318</v>
      </c>
      <c r="H48" s="97">
        <f>H49+H56+H66</f>
        <v>151986</v>
      </c>
      <c r="I48" s="97">
        <f>G48+H48</f>
        <v>21435304</v>
      </c>
    </row>
    <row r="49" spans="1:9" s="51" customFormat="1" ht="18.75" customHeight="1" thickTop="1">
      <c r="A49" s="565">
        <v>700</v>
      </c>
      <c r="B49" s="192"/>
      <c r="C49" s="192" t="s">
        <v>496</v>
      </c>
      <c r="D49" s="600">
        <v>6341003</v>
      </c>
      <c r="E49" s="600"/>
      <c r="F49" s="600">
        <v>6341003</v>
      </c>
      <c r="G49" s="600">
        <v>930003</v>
      </c>
      <c r="H49" s="600">
        <f>H50</f>
        <v>0</v>
      </c>
      <c r="I49" s="600">
        <f aca="true" t="shared" si="1" ref="I49:I62">G49+H49</f>
        <v>930003</v>
      </c>
    </row>
    <row r="50" spans="1:9" s="51" customFormat="1" ht="18.75" customHeight="1">
      <c r="A50" s="1376"/>
      <c r="B50" s="203">
        <v>70005</v>
      </c>
      <c r="C50" s="383" t="s">
        <v>856</v>
      </c>
      <c r="D50" s="562">
        <v>6341003</v>
      </c>
      <c r="E50" s="562"/>
      <c r="F50" s="562">
        <v>6341003</v>
      </c>
      <c r="G50" s="562">
        <v>930003</v>
      </c>
      <c r="H50" s="562">
        <f>H51</f>
        <v>0</v>
      </c>
      <c r="I50" s="562">
        <f t="shared" si="1"/>
        <v>930003</v>
      </c>
    </row>
    <row r="51" spans="1:9" s="51" customFormat="1" ht="18.75" customHeight="1">
      <c r="A51" s="458"/>
      <c r="B51" s="194"/>
      <c r="C51" s="384" t="s">
        <v>767</v>
      </c>
      <c r="D51" s="517"/>
      <c r="E51" s="517"/>
      <c r="F51" s="517"/>
      <c r="G51" s="566">
        <v>930003</v>
      </c>
      <c r="H51" s="566">
        <f>SUM(H52:H55)</f>
        <v>0</v>
      </c>
      <c r="I51" s="566">
        <f t="shared" si="1"/>
        <v>930003</v>
      </c>
    </row>
    <row r="52" spans="1:9" s="51" customFormat="1" ht="18.75" customHeight="1">
      <c r="A52" s="459"/>
      <c r="B52" s="189">
        <v>4300</v>
      </c>
      <c r="C52" s="444" t="s">
        <v>742</v>
      </c>
      <c r="D52" s="558"/>
      <c r="E52" s="558"/>
      <c r="F52" s="558"/>
      <c r="G52" s="560">
        <v>91934</v>
      </c>
      <c r="H52" s="560">
        <v>-28605</v>
      </c>
      <c r="I52" s="560">
        <f t="shared" si="1"/>
        <v>63329</v>
      </c>
    </row>
    <row r="53" spans="1:9" s="51" customFormat="1" ht="18.75" customHeight="1">
      <c r="A53" s="459"/>
      <c r="B53" s="222">
        <v>4480</v>
      </c>
      <c r="C53" s="377" t="s">
        <v>745</v>
      </c>
      <c r="D53" s="559"/>
      <c r="E53" s="559"/>
      <c r="F53" s="559"/>
      <c r="G53" s="377"/>
      <c r="H53" s="377">
        <v>4000</v>
      </c>
      <c r="I53" s="560">
        <f t="shared" si="1"/>
        <v>4000</v>
      </c>
    </row>
    <row r="54" spans="1:9" s="51" customFormat="1" ht="18.75" customHeight="1">
      <c r="A54" s="459"/>
      <c r="B54" s="222">
        <v>4590</v>
      </c>
      <c r="C54" s="485" t="s">
        <v>744</v>
      </c>
      <c r="D54" s="559"/>
      <c r="E54" s="559"/>
      <c r="F54" s="559"/>
      <c r="G54" s="377">
        <v>811128</v>
      </c>
      <c r="H54" s="377">
        <v>24046</v>
      </c>
      <c r="I54" s="560">
        <f t="shared" si="1"/>
        <v>835174</v>
      </c>
    </row>
    <row r="55" spans="1:9" s="51" customFormat="1" ht="18.75" customHeight="1">
      <c r="A55" s="136"/>
      <c r="B55" s="222">
        <v>4610</v>
      </c>
      <c r="C55" s="445" t="s">
        <v>743</v>
      </c>
      <c r="D55" s="559"/>
      <c r="E55" s="559"/>
      <c r="F55" s="559"/>
      <c r="G55" s="377">
        <v>26941</v>
      </c>
      <c r="H55" s="377">
        <v>559</v>
      </c>
      <c r="I55" s="560">
        <f t="shared" si="1"/>
        <v>27500</v>
      </c>
    </row>
    <row r="56" spans="1:9" s="51" customFormat="1" ht="18.75" customHeight="1">
      <c r="A56" s="565">
        <v>754</v>
      </c>
      <c r="B56" s="192"/>
      <c r="C56" s="238" t="s">
        <v>724</v>
      </c>
      <c r="D56" s="98">
        <v>12935400</v>
      </c>
      <c r="E56" s="98">
        <f>E57</f>
        <v>142000</v>
      </c>
      <c r="F56" s="98">
        <f aca="true" t="shared" si="2" ref="F56:F61">D56+E56</f>
        <v>13077400</v>
      </c>
      <c r="G56" s="98">
        <v>12853000</v>
      </c>
      <c r="H56" s="98">
        <f>H57</f>
        <v>142000</v>
      </c>
      <c r="I56" s="98">
        <f t="shared" si="1"/>
        <v>12995000</v>
      </c>
    </row>
    <row r="57" spans="1:9" s="51" customFormat="1" ht="18.75" customHeight="1">
      <c r="A57" s="458"/>
      <c r="B57" s="193">
        <v>75411</v>
      </c>
      <c r="C57" s="481" t="s">
        <v>489</v>
      </c>
      <c r="D57" s="522">
        <v>12923400</v>
      </c>
      <c r="E57" s="522">
        <f>E58+E60</f>
        <v>142000</v>
      </c>
      <c r="F57" s="522">
        <f t="shared" si="2"/>
        <v>13065400</v>
      </c>
      <c r="G57" s="522">
        <v>12841000</v>
      </c>
      <c r="H57" s="522">
        <f>H62+H64</f>
        <v>142000</v>
      </c>
      <c r="I57" s="522">
        <f t="shared" si="1"/>
        <v>12983000</v>
      </c>
    </row>
    <row r="58" spans="1:9" s="51" customFormat="1" ht="27.75" customHeight="1">
      <c r="A58" s="458"/>
      <c r="B58" s="592"/>
      <c r="C58" s="593" t="s">
        <v>680</v>
      </c>
      <c r="D58" s="521">
        <v>12591000</v>
      </c>
      <c r="E58" s="521">
        <f>E59</f>
        <v>42000</v>
      </c>
      <c r="F58" s="521">
        <f t="shared" si="2"/>
        <v>12633000</v>
      </c>
      <c r="G58" s="518"/>
      <c r="H58" s="599"/>
      <c r="I58" s="599"/>
    </row>
    <row r="59" spans="1:9" s="51" customFormat="1" ht="40.5" customHeight="1">
      <c r="A59" s="458"/>
      <c r="B59" s="396">
        <v>2110</v>
      </c>
      <c r="C59" s="420" t="s">
        <v>332</v>
      </c>
      <c r="D59" s="520">
        <v>12591000</v>
      </c>
      <c r="E59" s="520">
        <v>42000</v>
      </c>
      <c r="F59" s="1375">
        <f t="shared" si="2"/>
        <v>12633000</v>
      </c>
      <c r="G59" s="517"/>
      <c r="H59" s="522"/>
      <c r="I59" s="522"/>
    </row>
    <row r="60" spans="1:9" s="51" customFormat="1" ht="25.5" customHeight="1">
      <c r="A60" s="458"/>
      <c r="B60" s="206"/>
      <c r="C60" s="593" t="s">
        <v>481</v>
      </c>
      <c r="D60" s="521">
        <v>250000</v>
      </c>
      <c r="E60" s="521">
        <f>E61</f>
        <v>100000</v>
      </c>
      <c r="F60" s="521">
        <f t="shared" si="2"/>
        <v>350000</v>
      </c>
      <c r="G60" s="518"/>
      <c r="H60" s="595"/>
      <c r="I60" s="595"/>
    </row>
    <row r="61" spans="1:9" s="51" customFormat="1" ht="27" customHeight="1">
      <c r="A61" s="458"/>
      <c r="B61" s="396">
        <v>6410</v>
      </c>
      <c r="C61" s="639" t="s">
        <v>482</v>
      </c>
      <c r="D61" s="92">
        <v>250000</v>
      </c>
      <c r="E61" s="92">
        <v>100000</v>
      </c>
      <c r="F61" s="92">
        <f t="shared" si="2"/>
        <v>350000</v>
      </c>
      <c r="G61" s="598"/>
      <c r="H61" s="92"/>
      <c r="I61" s="92"/>
    </row>
    <row r="62" spans="1:9" s="51" customFormat="1" ht="18.75" customHeight="1">
      <c r="A62" s="459"/>
      <c r="B62" s="478"/>
      <c r="C62" s="384" t="s">
        <v>828</v>
      </c>
      <c r="D62" s="599"/>
      <c r="E62" s="599"/>
      <c r="F62" s="595"/>
      <c r="G62" s="521">
        <v>3007700</v>
      </c>
      <c r="H62" s="521">
        <f>H63</f>
        <v>42000</v>
      </c>
      <c r="I62" s="521">
        <f t="shared" si="1"/>
        <v>3049700</v>
      </c>
    </row>
    <row r="63" spans="1:9" s="51" customFormat="1" ht="18.75" customHeight="1">
      <c r="A63" s="460"/>
      <c r="B63" s="189">
        <v>4210</v>
      </c>
      <c r="C63" s="497" t="s">
        <v>674</v>
      </c>
      <c r="D63" s="598"/>
      <c r="E63" s="598"/>
      <c r="F63" s="92"/>
      <c r="G63" s="92">
        <v>407300</v>
      </c>
      <c r="H63" s="92">
        <v>42000</v>
      </c>
      <c r="I63" s="92">
        <f>G63+H63</f>
        <v>449300</v>
      </c>
    </row>
    <row r="64" spans="1:9" s="51" customFormat="1" ht="18.75" customHeight="1">
      <c r="A64" s="458"/>
      <c r="B64" s="191"/>
      <c r="C64" s="1392" t="s">
        <v>647</v>
      </c>
      <c r="D64" s="1393"/>
      <c r="E64" s="1393"/>
      <c r="F64" s="1393"/>
      <c r="G64" s="1394">
        <v>250000</v>
      </c>
      <c r="H64" s="1394">
        <f>H65</f>
        <v>100000</v>
      </c>
      <c r="I64" s="1394">
        <f>G64+H64</f>
        <v>350000</v>
      </c>
    </row>
    <row r="65" spans="1:9" s="51" customFormat="1" ht="18.75" customHeight="1">
      <c r="A65" s="460"/>
      <c r="B65" s="189">
        <v>6060</v>
      </c>
      <c r="C65" s="10" t="s">
        <v>671</v>
      </c>
      <c r="D65" s="598"/>
      <c r="E65" s="598"/>
      <c r="F65" s="598"/>
      <c r="G65" s="92">
        <v>250000</v>
      </c>
      <c r="H65" s="92">
        <v>100000</v>
      </c>
      <c r="I65" s="92">
        <f>G65+H65</f>
        <v>350000</v>
      </c>
    </row>
    <row r="66" spans="1:9" ht="18.75" customHeight="1">
      <c r="A66" s="417">
        <v>853</v>
      </c>
      <c r="B66" s="211"/>
      <c r="C66" s="238" t="s">
        <v>752</v>
      </c>
      <c r="D66" s="248">
        <v>561154</v>
      </c>
      <c r="E66" s="248">
        <f>E67</f>
        <v>9986</v>
      </c>
      <c r="F66" s="248">
        <f>SUM(D66:E66)</f>
        <v>571140</v>
      </c>
      <c r="G66" s="248">
        <v>561154</v>
      </c>
      <c r="H66" s="248">
        <f>H67</f>
        <v>9986</v>
      </c>
      <c r="I66" s="248">
        <f>SUM(G66:H66)</f>
        <v>571140</v>
      </c>
    </row>
    <row r="67" spans="1:9" ht="21.75" customHeight="1">
      <c r="A67" s="419"/>
      <c r="B67" s="364">
        <v>85334</v>
      </c>
      <c r="C67" s="416" t="s">
        <v>753</v>
      </c>
      <c r="D67" s="196">
        <v>35154</v>
      </c>
      <c r="E67" s="196">
        <f>E68</f>
        <v>9986</v>
      </c>
      <c r="F67" s="434">
        <f>D67+E67</f>
        <v>45140</v>
      </c>
      <c r="G67" s="196">
        <v>35154</v>
      </c>
      <c r="H67" s="196">
        <f>H70</f>
        <v>9986</v>
      </c>
      <c r="I67" s="196">
        <f>G67+H67</f>
        <v>45140</v>
      </c>
    </row>
    <row r="68" spans="1:9" ht="18" customHeight="1">
      <c r="A68" s="264"/>
      <c r="B68" s="191"/>
      <c r="C68" s="399" t="s">
        <v>563</v>
      </c>
      <c r="D68" s="219">
        <v>35154</v>
      </c>
      <c r="E68" s="219">
        <f>E69</f>
        <v>9986</v>
      </c>
      <c r="F68" s="219">
        <f>D68+E68</f>
        <v>45140</v>
      </c>
      <c r="G68" s="219"/>
      <c r="H68" s="219"/>
      <c r="I68" s="219"/>
    </row>
    <row r="69" spans="1:9" ht="37.5" customHeight="1">
      <c r="A69" s="415"/>
      <c r="B69" s="189">
        <v>2110</v>
      </c>
      <c r="C69" s="420" t="s">
        <v>332</v>
      </c>
      <c r="D69" s="220">
        <v>35154</v>
      </c>
      <c r="E69" s="220">
        <v>9986</v>
      </c>
      <c r="F69" s="220">
        <f>D69+E69</f>
        <v>45140</v>
      </c>
      <c r="G69" s="392"/>
      <c r="H69" s="392"/>
      <c r="I69" s="392"/>
    </row>
    <row r="70" spans="1:9" ht="17.25" customHeight="1">
      <c r="A70" s="458"/>
      <c r="B70" s="188"/>
      <c r="C70" s="446" t="s">
        <v>331</v>
      </c>
      <c r="D70" s="461"/>
      <c r="E70" s="461"/>
      <c r="F70" s="461"/>
      <c r="G70" s="461">
        <v>35154</v>
      </c>
      <c r="H70" s="461">
        <f>H71</f>
        <v>9986</v>
      </c>
      <c r="I70" s="461">
        <f>G70+H70</f>
        <v>45140</v>
      </c>
    </row>
    <row r="71" spans="1:9" ht="24" customHeight="1">
      <c r="A71" s="460"/>
      <c r="B71" s="430">
        <v>3110</v>
      </c>
      <c r="C71" s="200" t="s">
        <v>729</v>
      </c>
      <c r="D71" s="265"/>
      <c r="E71" s="265"/>
      <c r="F71" s="265"/>
      <c r="G71" s="265">
        <v>28392</v>
      </c>
      <c r="H71" s="265">
        <v>9986</v>
      </c>
      <c r="I71" s="265">
        <f>G71+H71</f>
        <v>38378</v>
      </c>
    </row>
    <row r="72" ht="18.75" customHeight="1"/>
    <row r="73" ht="18.75" customHeight="1"/>
    <row r="74" spans="2:4" ht="18.75" customHeight="1">
      <c r="B74" s="296" t="s">
        <v>24</v>
      </c>
      <c r="C74" s="296"/>
      <c r="D74" s="296" t="s">
        <v>22</v>
      </c>
    </row>
    <row r="75" spans="2:4" ht="18.75" customHeight="1">
      <c r="B75" s="297" t="s">
        <v>25</v>
      </c>
      <c r="C75" s="296"/>
      <c r="D75" s="296" t="s">
        <v>26</v>
      </c>
    </row>
    <row r="76" spans="2:4" ht="18.75" customHeight="1">
      <c r="B76" s="409" t="s">
        <v>23</v>
      </c>
      <c r="C76" s="231"/>
      <c r="D76" s="231" t="s">
        <v>27</v>
      </c>
    </row>
    <row r="77" ht="20.25" customHeight="1"/>
    <row r="78" ht="38.25" customHeight="1"/>
    <row r="79" ht="24" customHeight="1"/>
    <row r="80" ht="18.75" customHeight="1"/>
    <row r="81" ht="18.75" customHeight="1"/>
  </sheetData>
  <mergeCells count="5">
    <mergeCell ref="E7:E8"/>
    <mergeCell ref="I7:I8"/>
    <mergeCell ref="D7:D8"/>
    <mergeCell ref="H7:H8"/>
    <mergeCell ref="G7:G8"/>
  </mergeCells>
  <printOptions horizontalCentered="1"/>
  <pageMargins left="0.5905511811023623" right="0.5905511811023623" top="0.5511811023622047" bottom="0.6692913385826772" header="0.5118110236220472" footer="0.5118110236220472"/>
  <pageSetup firstPageNumber="69" useFirstPageNumber="1" horizontalDpi="300" verticalDpi="300" orientation="landscape" paperSize="9" scale="7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5"/>
  <dimension ref="A1:L44"/>
  <sheetViews>
    <sheetView zoomScale="80" zoomScaleNormal="80" zoomScaleSheetLayoutView="75" workbookViewId="0" topLeftCell="A34">
      <selection activeCell="C51" sqref="C51"/>
    </sheetView>
  </sheetViews>
  <sheetFormatPr defaultColWidth="9.00390625" defaultRowHeight="12.75"/>
  <cols>
    <col min="1" max="1" width="6.25390625" style="0" customWidth="1"/>
    <col min="2" max="2" width="8.00390625" style="0" customWidth="1"/>
    <col min="3" max="3" width="52.75390625" style="0" customWidth="1"/>
    <col min="4" max="4" width="16.375" style="0" customWidth="1"/>
    <col min="5" max="8" width="13.75390625" style="0" customWidth="1"/>
    <col min="9" max="9" width="11.375" style="25" customWidth="1"/>
    <col min="10" max="10" width="12.625" style="25" customWidth="1"/>
    <col min="11" max="12" width="11.375" style="25" customWidth="1"/>
    <col min="13" max="16384" width="11.375" style="0" customWidth="1"/>
  </cols>
  <sheetData>
    <row r="1" spans="1:8" ht="15.75" customHeight="1">
      <c r="A1" s="38"/>
      <c r="B1" s="38"/>
      <c r="C1" s="38"/>
      <c r="D1" s="38"/>
      <c r="E1" s="39"/>
      <c r="F1" s="39"/>
      <c r="G1" s="40" t="s">
        <v>392</v>
      </c>
      <c r="H1" s="39"/>
    </row>
    <row r="2" spans="1:8" ht="15.75" customHeight="1">
      <c r="A2" s="38"/>
      <c r="B2" s="41"/>
      <c r="C2" s="38"/>
      <c r="D2" s="38"/>
      <c r="E2" s="39"/>
      <c r="F2" s="39"/>
      <c r="G2" s="1" t="s">
        <v>658</v>
      </c>
      <c r="H2" s="39"/>
    </row>
    <row r="3" spans="1:8" ht="15.75" customHeight="1">
      <c r="A3" s="38"/>
      <c r="B3" s="38"/>
      <c r="C3" s="42" t="s">
        <v>864</v>
      </c>
      <c r="D3" s="38"/>
      <c r="E3" s="39"/>
      <c r="F3" s="38"/>
      <c r="G3" s="1" t="s">
        <v>817</v>
      </c>
      <c r="H3" s="39"/>
    </row>
    <row r="4" spans="1:8" ht="15.75" customHeight="1">
      <c r="A4" s="38"/>
      <c r="B4" s="38"/>
      <c r="C4" s="38"/>
      <c r="D4" s="38"/>
      <c r="E4" s="39"/>
      <c r="F4" s="38"/>
      <c r="G4" s="1" t="s">
        <v>371</v>
      </c>
      <c r="H4" s="39"/>
    </row>
    <row r="5" spans="1:8" ht="15" customHeight="1">
      <c r="A5" s="38"/>
      <c r="B5" s="38"/>
      <c r="C5" s="41"/>
      <c r="D5" s="39"/>
      <c r="E5" s="39"/>
      <c r="F5" s="39"/>
      <c r="G5" s="39"/>
      <c r="H5" s="39"/>
    </row>
    <row r="6" spans="1:8" ht="13.5" thickBot="1">
      <c r="A6" s="38"/>
      <c r="B6" s="38"/>
      <c r="C6" s="41"/>
      <c r="D6" s="39"/>
      <c r="E6" s="43"/>
      <c r="F6" s="43"/>
      <c r="G6" s="43"/>
      <c r="H6" s="44" t="s">
        <v>819</v>
      </c>
    </row>
    <row r="7" spans="1:8" ht="45.75" customHeight="1" thickBot="1" thickTop="1">
      <c r="A7" s="1224" t="s">
        <v>840</v>
      </c>
      <c r="B7" s="109" t="s">
        <v>798</v>
      </c>
      <c r="C7" s="108" t="s">
        <v>394</v>
      </c>
      <c r="D7" s="45" t="s">
        <v>871</v>
      </c>
      <c r="E7" s="46" t="s">
        <v>803</v>
      </c>
      <c r="F7" s="46" t="s">
        <v>804</v>
      </c>
      <c r="G7" s="46" t="s">
        <v>805</v>
      </c>
      <c r="H7" s="1236" t="s">
        <v>806</v>
      </c>
    </row>
    <row r="8" spans="1:8" ht="12.75" customHeight="1" thickBot="1" thickTop="1">
      <c r="A8" s="1225">
        <v>1</v>
      </c>
      <c r="B8" s="47">
        <v>2</v>
      </c>
      <c r="C8" s="110">
        <v>3</v>
      </c>
      <c r="D8" s="48">
        <v>4</v>
      </c>
      <c r="E8" s="48">
        <v>5</v>
      </c>
      <c r="F8" s="48">
        <v>6</v>
      </c>
      <c r="G8" s="48">
        <v>7</v>
      </c>
      <c r="H8" s="1237">
        <v>8</v>
      </c>
    </row>
    <row r="9" spans="1:10" ht="24" customHeight="1" thickBot="1" thickTop="1">
      <c r="A9" s="185"/>
      <c r="B9" s="159"/>
      <c r="C9" s="160" t="s">
        <v>807</v>
      </c>
      <c r="D9" s="161">
        <f>SUM(E9:H9)</f>
        <v>777772568</v>
      </c>
      <c r="E9" s="162">
        <v>198181909</v>
      </c>
      <c r="F9" s="162">
        <f>202972585+F16</f>
        <v>202618585</v>
      </c>
      <c r="G9" s="162">
        <f>191781059+G16</f>
        <v>191286559</v>
      </c>
      <c r="H9" s="1238">
        <f>184789076+H16+H18+H22+H24+H27+H32+H36+H39</f>
        <v>185685515</v>
      </c>
      <c r="I9" s="25">
        <f>'doch Pr'!G8-'doch Pr'!F8</f>
        <v>47939</v>
      </c>
      <c r="J9" s="25">
        <f>'doch Pr'!H8</f>
        <v>777772568</v>
      </c>
    </row>
    <row r="10" spans="1:8" ht="22.5" customHeight="1" thickBot="1" thickTop="1">
      <c r="A10" s="186"/>
      <c r="B10" s="163"/>
      <c r="C10" s="164" t="s">
        <v>845</v>
      </c>
      <c r="D10" s="165">
        <f>SUM(E10:H10)</f>
        <v>764185008</v>
      </c>
      <c r="E10" s="165">
        <v>194498067</v>
      </c>
      <c r="F10" s="165">
        <f>199239666+F16</f>
        <v>198885666</v>
      </c>
      <c r="G10" s="165">
        <f>189401442+G16</f>
        <v>188906942</v>
      </c>
      <c r="H10" s="1239">
        <f>180997894+H16+H18+H22+H24+H27+H32+H36+H39</f>
        <v>181894333</v>
      </c>
    </row>
    <row r="11" spans="1:8" ht="22.5" customHeight="1" thickTop="1">
      <c r="A11" s="187"/>
      <c r="B11" s="166"/>
      <c r="C11" s="167" t="s">
        <v>846</v>
      </c>
      <c r="D11" s="168">
        <f>SUM(E11:H11)</f>
        <v>692131908</v>
      </c>
      <c r="E11" s="168">
        <v>177693715</v>
      </c>
      <c r="F11" s="168">
        <f>174451918+F16</f>
        <v>174097918</v>
      </c>
      <c r="G11" s="168">
        <f>172528242+G16</f>
        <v>172033742</v>
      </c>
      <c r="H11" s="1240">
        <f>167410094+H16+H18+H22+H24+H27+H32+H36+H39</f>
        <v>168306533</v>
      </c>
    </row>
    <row r="12" spans="1:8" ht="23.25" customHeight="1" thickBot="1">
      <c r="A12" s="1226"/>
      <c r="B12" s="146"/>
      <c r="C12" s="273" t="s">
        <v>291</v>
      </c>
      <c r="D12" s="274">
        <f>SUM(E12:H12)</f>
        <v>476059322</v>
      </c>
      <c r="E12" s="274">
        <v>119362461</v>
      </c>
      <c r="F12" s="274">
        <f>118828106+F16</f>
        <v>118474106</v>
      </c>
      <c r="G12" s="274">
        <f>121465333+G16</f>
        <v>120970833</v>
      </c>
      <c r="H12" s="1241">
        <f>116531469+H16+H18+H22+H24+H27</f>
        <v>117251922</v>
      </c>
    </row>
    <row r="13" spans="1:12" s="100" customFormat="1" ht="32.25" customHeight="1" thickBot="1">
      <c r="A13" s="1153"/>
      <c r="B13" s="77"/>
      <c r="C13" s="131" t="s">
        <v>837</v>
      </c>
      <c r="D13" s="97">
        <f>SUM(E13:H13)</f>
        <v>10812371</v>
      </c>
      <c r="E13" s="97">
        <v>2584537</v>
      </c>
      <c r="F13" s="97">
        <f>3623143+F16</f>
        <v>3269143</v>
      </c>
      <c r="G13" s="97">
        <f>2545152+G16</f>
        <v>2050652</v>
      </c>
      <c r="H13" s="1242">
        <f>2716611+H16+H18</f>
        <v>2908039</v>
      </c>
      <c r="I13" s="221"/>
      <c r="J13" s="221"/>
      <c r="K13" s="221"/>
      <c r="L13" s="221"/>
    </row>
    <row r="14" spans="1:8" ht="20.25" customHeight="1" thickTop="1">
      <c r="A14" s="1155">
        <v>852</v>
      </c>
      <c r="B14" s="448"/>
      <c r="C14" s="536" t="s">
        <v>746</v>
      </c>
      <c r="D14" s="519">
        <f aca="true" t="shared" si="0" ref="D14:D39">SUM(E14:H14)</f>
        <v>9033609</v>
      </c>
      <c r="E14" s="98">
        <v>2379400</v>
      </c>
      <c r="F14" s="98">
        <f>2850830+F16</f>
        <v>2496830</v>
      </c>
      <c r="G14" s="98">
        <f>2230740+G16</f>
        <v>1736240</v>
      </c>
      <c r="H14" s="1243">
        <f>2229711+H16+H18</f>
        <v>2421139</v>
      </c>
    </row>
    <row r="15" spans="1:12" s="17" customFormat="1" ht="30" customHeight="1">
      <c r="A15" s="1167"/>
      <c r="B15" s="1181">
        <v>85214</v>
      </c>
      <c r="C15" s="1181" t="s">
        <v>590</v>
      </c>
      <c r="D15" s="1182">
        <f t="shared" si="0"/>
        <v>3998000</v>
      </c>
      <c r="E15" s="1182">
        <v>1050000</v>
      </c>
      <c r="F15" s="1182">
        <v>699000</v>
      </c>
      <c r="G15" s="1182">
        <v>1124500</v>
      </c>
      <c r="H15" s="1244">
        <v>1124500</v>
      </c>
      <c r="I15" s="9"/>
      <c r="J15" s="9"/>
      <c r="K15" s="9"/>
      <c r="L15" s="9"/>
    </row>
    <row r="16" spans="1:12" s="17" customFormat="1" ht="24" customHeight="1">
      <c r="A16" s="1167"/>
      <c r="B16" s="1183"/>
      <c r="C16" s="1183"/>
      <c r="D16" s="1184">
        <f t="shared" si="0"/>
        <v>-1100000</v>
      </c>
      <c r="E16" s="1185"/>
      <c r="F16" s="1184">
        <v>-354000</v>
      </c>
      <c r="G16" s="1184">
        <v>-494500</v>
      </c>
      <c r="H16" s="1245">
        <v>-251500</v>
      </c>
      <c r="I16" s="9"/>
      <c r="J16" s="9"/>
      <c r="K16" s="9"/>
      <c r="L16" s="9"/>
    </row>
    <row r="17" spans="1:12" s="1" customFormat="1" ht="18.75" customHeight="1">
      <c r="A17" s="1156"/>
      <c r="B17" s="1186">
        <v>85295</v>
      </c>
      <c r="C17" s="1186" t="s">
        <v>829</v>
      </c>
      <c r="D17" s="1182">
        <f t="shared" si="0"/>
        <v>1506470</v>
      </c>
      <c r="E17" s="1187">
        <v>258400</v>
      </c>
      <c r="F17" s="1187">
        <v>991830</v>
      </c>
      <c r="G17" s="1187">
        <v>256240</v>
      </c>
      <c r="H17" s="1246"/>
      <c r="I17" s="8"/>
      <c r="J17" s="8"/>
      <c r="K17" s="8"/>
      <c r="L17" s="8"/>
    </row>
    <row r="18" spans="1:12" s="1" customFormat="1" ht="20.25" customHeight="1">
      <c r="A18" s="1156"/>
      <c r="B18" s="1188"/>
      <c r="C18" s="1188"/>
      <c r="D18" s="1184">
        <f t="shared" si="0"/>
        <v>442928</v>
      </c>
      <c r="E18" s="1189"/>
      <c r="F18" s="1189"/>
      <c r="G18" s="1189"/>
      <c r="H18" s="1247">
        <v>442928</v>
      </c>
      <c r="I18" s="8"/>
      <c r="J18" s="8"/>
      <c r="K18" s="8"/>
      <c r="L18" s="8"/>
    </row>
    <row r="19" spans="1:12" s="1" customFormat="1" ht="31.5" customHeight="1" thickBot="1">
      <c r="A19" s="1154"/>
      <c r="B19" s="86"/>
      <c r="C19" s="1190" t="s">
        <v>517</v>
      </c>
      <c r="D19" s="1191">
        <f t="shared" si="0"/>
        <v>58948089</v>
      </c>
      <c r="E19" s="1192">
        <v>14871927</v>
      </c>
      <c r="F19" s="1192">
        <v>13837603</v>
      </c>
      <c r="G19" s="1192">
        <v>15301526</v>
      </c>
      <c r="H19" s="1248">
        <f>14408008+H22+H24+H27</f>
        <v>14937033</v>
      </c>
      <c r="I19" s="8"/>
      <c r="J19" s="8"/>
      <c r="K19" s="8"/>
      <c r="L19" s="8"/>
    </row>
    <row r="20" spans="1:12" s="1" customFormat="1" ht="30" customHeight="1" thickTop="1">
      <c r="A20" s="1161">
        <v>751</v>
      </c>
      <c r="B20" s="669"/>
      <c r="C20" s="1193" t="s">
        <v>754</v>
      </c>
      <c r="D20" s="519">
        <f t="shared" si="0"/>
        <v>1333986</v>
      </c>
      <c r="E20" s="605"/>
      <c r="F20" s="605">
        <v>29100</v>
      </c>
      <c r="G20" s="605">
        <v>821046</v>
      </c>
      <c r="H20" s="1249">
        <f>20+H22</f>
        <v>483840</v>
      </c>
      <c r="I20" s="8"/>
      <c r="J20" s="8"/>
      <c r="K20" s="8"/>
      <c r="L20" s="8"/>
    </row>
    <row r="21" spans="1:12" s="676" customFormat="1" ht="21" customHeight="1">
      <c r="A21" s="1227"/>
      <c r="B21" s="1194">
        <v>75107</v>
      </c>
      <c r="C21" s="1195" t="s">
        <v>490</v>
      </c>
      <c r="D21" s="276">
        <f t="shared" si="0"/>
        <v>315306</v>
      </c>
      <c r="E21" s="1196"/>
      <c r="F21" s="1196"/>
      <c r="G21" s="1196">
        <v>315286</v>
      </c>
      <c r="H21" s="1250">
        <v>20</v>
      </c>
      <c r="I21" s="677"/>
      <c r="J21" s="677"/>
      <c r="K21" s="677"/>
      <c r="L21" s="677"/>
    </row>
    <row r="22" spans="1:12" s="676" customFormat="1" ht="23.25" customHeight="1">
      <c r="A22" s="1227"/>
      <c r="B22" s="1197"/>
      <c r="C22" s="1198"/>
      <c r="D22" s="92">
        <f t="shared" si="0"/>
        <v>483820</v>
      </c>
      <c r="E22" s="1199"/>
      <c r="F22" s="1199"/>
      <c r="G22" s="1199"/>
      <c r="H22" s="1251">
        <v>483820</v>
      </c>
      <c r="I22" s="677"/>
      <c r="J22" s="677"/>
      <c r="K22" s="677"/>
      <c r="L22" s="677"/>
    </row>
    <row r="23" spans="1:12" s="676" customFormat="1" ht="18.75" customHeight="1">
      <c r="A23" s="1228">
        <v>851</v>
      </c>
      <c r="B23" s="1193"/>
      <c r="C23" s="1193" t="s">
        <v>877</v>
      </c>
      <c r="D23" s="1218">
        <f>SUM(E23:H23)</f>
        <v>1605</v>
      </c>
      <c r="E23" s="600"/>
      <c r="F23" s="600"/>
      <c r="G23" s="600"/>
      <c r="H23" s="1252">
        <f>H24</f>
        <v>1605</v>
      </c>
      <c r="I23" s="677"/>
      <c r="J23" s="677"/>
      <c r="K23" s="677"/>
      <c r="L23" s="677"/>
    </row>
    <row r="24" spans="1:12" s="676" customFormat="1" ht="21" customHeight="1">
      <c r="A24" s="1233"/>
      <c r="B24" s="1301">
        <v>85195</v>
      </c>
      <c r="C24" s="1302" t="s">
        <v>829</v>
      </c>
      <c r="D24" s="1234">
        <f>SUM(E24:H24)</f>
        <v>1605</v>
      </c>
      <c r="E24" s="1235"/>
      <c r="F24" s="1235"/>
      <c r="G24" s="1235"/>
      <c r="H24" s="1253">
        <v>1605</v>
      </c>
      <c r="I24" s="677"/>
      <c r="J24" s="677"/>
      <c r="K24" s="677"/>
      <c r="L24" s="677"/>
    </row>
    <row r="25" spans="1:12" s="676" customFormat="1" ht="21" customHeight="1">
      <c r="A25" s="1232">
        <v>852</v>
      </c>
      <c r="B25" s="1223"/>
      <c r="C25" s="1202" t="s">
        <v>746</v>
      </c>
      <c r="D25" s="1210">
        <f>SUM(E25:H25)</f>
        <v>56009800</v>
      </c>
      <c r="E25" s="1210">
        <v>14396200</v>
      </c>
      <c r="F25" s="1210">
        <v>13426123</v>
      </c>
      <c r="G25" s="1210">
        <v>14123600</v>
      </c>
      <c r="H25" s="1254">
        <f>14020277+H27</f>
        <v>14063877</v>
      </c>
      <c r="I25" s="677"/>
      <c r="J25" s="677"/>
      <c r="K25" s="677"/>
      <c r="L25" s="677"/>
    </row>
    <row r="26" spans="1:12" s="676" customFormat="1" ht="21" customHeight="1">
      <c r="A26" s="1227"/>
      <c r="B26" s="78">
        <v>85278</v>
      </c>
      <c r="C26" s="1213" t="s">
        <v>727</v>
      </c>
      <c r="D26" s="276">
        <f>SUM(E26:H26)</f>
        <v>82000</v>
      </c>
      <c r="E26" s="1200"/>
      <c r="F26" s="1200"/>
      <c r="G26" s="1196">
        <v>82000</v>
      </c>
      <c r="H26" s="1255"/>
      <c r="I26" s="677"/>
      <c r="J26" s="677"/>
      <c r="K26" s="677"/>
      <c r="L26" s="677"/>
    </row>
    <row r="27" spans="1:12" s="676" customFormat="1" ht="15" customHeight="1">
      <c r="A27" s="1229"/>
      <c r="B27" s="1201"/>
      <c r="C27" s="1201"/>
      <c r="D27" s="92">
        <f>SUM(E27:H27)</f>
        <v>43600</v>
      </c>
      <c r="E27" s="1199"/>
      <c r="F27" s="1199"/>
      <c r="G27" s="1199"/>
      <c r="H27" s="1251">
        <v>43600</v>
      </c>
      <c r="I27" s="677"/>
      <c r="J27" s="677"/>
      <c r="K27" s="677"/>
      <c r="L27" s="677"/>
    </row>
    <row r="28" spans="1:12" s="676" customFormat="1" ht="12" customHeight="1">
      <c r="A28" s="1227"/>
      <c r="B28" s="1203"/>
      <c r="C28" s="1204"/>
      <c r="D28" s="566"/>
      <c r="E28" s="678"/>
      <c r="F28" s="678"/>
      <c r="G28" s="678"/>
      <c r="H28" s="1256"/>
      <c r="I28" s="677"/>
      <c r="J28" s="677"/>
      <c r="K28" s="677"/>
      <c r="L28" s="677"/>
    </row>
    <row r="29" spans="1:12" s="11" customFormat="1" ht="20.25" customHeight="1" thickBot="1">
      <c r="A29" s="1230"/>
      <c r="B29" s="1205"/>
      <c r="C29" s="1206" t="s">
        <v>292</v>
      </c>
      <c r="D29" s="1207">
        <f t="shared" si="0"/>
        <v>216072586</v>
      </c>
      <c r="E29" s="1207">
        <v>58331254</v>
      </c>
      <c r="F29" s="1207">
        <v>55623812</v>
      </c>
      <c r="G29" s="1207">
        <v>51062909</v>
      </c>
      <c r="H29" s="1257">
        <f>50878625+H32+H36+H39</f>
        <v>51054611</v>
      </c>
      <c r="I29" s="12"/>
      <c r="J29" s="12"/>
      <c r="K29" s="12"/>
      <c r="L29" s="12"/>
    </row>
    <row r="30" spans="1:12" s="11" customFormat="1" ht="37.5" customHeight="1" thickBot="1">
      <c r="A30" s="1230"/>
      <c r="B30" s="1205"/>
      <c r="C30" s="96" t="s">
        <v>516</v>
      </c>
      <c r="D30" s="1208">
        <f>SUM(E30:H30)</f>
        <v>4638613</v>
      </c>
      <c r="E30" s="1208">
        <v>594500</v>
      </c>
      <c r="F30" s="1208">
        <v>2280613</v>
      </c>
      <c r="G30" s="1208">
        <v>749500</v>
      </c>
      <c r="H30" s="1258">
        <f>990000+H32</f>
        <v>1014000</v>
      </c>
      <c r="I30" s="12"/>
      <c r="J30" s="12"/>
      <c r="K30" s="12"/>
      <c r="L30" s="12"/>
    </row>
    <row r="31" spans="1:12" s="11" customFormat="1" ht="28.5" customHeight="1" thickTop="1">
      <c r="A31" s="1170">
        <v>754</v>
      </c>
      <c r="B31" s="1209"/>
      <c r="C31" s="1202" t="s">
        <v>724</v>
      </c>
      <c r="D31" s="1219">
        <f>SUM(E31:H31)</f>
        <v>24000</v>
      </c>
      <c r="E31" s="1220"/>
      <c r="F31" s="1220"/>
      <c r="G31" s="1220"/>
      <c r="H31" s="1259">
        <v>24000</v>
      </c>
      <c r="I31" s="12"/>
      <c r="J31" s="12"/>
      <c r="K31" s="12"/>
      <c r="L31" s="12"/>
    </row>
    <row r="32" spans="1:12" s="11" customFormat="1" ht="22.5" customHeight="1">
      <c r="A32" s="1231"/>
      <c r="B32" s="1221">
        <v>75411</v>
      </c>
      <c r="C32" s="1222" t="s">
        <v>489</v>
      </c>
      <c r="D32" s="377">
        <f>SUM(E32:H32)</f>
        <v>24000</v>
      </c>
      <c r="E32" s="559"/>
      <c r="F32" s="559"/>
      <c r="G32" s="559"/>
      <c r="H32" s="1260">
        <v>24000</v>
      </c>
      <c r="I32" s="12"/>
      <c r="J32" s="12"/>
      <c r="K32" s="12"/>
      <c r="L32" s="12"/>
    </row>
    <row r="33" spans="1:8" ht="34.5" customHeight="1" thickBot="1">
      <c r="A33" s="1158"/>
      <c r="B33" s="113"/>
      <c r="C33" s="96" t="s">
        <v>838</v>
      </c>
      <c r="D33" s="1191">
        <f t="shared" si="0"/>
        <v>21435304</v>
      </c>
      <c r="E33" s="1192">
        <v>5349838</v>
      </c>
      <c r="F33" s="1192">
        <v>5501744</v>
      </c>
      <c r="G33" s="1192">
        <v>5287714</v>
      </c>
      <c r="H33" s="1248">
        <f>5144022+H36+H39</f>
        <v>5296008</v>
      </c>
    </row>
    <row r="34" spans="1:8" ht="30.75" customHeight="1" thickTop="1">
      <c r="A34" s="1165">
        <v>754</v>
      </c>
      <c r="B34" s="1212"/>
      <c r="C34" s="1193" t="s">
        <v>724</v>
      </c>
      <c r="D34" s="524">
        <f t="shared" si="0"/>
        <v>12995000</v>
      </c>
      <c r="E34" s="524">
        <v>3360000</v>
      </c>
      <c r="F34" s="524">
        <v>3602000</v>
      </c>
      <c r="G34" s="524">
        <v>2880000</v>
      </c>
      <c r="H34" s="1259">
        <f>3011000+H36</f>
        <v>3153000</v>
      </c>
    </row>
    <row r="35" spans="1:8" ht="21.75" customHeight="1">
      <c r="A35" s="1231"/>
      <c r="B35" s="1141">
        <v>75411</v>
      </c>
      <c r="C35" s="1213" t="s">
        <v>489</v>
      </c>
      <c r="D35" s="276">
        <f t="shared" si="0"/>
        <v>12841000</v>
      </c>
      <c r="E35" s="276">
        <v>3360000</v>
      </c>
      <c r="F35" s="276">
        <v>3590000</v>
      </c>
      <c r="G35" s="1214">
        <v>2880000</v>
      </c>
      <c r="H35" s="1261">
        <v>3011000</v>
      </c>
    </row>
    <row r="36" spans="1:8" ht="22.5" customHeight="1">
      <c r="A36" s="1231"/>
      <c r="B36" s="1211"/>
      <c r="C36" s="1215"/>
      <c r="D36" s="92">
        <f t="shared" si="0"/>
        <v>142000</v>
      </c>
      <c r="E36" s="92"/>
      <c r="F36" s="92"/>
      <c r="G36" s="1216"/>
      <c r="H36" s="1262">
        <v>142000</v>
      </c>
    </row>
    <row r="37" spans="1:8" ht="20.25" customHeight="1">
      <c r="A37" s="1170">
        <v>853</v>
      </c>
      <c r="B37" s="1212"/>
      <c r="C37" s="1193" t="s">
        <v>752</v>
      </c>
      <c r="D37" s="98">
        <f t="shared" si="0"/>
        <v>571140</v>
      </c>
      <c r="E37" s="98">
        <v>142780</v>
      </c>
      <c r="F37" s="98">
        <v>147392</v>
      </c>
      <c r="G37" s="98">
        <v>119000</v>
      </c>
      <c r="H37" s="1243">
        <f>151982+H39</f>
        <v>161968</v>
      </c>
    </row>
    <row r="38" spans="1:12" s="11" customFormat="1" ht="19.5" customHeight="1">
      <c r="A38" s="1171"/>
      <c r="B38" s="1141">
        <v>85334</v>
      </c>
      <c r="C38" s="1213" t="s">
        <v>753</v>
      </c>
      <c r="D38" s="276">
        <f t="shared" si="0"/>
        <v>35154</v>
      </c>
      <c r="E38" s="276">
        <v>3780</v>
      </c>
      <c r="F38" s="276">
        <v>28392</v>
      </c>
      <c r="G38" s="1214"/>
      <c r="H38" s="1261">
        <v>2982</v>
      </c>
      <c r="I38" s="12"/>
      <c r="J38" s="12"/>
      <c r="K38" s="12"/>
      <c r="L38" s="12"/>
    </row>
    <row r="39" spans="1:8" ht="22.5" customHeight="1">
      <c r="A39" s="1217"/>
      <c r="B39" s="90"/>
      <c r="C39" s="1136"/>
      <c r="D39" s="92">
        <f t="shared" si="0"/>
        <v>9986</v>
      </c>
      <c r="E39" s="92"/>
      <c r="F39" s="92"/>
      <c r="G39" s="1216"/>
      <c r="H39" s="1262">
        <v>9986</v>
      </c>
    </row>
    <row r="42" spans="2:4" ht="12.75">
      <c r="B42" s="296" t="s">
        <v>24</v>
      </c>
      <c r="C42" s="296"/>
      <c r="D42" s="296" t="s">
        <v>22</v>
      </c>
    </row>
    <row r="43" spans="2:4" ht="12.75">
      <c r="B43" s="297" t="s">
        <v>25</v>
      </c>
      <c r="C43" s="296"/>
      <c r="D43" s="296" t="s">
        <v>26</v>
      </c>
    </row>
    <row r="44" spans="2:4" ht="12.75">
      <c r="B44" s="409" t="s">
        <v>23</v>
      </c>
      <c r="C44" s="231"/>
      <c r="D44" s="231" t="s">
        <v>27</v>
      </c>
    </row>
  </sheetData>
  <printOptions horizontalCentered="1"/>
  <pageMargins left="0.3937007874015748" right="0.3937007874015748" top="0.5905511811023623" bottom="0.5905511811023623" header="0.5118110236220472" footer="0.3937007874015748"/>
  <pageSetup firstPageNumber="72" useFirstPageNumber="1" horizontalDpi="300" verticalDpi="300" orientation="landscape" paperSize="9" scale="9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M278"/>
  <sheetViews>
    <sheetView zoomScale="85" zoomScaleNormal="85" zoomScaleSheetLayoutView="75" workbookViewId="0" topLeftCell="A21">
      <pane ySplit="825" topLeftCell="BM266" activePane="bottomLeft" state="split"/>
      <selection pane="topLeft" activeCell="A21" sqref="A1:IV16384"/>
      <selection pane="bottomLeft" activeCell="C281" sqref="C281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10" width="13.375" style="25" customWidth="1"/>
    <col min="11" max="11" width="15.375" style="25" customWidth="1"/>
    <col min="12" max="16384" width="11.375" style="0" customWidth="1"/>
  </cols>
  <sheetData>
    <row r="1" spans="1:9" ht="18" customHeight="1">
      <c r="A1" s="1100"/>
      <c r="B1" s="1100"/>
      <c r="C1" s="1100"/>
      <c r="D1" s="52"/>
      <c r="E1" s="52"/>
      <c r="F1" s="52"/>
      <c r="G1" s="52" t="s">
        <v>393</v>
      </c>
      <c r="H1" s="52"/>
      <c r="I1" s="55"/>
    </row>
    <row r="2" spans="1:9" ht="15" customHeight="1">
      <c r="A2" s="1100"/>
      <c r="B2" s="1100"/>
      <c r="C2" s="1100"/>
      <c r="D2" s="52"/>
      <c r="E2" s="52"/>
      <c r="F2" s="52"/>
      <c r="G2" s="1" t="s">
        <v>658</v>
      </c>
      <c r="H2" s="52"/>
      <c r="I2" s="55"/>
    </row>
    <row r="3" spans="1:9" ht="18" customHeight="1">
      <c r="A3" s="1100"/>
      <c r="B3" s="1100"/>
      <c r="C3" s="1101" t="s">
        <v>865</v>
      </c>
      <c r="D3" s="52"/>
      <c r="E3" s="52"/>
      <c r="F3" s="52"/>
      <c r="G3" s="1" t="s">
        <v>817</v>
      </c>
      <c r="H3" s="52"/>
      <c r="I3" s="55"/>
    </row>
    <row r="4" spans="1:9" ht="15" customHeight="1">
      <c r="A4" s="1100"/>
      <c r="B4" s="1100"/>
      <c r="C4" s="1101"/>
      <c r="D4" s="52"/>
      <c r="E4" s="52"/>
      <c r="F4" s="52"/>
      <c r="G4" s="1" t="s">
        <v>371</v>
      </c>
      <c r="H4" s="52"/>
      <c r="I4" s="55"/>
    </row>
    <row r="5" spans="1:9" ht="5.25" customHeight="1">
      <c r="A5" s="1100"/>
      <c r="B5" s="1100"/>
      <c r="C5" s="1102"/>
      <c r="D5" s="52"/>
      <c r="E5" s="52"/>
      <c r="F5" s="52"/>
      <c r="G5" s="52"/>
      <c r="H5" s="52"/>
      <c r="I5" s="55"/>
    </row>
    <row r="6" spans="1:9" ht="13.5" thickBot="1">
      <c r="A6" s="1100"/>
      <c r="B6" s="1100"/>
      <c r="C6" s="1100"/>
      <c r="D6" s="52"/>
      <c r="E6" s="52"/>
      <c r="F6" s="52"/>
      <c r="G6" s="52"/>
      <c r="H6" s="53" t="s">
        <v>819</v>
      </c>
      <c r="I6" s="55"/>
    </row>
    <row r="7" spans="1:11" ht="19.5" customHeight="1" thickTop="1">
      <c r="A7" s="1146"/>
      <c r="B7" s="1103"/>
      <c r="C7" s="1104" t="s">
        <v>808</v>
      </c>
      <c r="D7" s="1431" t="s">
        <v>872</v>
      </c>
      <c r="E7" s="1105"/>
      <c r="F7" s="1106"/>
      <c r="G7" s="1106"/>
      <c r="H7" s="1105"/>
      <c r="I7"/>
      <c r="J7"/>
      <c r="K7"/>
    </row>
    <row r="8" spans="1:11" ht="26.25" customHeight="1" thickBot="1">
      <c r="A8" s="1147" t="s">
        <v>840</v>
      </c>
      <c r="B8" s="1107" t="s">
        <v>821</v>
      </c>
      <c r="C8" s="1108" t="s">
        <v>533</v>
      </c>
      <c r="D8" s="1432"/>
      <c r="E8" s="1109" t="s">
        <v>803</v>
      </c>
      <c r="F8" s="1109" t="s">
        <v>804</v>
      </c>
      <c r="G8" s="1109" t="s">
        <v>805</v>
      </c>
      <c r="H8" s="1109" t="s">
        <v>806</v>
      </c>
      <c r="I8"/>
      <c r="J8"/>
      <c r="K8"/>
    </row>
    <row r="9" spans="1:11" ht="14.25" customHeight="1" thickBot="1" thickTop="1">
      <c r="A9" s="1148">
        <v>1</v>
      </c>
      <c r="B9" s="1110">
        <v>2</v>
      </c>
      <c r="C9" s="1110">
        <v>3</v>
      </c>
      <c r="D9" s="1111">
        <v>4</v>
      </c>
      <c r="E9" s="1111">
        <v>5</v>
      </c>
      <c r="F9" s="1111">
        <v>6</v>
      </c>
      <c r="G9" s="1111">
        <v>7</v>
      </c>
      <c r="H9" s="1111">
        <v>8</v>
      </c>
      <c r="I9"/>
      <c r="J9"/>
      <c r="K9"/>
    </row>
    <row r="10" spans="1:12" s="54" customFormat="1" ht="21.75" customHeight="1" thickBot="1" thickTop="1">
      <c r="A10" s="1149"/>
      <c r="B10" s="1112"/>
      <c r="C10" s="1113" t="s">
        <v>825</v>
      </c>
      <c r="D10" s="1114">
        <f>SUM(E10:H10)</f>
        <v>791278020</v>
      </c>
      <c r="E10" s="1114">
        <f>182696050+E18+E22+E27+E33+E35+E37+E43+E46+E48+E50+E52+E55+E58+E61+E63+E67+E72+E74+E76+E78+E80+E82+E84+E86+E88+E90+E92+E94+E96+E99+E102+E104+E106+E108+E110+E112+E114+E120+E122+E125+E129+E135+E138+E143+E148+E150+E156+E162+E167+E173+E175+E177+E180+E183+E187+E191+E195+E200+E204+E210+E212+E214+E216+E218+E220+E222+E224+E226+E228+E230+E232+E234+E236+E238+E240+E242+E244+E247+E249+E251+E253+E255+E257+E259+E261+E263+E265+E268+E272</f>
        <v>181782554</v>
      </c>
      <c r="F10" s="1114">
        <f>195837340+F18+F22+F27+F33+F35+F37+F43+F46+F48+F50+F52+F55+F58+F61+F63+F67+F72+F74+F76+F78+F80+F82+F84+F86+F88+F90+F92+F94+F96+F99+F102+F104+F106+F108+F110+F112+F114+F120+F122+F125+F129+F135+F138+F143+F148+F150+F156+F162+F167+F173+F175+F177+F180+F183+F187+F191+F195+F200+F204+F210+F212+F214+F216+F218+F220+F222+F224+F226+F228+F230+F232+F234+F236+F238+F240+F242+F244+F247+F249+F251+F253+F255+F257+F259+F261+F263+F265+F268+F272</f>
        <v>195398654</v>
      </c>
      <c r="G10" s="1114">
        <f>223926140+G18+G22+G27+G33+G35+G37+G43+G46+G48+G50+G52+G55+G58+G61+G63+G67+G72+G74+G76+G78+G80+G82+G84+G86+G88+G90+G92+G94+G96+G99+G102+G104+G106+G108+G110+G112+G114+G120+G122+G125+G129+G135+G138+G143+G148+G150+G156+G162+G167+G173+G175+G177+G180+G183+G187+G191+G195+G200+G204+G210+G212+G214+G216+G218+G220+G222+G224+G226+G228+G230+G232+G234+G236+G238+G240+G242+G244+G247+G249+G251+G253+G255+G257+G259+G261+G263+G265+G268+G272</f>
        <v>210884242</v>
      </c>
      <c r="H10" s="1114">
        <f>188610551+160000+H18+H22+H27+H33+H35+H37+H43+H46+H48+H50+H52+H55+H58+H61+H63+H67+H72+H74+H76+H78+H80+H82+H84+H86+H88+H90+H92+H94+H96+H99+H102+H104+H106+H108+H110+H112+H114+H120+H122+H125+H129+H135+H138+H143+H148+H150+H156+H162+H167+H173+H175+H177+H180+H183+H187+H191+H195+H200+H204+H210+H212+H214+H216+H218+H220+H222+H224+H226+H228+H230+H232+H234+H236+H238+H240+H242+H244+H247+H249+H251+H253+H255+H257+H259+H261+H263+H265+H268+H272</f>
        <v>203212570</v>
      </c>
      <c r="I10" s="25">
        <f>'Wyd Pr'!H8</f>
        <v>791278020</v>
      </c>
      <c r="J10" s="25">
        <f>I10-D10</f>
        <v>0</v>
      </c>
      <c r="K10"/>
      <c r="L10"/>
    </row>
    <row r="11" spans="1:11" ht="12.75" customHeight="1">
      <c r="A11" s="1150"/>
      <c r="B11" s="102"/>
      <c r="C11" s="103" t="s">
        <v>853</v>
      </c>
      <c r="D11" s="104"/>
      <c r="E11" s="1115"/>
      <c r="F11" s="1115"/>
      <c r="G11" s="1115"/>
      <c r="H11" s="1115"/>
      <c r="I11"/>
      <c r="K11"/>
    </row>
    <row r="12" spans="1:12" s="49" customFormat="1" ht="17.25" customHeight="1">
      <c r="A12" s="1151"/>
      <c r="B12" s="105"/>
      <c r="C12" s="1116" t="s">
        <v>845</v>
      </c>
      <c r="D12" s="1115">
        <f>SUM(E12:H12)</f>
        <v>308385197</v>
      </c>
      <c r="E12" s="1115">
        <f>51408244+E18+E22+E27+E33+E35+E37+E43+E46+E48+E50+E52+E55+E58+E61+E63+E67+E72+E74+E76+E78+E80+E82+E84+E86+E88+E90+E92+E94+E96+E99+E102+E104+E106+E108+E110+E112+E114+E120+E122+E125+E129+E135+E138+E143+E148+E150</f>
        <v>51386112</v>
      </c>
      <c r="F12" s="1115">
        <f>69554804+F18+F22+F27+F33+F35+F37+F43+F46+F48+F50+F52+F55+F58+F61+F63+F67+F72+F74+F76+F78+F80+F82+F84+F86+F88+F90+F92+F94+F96+F99+F102+F104+F106+F108+F110+F112+F114+F120+F122+F125+F129+F135+F138+F143+F148+F150</f>
        <v>69529136</v>
      </c>
      <c r="G12" s="1115">
        <f>101413335+G18+G22+G27+G33+G35+G37+G43+G46+G48+G50+G52+G55+G58+G61+G63+G67+G72+G74+G76+G78+G80+G82+G84+G86+G88+G90+G92+G94+G96+G99+G102+G104+G106+G108+G110+G112+G114+G120+G122+G125+G129+G135+G138+G143+G148+G150</f>
        <v>99372139</v>
      </c>
      <c r="H12" s="1115">
        <f>88579065+160000+H18+H22+H27+H33+H35+H37+H43+H46+H48+H50+H52+H55+H58+H61+H63+H67+H72+H74+H76+H78+H80+H82+H84+H86+H88+H90+H92+H94+H96+H99+H102+H104+H106+H108+H110+H112+H114+H120+H122+H125+H129+H135+H138+H143+H148+H150</f>
        <v>88097810</v>
      </c>
      <c r="I12" s="25"/>
      <c r="J12" s="25"/>
      <c r="K12"/>
      <c r="L12"/>
    </row>
    <row r="13" spans="1:12" s="11" customFormat="1" ht="18" customHeight="1">
      <c r="A13" s="1152"/>
      <c r="B13" s="422"/>
      <c r="C13" s="188"/>
      <c r="D13" s="453"/>
      <c r="E13" s="453"/>
      <c r="F13" s="453"/>
      <c r="G13" s="453"/>
      <c r="H13" s="453"/>
      <c r="J13" s="12"/>
      <c r="K13" s="12"/>
      <c r="L13" s="12"/>
    </row>
    <row r="14" spans="1:12" s="49" customFormat="1" ht="19.5" customHeight="1">
      <c r="A14" s="1153"/>
      <c r="B14" s="77"/>
      <c r="C14" s="1117" t="s">
        <v>760</v>
      </c>
      <c r="D14" s="919">
        <f aca="true" t="shared" si="0" ref="D14:D21">SUM(E14:H14)</f>
        <v>19709571</v>
      </c>
      <c r="E14" s="919">
        <v>1675478</v>
      </c>
      <c r="F14" s="919">
        <v>4575686</v>
      </c>
      <c r="G14" s="919">
        <v>7743880</v>
      </c>
      <c r="H14" s="919">
        <f>8734527+H18</f>
        <v>5714527</v>
      </c>
      <c r="I14" s="25"/>
      <c r="J14"/>
      <c r="K14"/>
      <c r="L14"/>
    </row>
    <row r="15" spans="1:12" s="49" customFormat="1" ht="19.5" customHeight="1" thickBot="1">
      <c r="A15" s="1154"/>
      <c r="B15" s="86"/>
      <c r="C15" s="87" t="s">
        <v>827</v>
      </c>
      <c r="D15" s="88">
        <f t="shared" si="0"/>
        <v>19709571</v>
      </c>
      <c r="E15" s="88">
        <v>1675478</v>
      </c>
      <c r="F15" s="88">
        <v>4575686</v>
      </c>
      <c r="G15" s="88">
        <v>7743880</v>
      </c>
      <c r="H15" s="88">
        <f>8734527+H18</f>
        <v>5714527</v>
      </c>
      <c r="I15"/>
      <c r="J15"/>
      <c r="K15"/>
      <c r="L15"/>
    </row>
    <row r="16" spans="1:12" s="49" customFormat="1" ht="21" customHeight="1" thickTop="1">
      <c r="A16" s="1155">
        <v>758</v>
      </c>
      <c r="B16" s="1126"/>
      <c r="C16" s="1126" t="s">
        <v>286</v>
      </c>
      <c r="D16" s="736">
        <f t="shared" si="0"/>
        <v>5507571</v>
      </c>
      <c r="E16" s="736">
        <v>646636</v>
      </c>
      <c r="F16" s="736">
        <v>646636</v>
      </c>
      <c r="G16" s="736">
        <v>646636</v>
      </c>
      <c r="H16" s="736">
        <f>6587663+H18</f>
        <v>3567663</v>
      </c>
      <c r="I16"/>
      <c r="J16"/>
      <c r="K16"/>
      <c r="L16"/>
    </row>
    <row r="17" spans="1:12" s="49" customFormat="1" ht="21" customHeight="1">
      <c r="A17" s="1156"/>
      <c r="B17" s="1121">
        <v>75818</v>
      </c>
      <c r="C17" s="1121" t="s">
        <v>287</v>
      </c>
      <c r="D17" s="79">
        <f t="shared" si="0"/>
        <v>5941027</v>
      </c>
      <c r="E17" s="79"/>
      <c r="F17" s="79"/>
      <c r="G17" s="79"/>
      <c r="H17" s="79">
        <v>5941027</v>
      </c>
      <c r="I17"/>
      <c r="J17"/>
      <c r="K17"/>
      <c r="L17"/>
    </row>
    <row r="18" spans="1:12" s="49" customFormat="1" ht="21" customHeight="1">
      <c r="A18" s="1156"/>
      <c r="B18" s="113"/>
      <c r="C18" s="113"/>
      <c r="D18" s="455">
        <f t="shared" si="0"/>
        <v>-3020000</v>
      </c>
      <c r="E18" s="455"/>
      <c r="F18" s="455"/>
      <c r="G18" s="455"/>
      <c r="H18" s="455">
        <v>-3020000</v>
      </c>
      <c r="I18"/>
      <c r="J18"/>
      <c r="K18"/>
      <c r="L18"/>
    </row>
    <row r="19" spans="1:12" s="49" customFormat="1" ht="27.75" customHeight="1">
      <c r="A19" s="1153"/>
      <c r="B19" s="77"/>
      <c r="C19" s="1117" t="s">
        <v>761</v>
      </c>
      <c r="D19" s="919">
        <f t="shared" si="0"/>
        <v>113349</v>
      </c>
      <c r="E19" s="919"/>
      <c r="F19" s="919"/>
      <c r="G19" s="919"/>
      <c r="H19" s="919">
        <f>H20</f>
        <v>113349</v>
      </c>
      <c r="I19"/>
      <c r="J19"/>
      <c r="K19"/>
      <c r="L19"/>
    </row>
    <row r="20" spans="1:12" s="49" customFormat="1" ht="27.75" customHeight="1" thickBot="1">
      <c r="A20" s="1154"/>
      <c r="B20" s="86"/>
      <c r="C20" s="87" t="s">
        <v>827</v>
      </c>
      <c r="D20" s="88">
        <f t="shared" si="0"/>
        <v>113349</v>
      </c>
      <c r="E20" s="88"/>
      <c r="F20" s="88"/>
      <c r="G20" s="88"/>
      <c r="H20" s="88">
        <f>H22</f>
        <v>113349</v>
      </c>
      <c r="I20"/>
      <c r="J20"/>
      <c r="K20"/>
      <c r="L20"/>
    </row>
    <row r="21" spans="1:12" s="49" customFormat="1" ht="19.5" customHeight="1" thickTop="1">
      <c r="A21" s="1155">
        <v>750</v>
      </c>
      <c r="B21" s="1126"/>
      <c r="C21" s="1126" t="s">
        <v>505</v>
      </c>
      <c r="D21" s="921">
        <f t="shared" si="0"/>
        <v>113349</v>
      </c>
      <c r="E21" s="921"/>
      <c r="F21" s="921"/>
      <c r="G21" s="921"/>
      <c r="H21" s="921">
        <f>H22</f>
        <v>113349</v>
      </c>
      <c r="I21"/>
      <c r="J21"/>
      <c r="K21"/>
      <c r="L21"/>
    </row>
    <row r="22" spans="1:12" s="49" customFormat="1" ht="20.25" customHeight="1">
      <c r="A22" s="1156"/>
      <c r="B22" s="1142">
        <v>75095</v>
      </c>
      <c r="C22" s="1142" t="s">
        <v>829</v>
      </c>
      <c r="D22" s="455">
        <f aca="true" t="shared" si="1" ref="D22:D27">SUM(E22:H22)</f>
        <v>113349</v>
      </c>
      <c r="E22" s="948"/>
      <c r="F22" s="948"/>
      <c r="G22" s="948"/>
      <c r="H22" s="455">
        <v>113349</v>
      </c>
      <c r="I22"/>
      <c r="J22"/>
      <c r="K22"/>
      <c r="L22"/>
    </row>
    <row r="23" spans="1:12" s="49" customFormat="1" ht="27.75" customHeight="1">
      <c r="A23" s="1153"/>
      <c r="B23" s="77"/>
      <c r="C23" s="1117" t="s">
        <v>435</v>
      </c>
      <c r="D23" s="919">
        <f t="shared" si="1"/>
        <v>20724823</v>
      </c>
      <c r="E23" s="919">
        <v>2061370</v>
      </c>
      <c r="F23" s="919">
        <v>9993346</v>
      </c>
      <c r="G23" s="919">
        <v>5563092</v>
      </c>
      <c r="H23" s="919">
        <f>2307015+H27</f>
        <v>3107015</v>
      </c>
      <c r="I23"/>
      <c r="J23"/>
      <c r="K23"/>
      <c r="L23"/>
    </row>
    <row r="24" spans="1:12" s="49" customFormat="1" ht="27.75" customHeight="1" thickBot="1">
      <c r="A24" s="1154"/>
      <c r="B24" s="86"/>
      <c r="C24" s="87" t="s">
        <v>827</v>
      </c>
      <c r="D24" s="88">
        <f t="shared" si="1"/>
        <v>19680820</v>
      </c>
      <c r="E24" s="88">
        <v>1773870</v>
      </c>
      <c r="F24" s="88">
        <v>9973846</v>
      </c>
      <c r="G24" s="88">
        <v>5133224</v>
      </c>
      <c r="H24" s="88">
        <f>1999880+H27</f>
        <v>2799880</v>
      </c>
      <c r="I24"/>
      <c r="J24"/>
      <c r="K24"/>
      <c r="L24"/>
    </row>
    <row r="25" spans="1:12" s="49" customFormat="1" ht="21" customHeight="1" thickTop="1">
      <c r="A25" s="1155">
        <v>900</v>
      </c>
      <c r="B25" s="1126"/>
      <c r="C25" s="1126" t="s">
        <v>751</v>
      </c>
      <c r="D25" s="736">
        <f t="shared" si="1"/>
        <v>4910000</v>
      </c>
      <c r="E25" s="736">
        <v>500000</v>
      </c>
      <c r="F25" s="736">
        <v>2690000</v>
      </c>
      <c r="G25" s="736">
        <v>520000</v>
      </c>
      <c r="H25" s="736">
        <f>400000+H27</f>
        <v>1200000</v>
      </c>
      <c r="I25"/>
      <c r="J25"/>
      <c r="K25"/>
      <c r="L25"/>
    </row>
    <row r="26" spans="1:12" s="49" customFormat="1" ht="22.5" customHeight="1">
      <c r="A26" s="1156"/>
      <c r="B26" s="1121">
        <v>90095</v>
      </c>
      <c r="C26" s="1121" t="s">
        <v>829</v>
      </c>
      <c r="D26" s="79">
        <f t="shared" si="1"/>
        <v>4110000</v>
      </c>
      <c r="E26" s="79">
        <v>500000</v>
      </c>
      <c r="F26" s="79">
        <v>2690000</v>
      </c>
      <c r="G26" s="79">
        <v>520000</v>
      </c>
      <c r="H26" s="79">
        <v>400000</v>
      </c>
      <c r="I26"/>
      <c r="J26"/>
      <c r="K26"/>
      <c r="L26"/>
    </row>
    <row r="27" spans="1:12" s="49" customFormat="1" ht="20.25" customHeight="1">
      <c r="A27" s="1173"/>
      <c r="B27" s="113"/>
      <c r="C27" s="113"/>
      <c r="D27" s="455">
        <f t="shared" si="1"/>
        <v>800000</v>
      </c>
      <c r="E27" s="455"/>
      <c r="F27" s="455"/>
      <c r="G27" s="455"/>
      <c r="H27" s="455">
        <v>800000</v>
      </c>
      <c r="I27"/>
      <c r="J27"/>
      <c r="K27"/>
      <c r="L27"/>
    </row>
    <row r="28" spans="1:11" ht="54.75" customHeight="1">
      <c r="A28" s="967"/>
      <c r="B28" s="967"/>
      <c r="C28" s="967"/>
      <c r="D28" s="967"/>
      <c r="E28" s="967"/>
      <c r="F28" s="967"/>
      <c r="G28" s="967"/>
      <c r="H28" s="967"/>
      <c r="I28"/>
      <c r="J28"/>
      <c r="K28"/>
    </row>
    <row r="29" spans="1:12" s="49" customFormat="1" ht="19.5" customHeight="1">
      <c r="A29" s="1153"/>
      <c r="B29" s="77"/>
      <c r="C29" s="1117" t="s">
        <v>436</v>
      </c>
      <c r="D29" s="919">
        <f>SUM(E29:H29)</f>
        <v>50285901</v>
      </c>
      <c r="E29" s="919">
        <v>11418950</v>
      </c>
      <c r="F29" s="919">
        <v>12598518</v>
      </c>
      <c r="G29" s="919">
        <v>13363110</v>
      </c>
      <c r="H29" s="919">
        <f>12905323+H33+H35+H37</f>
        <v>12905323</v>
      </c>
      <c r="I29" s="25"/>
      <c r="J29"/>
      <c r="K29"/>
      <c r="L29"/>
    </row>
    <row r="30" spans="1:12" s="49" customFormat="1" ht="19.5" customHeight="1" thickBot="1">
      <c r="A30" s="1154"/>
      <c r="B30" s="86"/>
      <c r="C30" s="87" t="s">
        <v>827</v>
      </c>
      <c r="D30" s="88">
        <f>SUM(E30:H30)</f>
        <v>50245901</v>
      </c>
      <c r="E30" s="88">
        <v>11418950</v>
      </c>
      <c r="F30" s="88">
        <v>12598518</v>
      </c>
      <c r="G30" s="88">
        <v>13353110</v>
      </c>
      <c r="H30" s="88">
        <f>12875323+H33+H35+H37</f>
        <v>12875323</v>
      </c>
      <c r="I30"/>
      <c r="J30"/>
      <c r="K30"/>
      <c r="L30"/>
    </row>
    <row r="31" spans="1:12" s="49" customFormat="1" ht="19.5" customHeight="1" thickTop="1">
      <c r="A31" s="1155">
        <v>600</v>
      </c>
      <c r="B31" s="1126"/>
      <c r="C31" s="1126" t="s">
        <v>369</v>
      </c>
      <c r="D31" s="736">
        <f aca="true" t="shared" si="2" ref="D31:D37">SUM(E31:H31)</f>
        <v>26500000</v>
      </c>
      <c r="E31" s="736">
        <v>4319000</v>
      </c>
      <c r="F31" s="736">
        <v>5744000</v>
      </c>
      <c r="G31" s="736">
        <v>7794000</v>
      </c>
      <c r="H31" s="736">
        <f>8643000+H33+H35+H37</f>
        <v>8643000</v>
      </c>
      <c r="I31"/>
      <c r="J31"/>
      <c r="K31"/>
      <c r="L31"/>
    </row>
    <row r="32" spans="1:12" s="49" customFormat="1" ht="21" customHeight="1">
      <c r="A32" s="1156"/>
      <c r="B32" s="1121">
        <v>60015</v>
      </c>
      <c r="C32" s="1121" t="s">
        <v>370</v>
      </c>
      <c r="D32" s="79">
        <f t="shared" si="2"/>
        <v>15550000</v>
      </c>
      <c r="E32" s="79">
        <v>1278000</v>
      </c>
      <c r="F32" s="79">
        <v>3030000</v>
      </c>
      <c r="G32" s="79">
        <v>4862000</v>
      </c>
      <c r="H32" s="79">
        <v>6380000</v>
      </c>
      <c r="I32"/>
      <c r="J32"/>
      <c r="K32"/>
      <c r="L32"/>
    </row>
    <row r="33" spans="1:12" s="49" customFormat="1" ht="15.75" customHeight="1">
      <c r="A33" s="1156"/>
      <c r="B33" s="113"/>
      <c r="C33" s="113"/>
      <c r="D33" s="455">
        <f>SUM(E33:H33)</f>
        <v>-35870</v>
      </c>
      <c r="E33" s="455"/>
      <c r="F33" s="455"/>
      <c r="G33" s="455"/>
      <c r="H33" s="455">
        <v>-35870</v>
      </c>
      <c r="I33"/>
      <c r="J33"/>
      <c r="K33"/>
      <c r="L33"/>
    </row>
    <row r="34" spans="1:12" s="251" customFormat="1" ht="19.5" customHeight="1">
      <c r="A34" s="1157"/>
      <c r="B34" s="1121">
        <v>60016</v>
      </c>
      <c r="C34" s="1121" t="s">
        <v>750</v>
      </c>
      <c r="D34" s="79">
        <f t="shared" si="2"/>
        <v>4040000</v>
      </c>
      <c r="E34" s="1118">
        <v>488000</v>
      </c>
      <c r="F34" s="1118">
        <v>1097000</v>
      </c>
      <c r="G34" s="1118">
        <v>1245000</v>
      </c>
      <c r="H34" s="1119">
        <v>1210000</v>
      </c>
      <c r="I34" s="3"/>
      <c r="J34" s="3"/>
      <c r="K34" s="3"/>
      <c r="L34" s="3"/>
    </row>
    <row r="35" spans="1:12" s="251" customFormat="1" ht="17.25" customHeight="1">
      <c r="A35" s="1157"/>
      <c r="B35" s="86"/>
      <c r="C35" s="86"/>
      <c r="D35" s="455">
        <f>SUM(E35:H35)</f>
        <v>-70000</v>
      </c>
      <c r="E35" s="402"/>
      <c r="F35" s="402"/>
      <c r="G35" s="402"/>
      <c r="H35" s="1120">
        <v>-70000</v>
      </c>
      <c r="I35" s="3"/>
      <c r="J35" s="3"/>
      <c r="K35" s="3"/>
      <c r="L35" s="3"/>
    </row>
    <row r="36" spans="1:12" s="49" customFormat="1" ht="21.75" customHeight="1">
      <c r="A36" s="1157"/>
      <c r="B36" s="1121">
        <v>60017</v>
      </c>
      <c r="C36" s="1121" t="s">
        <v>599</v>
      </c>
      <c r="D36" s="79">
        <f t="shared" si="2"/>
        <v>430000</v>
      </c>
      <c r="E36" s="79">
        <v>53000</v>
      </c>
      <c r="F36" s="79">
        <v>117000</v>
      </c>
      <c r="G36" s="79">
        <v>187000</v>
      </c>
      <c r="H36" s="79">
        <v>73000</v>
      </c>
      <c r="I36"/>
      <c r="J36"/>
      <c r="K36"/>
      <c r="L36"/>
    </row>
    <row r="37" spans="1:12" s="49" customFormat="1" ht="19.5" customHeight="1">
      <c r="A37" s="1157"/>
      <c r="B37" s="113"/>
      <c r="C37" s="113"/>
      <c r="D37" s="455">
        <f t="shared" si="2"/>
        <v>105870</v>
      </c>
      <c r="E37" s="455"/>
      <c r="F37" s="455"/>
      <c r="G37" s="455"/>
      <c r="H37" s="455">
        <v>105870</v>
      </c>
      <c r="I37"/>
      <c r="J37"/>
      <c r="K37"/>
      <c r="L37"/>
    </row>
    <row r="38" spans="1:12" s="49" customFormat="1" ht="15" customHeight="1">
      <c r="A38" s="1157"/>
      <c r="B38" s="112"/>
      <c r="C38" s="112"/>
      <c r="D38" s="585"/>
      <c r="E38" s="585"/>
      <c r="F38" s="585"/>
      <c r="G38" s="585"/>
      <c r="H38" s="585"/>
      <c r="I38"/>
      <c r="J38"/>
      <c r="K38"/>
      <c r="L38"/>
    </row>
    <row r="39" spans="1:12" s="49" customFormat="1" ht="18" customHeight="1">
      <c r="A39" s="1153"/>
      <c r="B39" s="77"/>
      <c r="C39" s="1117" t="s">
        <v>441</v>
      </c>
      <c r="D39" s="919">
        <f>SUM(E39:H39)</f>
        <v>60501159</v>
      </c>
      <c r="E39" s="919">
        <v>12045909</v>
      </c>
      <c r="F39" s="919">
        <v>13361879</v>
      </c>
      <c r="G39" s="919">
        <f>15915673+G63</f>
        <v>15913020</v>
      </c>
      <c r="H39" s="919">
        <f>19498836+H43+H46+H48+H50+H52+H55+H58+H61+H67</f>
        <v>19180351</v>
      </c>
      <c r="I39" s="25"/>
      <c r="J39"/>
      <c r="K39"/>
      <c r="L39"/>
    </row>
    <row r="40" spans="1:12" s="49" customFormat="1" ht="19.5" customHeight="1" thickBot="1">
      <c r="A40" s="1154"/>
      <c r="B40" s="86"/>
      <c r="C40" s="87" t="s">
        <v>827</v>
      </c>
      <c r="D40" s="118">
        <f>SUM(E40:H40)</f>
        <v>56779969</v>
      </c>
      <c r="E40" s="118">
        <v>10798682</v>
      </c>
      <c r="F40" s="118">
        <v>12226615</v>
      </c>
      <c r="G40" s="118">
        <f>15287831+G63</f>
        <v>15285178</v>
      </c>
      <c r="H40" s="118">
        <f>19271799+H43+H46+H48+H50+H52+H55+H58+H61</f>
        <v>18469494</v>
      </c>
      <c r="I40" s="25"/>
      <c r="J40"/>
      <c r="K40"/>
      <c r="L40"/>
    </row>
    <row r="41" spans="1:12" s="49" customFormat="1" ht="19.5" customHeight="1" thickTop="1">
      <c r="A41" s="1155">
        <v>750</v>
      </c>
      <c r="B41" s="550"/>
      <c r="C41" s="550" t="s">
        <v>505</v>
      </c>
      <c r="D41" s="702">
        <f aca="true" t="shared" si="3" ref="D41:D46">SUM(E41:H41)</f>
        <v>50678088</v>
      </c>
      <c r="E41" s="702">
        <v>10657186</v>
      </c>
      <c r="F41" s="702">
        <v>11726831</v>
      </c>
      <c r="G41" s="702">
        <v>13379891</v>
      </c>
      <c r="H41" s="702">
        <f>14854180+H43</f>
        <v>14914180</v>
      </c>
      <c r="I41" s="25"/>
      <c r="J41"/>
      <c r="K41"/>
      <c r="L41"/>
    </row>
    <row r="42" spans="1:12" s="49" customFormat="1" ht="19.5" customHeight="1">
      <c r="A42" s="1156"/>
      <c r="B42" s="1121">
        <v>75022</v>
      </c>
      <c r="C42" s="1121" t="s">
        <v>682</v>
      </c>
      <c r="D42" s="1000">
        <f t="shared" si="3"/>
        <v>409000</v>
      </c>
      <c r="E42" s="1000">
        <v>91746</v>
      </c>
      <c r="F42" s="1000">
        <v>98253</v>
      </c>
      <c r="G42" s="1000">
        <v>119451</v>
      </c>
      <c r="H42" s="1000">
        <v>99550</v>
      </c>
      <c r="I42" s="25"/>
      <c r="J42"/>
      <c r="K42"/>
      <c r="L42"/>
    </row>
    <row r="43" spans="1:12" s="49" customFormat="1" ht="19.5" customHeight="1">
      <c r="A43" s="1156"/>
      <c r="B43" s="86"/>
      <c r="C43" s="86"/>
      <c r="D43" s="402">
        <f t="shared" si="3"/>
        <v>60000</v>
      </c>
      <c r="E43" s="402"/>
      <c r="F43" s="402"/>
      <c r="G43" s="402"/>
      <c r="H43" s="402">
        <v>60000</v>
      </c>
      <c r="I43" s="25"/>
      <c r="J43"/>
      <c r="K43"/>
      <c r="L43"/>
    </row>
    <row r="44" spans="1:12" s="49" customFormat="1" ht="19.5" customHeight="1">
      <c r="A44" s="1155">
        <v>801</v>
      </c>
      <c r="B44" s="550"/>
      <c r="C44" s="550" t="s">
        <v>730</v>
      </c>
      <c r="D44" s="702">
        <f t="shared" si="3"/>
        <v>2771397</v>
      </c>
      <c r="E44" s="702"/>
      <c r="F44" s="702">
        <v>115114</v>
      </c>
      <c r="G44" s="702">
        <f>648568</f>
        <v>648568</v>
      </c>
      <c r="H44" s="702">
        <f>2855935+H46+H48+H50+H52</f>
        <v>2007715</v>
      </c>
      <c r="I44" s="25"/>
      <c r="J44"/>
      <c r="K44"/>
      <c r="L44"/>
    </row>
    <row r="45" spans="1:12" s="49" customFormat="1" ht="19.5" customHeight="1">
      <c r="A45" s="1156"/>
      <c r="B45" s="1121">
        <v>80101</v>
      </c>
      <c r="C45" s="1121" t="s">
        <v>499</v>
      </c>
      <c r="D45" s="1000">
        <f t="shared" si="3"/>
        <v>1530000</v>
      </c>
      <c r="E45" s="1000"/>
      <c r="F45" s="1000">
        <v>115114</v>
      </c>
      <c r="G45" s="1000">
        <v>14640</v>
      </c>
      <c r="H45" s="1000">
        <v>1400246</v>
      </c>
      <c r="I45" s="25"/>
      <c r="J45"/>
      <c r="K45"/>
      <c r="L45"/>
    </row>
    <row r="46" spans="1:12" s="49" customFormat="1" ht="19.5" customHeight="1">
      <c r="A46" s="1156"/>
      <c r="B46" s="86"/>
      <c r="C46" s="86"/>
      <c r="D46" s="402">
        <f t="shared" si="3"/>
        <v>-421200</v>
      </c>
      <c r="E46" s="402"/>
      <c r="F46" s="402"/>
      <c r="G46" s="402"/>
      <c r="H46" s="402">
        <v>-421200</v>
      </c>
      <c r="I46" s="25"/>
      <c r="J46"/>
      <c r="K46"/>
      <c r="L46"/>
    </row>
    <row r="47" spans="1:12" s="49" customFormat="1" ht="19.5" customHeight="1">
      <c r="A47" s="1156"/>
      <c r="B47" s="1121">
        <v>80104</v>
      </c>
      <c r="C47" s="1121" t="s">
        <v>12</v>
      </c>
      <c r="D47" s="1000">
        <f aca="true" t="shared" si="4" ref="D47:D63">SUM(E47:H47)</f>
        <v>770232</v>
      </c>
      <c r="E47" s="1000"/>
      <c r="F47" s="1000"/>
      <c r="G47" s="1000">
        <v>28100</v>
      </c>
      <c r="H47" s="1000">
        <v>742132</v>
      </c>
      <c r="I47" s="25"/>
      <c r="J47"/>
      <c r="K47"/>
      <c r="L47"/>
    </row>
    <row r="48" spans="1:12" s="49" customFormat="1" ht="19.5" customHeight="1">
      <c r="A48" s="1156"/>
      <c r="B48" s="86"/>
      <c r="C48" s="86"/>
      <c r="D48" s="402">
        <f t="shared" si="4"/>
        <v>-317620</v>
      </c>
      <c r="E48" s="402"/>
      <c r="F48" s="402"/>
      <c r="G48" s="402"/>
      <c r="H48" s="402">
        <v>-317620</v>
      </c>
      <c r="I48" s="25"/>
      <c r="J48"/>
      <c r="K48"/>
      <c r="L48"/>
    </row>
    <row r="49" spans="1:12" s="49" customFormat="1" ht="19.5" customHeight="1">
      <c r="A49" s="1156"/>
      <c r="B49" s="1121">
        <v>80110</v>
      </c>
      <c r="C49" s="1121" t="s">
        <v>502</v>
      </c>
      <c r="D49" s="1000">
        <f t="shared" si="4"/>
        <v>728390</v>
      </c>
      <c r="E49" s="1000"/>
      <c r="F49" s="1000"/>
      <c r="G49" s="1000">
        <v>533848</v>
      </c>
      <c r="H49" s="1000">
        <v>194542</v>
      </c>
      <c r="I49" s="25"/>
      <c r="J49"/>
      <c r="K49"/>
      <c r="L49"/>
    </row>
    <row r="50" spans="1:12" s="49" customFormat="1" ht="19.5" customHeight="1">
      <c r="A50" s="1156"/>
      <c r="B50" s="86"/>
      <c r="C50" s="86"/>
      <c r="D50" s="402">
        <f t="shared" si="4"/>
        <v>-116000</v>
      </c>
      <c r="E50" s="402"/>
      <c r="F50" s="402"/>
      <c r="G50" s="402"/>
      <c r="H50" s="402">
        <v>-116000</v>
      </c>
      <c r="I50" s="25"/>
      <c r="J50"/>
      <c r="K50"/>
      <c r="L50"/>
    </row>
    <row r="51" spans="1:12" s="49" customFormat="1" ht="19.5" customHeight="1">
      <c r="A51" s="1156"/>
      <c r="B51" s="1121">
        <v>80130</v>
      </c>
      <c r="C51" s="1121" t="s">
        <v>14</v>
      </c>
      <c r="D51" s="1000">
        <f t="shared" si="4"/>
        <v>19015</v>
      </c>
      <c r="E51" s="1000"/>
      <c r="F51" s="1000"/>
      <c r="G51" s="1000"/>
      <c r="H51" s="1000">
        <v>19015</v>
      </c>
      <c r="I51" s="25"/>
      <c r="J51"/>
      <c r="K51"/>
      <c r="L51"/>
    </row>
    <row r="52" spans="1:12" s="49" customFormat="1" ht="19.5" customHeight="1">
      <c r="A52" s="1156"/>
      <c r="B52" s="113"/>
      <c r="C52" s="113"/>
      <c r="D52" s="402">
        <f t="shared" si="4"/>
        <v>6600</v>
      </c>
      <c r="E52" s="402"/>
      <c r="F52" s="402"/>
      <c r="G52" s="402"/>
      <c r="H52" s="402">
        <v>6600</v>
      </c>
      <c r="I52" s="25"/>
      <c r="J52"/>
      <c r="K52"/>
      <c r="L52"/>
    </row>
    <row r="53" spans="1:12" s="49" customFormat="1" ht="19.5" customHeight="1">
      <c r="A53" s="1155">
        <v>851</v>
      </c>
      <c r="B53" s="550"/>
      <c r="C53" s="550" t="s">
        <v>877</v>
      </c>
      <c r="D53" s="702">
        <f t="shared" si="4"/>
        <v>1064630</v>
      </c>
      <c r="E53" s="702">
        <v>13630</v>
      </c>
      <c r="F53" s="702">
        <v>48565</v>
      </c>
      <c r="G53" s="702">
        <v>808685</v>
      </c>
      <c r="H53" s="702">
        <f>173750+H55</f>
        <v>193750</v>
      </c>
      <c r="I53" s="25"/>
      <c r="J53"/>
      <c r="K53"/>
      <c r="L53"/>
    </row>
    <row r="54" spans="1:12" s="49" customFormat="1" ht="19.5" customHeight="1">
      <c r="A54" s="1156"/>
      <c r="B54" s="1121">
        <v>85121</v>
      </c>
      <c r="C54" s="1121" t="s">
        <v>485</v>
      </c>
      <c r="D54" s="1000">
        <f t="shared" si="4"/>
        <v>200000</v>
      </c>
      <c r="E54" s="1000"/>
      <c r="F54" s="1000">
        <v>30000</v>
      </c>
      <c r="G54" s="1000"/>
      <c r="H54" s="1000">
        <v>170000</v>
      </c>
      <c r="I54" s="25"/>
      <c r="J54"/>
      <c r="K54"/>
      <c r="L54"/>
    </row>
    <row r="55" spans="1:12" s="49" customFormat="1" ht="15.75" customHeight="1">
      <c r="A55" s="1156"/>
      <c r="B55" s="86"/>
      <c r="C55" s="86"/>
      <c r="D55" s="402">
        <f t="shared" si="4"/>
        <v>20000</v>
      </c>
      <c r="E55" s="402"/>
      <c r="F55" s="402"/>
      <c r="G55" s="402"/>
      <c r="H55" s="402">
        <v>20000</v>
      </c>
      <c r="I55" s="25"/>
      <c r="J55"/>
      <c r="K55"/>
      <c r="L55"/>
    </row>
    <row r="56" spans="1:12" s="49" customFormat="1" ht="19.5" customHeight="1">
      <c r="A56" s="1155">
        <v>852</v>
      </c>
      <c r="B56" s="550"/>
      <c r="C56" s="550" t="s">
        <v>746</v>
      </c>
      <c r="D56" s="702">
        <f>SUM(E56:H56)</f>
        <v>1542554</v>
      </c>
      <c r="E56" s="702">
        <v>3416</v>
      </c>
      <c r="F56" s="702">
        <v>248655</v>
      </c>
      <c r="G56" s="702">
        <v>243584</v>
      </c>
      <c r="H56" s="702">
        <f>1054999+H58</f>
        <v>1046899</v>
      </c>
      <c r="I56" s="25"/>
      <c r="J56"/>
      <c r="K56"/>
      <c r="L56"/>
    </row>
    <row r="57" spans="1:12" s="49" customFormat="1" ht="19.5" customHeight="1">
      <c r="A57" s="1156"/>
      <c r="B57" s="1121">
        <v>85202</v>
      </c>
      <c r="C57" s="1121" t="s">
        <v>497</v>
      </c>
      <c r="D57" s="1000">
        <f>SUM(E57:H57)</f>
        <v>1098583</v>
      </c>
      <c r="E57" s="1000"/>
      <c r="F57" s="1000"/>
      <c r="G57" s="1000">
        <v>243584</v>
      </c>
      <c r="H57" s="1000">
        <v>854999</v>
      </c>
      <c r="I57" s="25"/>
      <c r="J57"/>
      <c r="K57"/>
      <c r="L57"/>
    </row>
    <row r="58" spans="1:12" s="49" customFormat="1" ht="19.5" customHeight="1">
      <c r="A58" s="1173"/>
      <c r="B58" s="113"/>
      <c r="C58" s="113"/>
      <c r="D58" s="402">
        <f>SUM(E58:H58)</f>
        <v>-8100</v>
      </c>
      <c r="E58" s="402"/>
      <c r="F58" s="402"/>
      <c r="G58" s="402"/>
      <c r="H58" s="402">
        <v>-8100</v>
      </c>
      <c r="I58" s="25"/>
      <c r="J58"/>
      <c r="K58"/>
      <c r="L58"/>
    </row>
    <row r="59" spans="1:12" s="49" customFormat="1" ht="19.5" customHeight="1">
      <c r="A59" s="1161">
        <v>854</v>
      </c>
      <c r="B59" s="550"/>
      <c r="C59" s="550" t="s">
        <v>503</v>
      </c>
      <c r="D59" s="702">
        <f t="shared" si="4"/>
        <v>0</v>
      </c>
      <c r="E59" s="702"/>
      <c r="F59" s="702"/>
      <c r="G59" s="702">
        <f>2653+G63</f>
        <v>0</v>
      </c>
      <c r="H59" s="702">
        <f>25985+H61</f>
        <v>0</v>
      </c>
      <c r="I59" s="25"/>
      <c r="J59"/>
      <c r="K59"/>
      <c r="L59"/>
    </row>
    <row r="60" spans="1:12" s="49" customFormat="1" ht="19.5" customHeight="1">
      <c r="A60" s="1156"/>
      <c r="B60" s="1121">
        <v>85403</v>
      </c>
      <c r="C60" s="1121" t="s">
        <v>15</v>
      </c>
      <c r="D60" s="1000">
        <f t="shared" si="4"/>
        <v>25985</v>
      </c>
      <c r="E60" s="1000"/>
      <c r="F60" s="1000"/>
      <c r="G60" s="1000"/>
      <c r="H60" s="1000">
        <v>25985</v>
      </c>
      <c r="I60" s="25"/>
      <c r="J60"/>
      <c r="K60"/>
      <c r="L60"/>
    </row>
    <row r="61" spans="1:12" s="49" customFormat="1" ht="19.5" customHeight="1">
      <c r="A61" s="1156"/>
      <c r="B61" s="113"/>
      <c r="C61" s="113"/>
      <c r="D61" s="402">
        <f t="shared" si="4"/>
        <v>-25985</v>
      </c>
      <c r="E61" s="402"/>
      <c r="F61" s="402"/>
      <c r="G61" s="402"/>
      <c r="H61" s="402">
        <v>-25985</v>
      </c>
      <c r="I61" s="25"/>
      <c r="J61"/>
      <c r="K61"/>
      <c r="L61"/>
    </row>
    <row r="62" spans="1:12" s="49" customFormat="1" ht="19.5" customHeight="1">
      <c r="A62" s="1156"/>
      <c r="B62" s="1121">
        <v>85410</v>
      </c>
      <c r="C62" s="1121" t="s">
        <v>932</v>
      </c>
      <c r="D62" s="1000">
        <f t="shared" si="4"/>
        <v>2653</v>
      </c>
      <c r="E62" s="1000"/>
      <c r="F62" s="1000"/>
      <c r="G62" s="1000">
        <v>2653</v>
      </c>
      <c r="H62" s="1000"/>
      <c r="I62" s="25"/>
      <c r="J62"/>
      <c r="K62"/>
      <c r="L62"/>
    </row>
    <row r="63" spans="1:12" s="49" customFormat="1" ht="19.5" customHeight="1">
      <c r="A63" s="1156"/>
      <c r="B63" s="113"/>
      <c r="C63" s="113"/>
      <c r="D63" s="402">
        <f t="shared" si="4"/>
        <v>-2653</v>
      </c>
      <c r="E63" s="402"/>
      <c r="F63" s="402"/>
      <c r="G63" s="402">
        <v>-2653</v>
      </c>
      <c r="H63" s="402"/>
      <c r="I63" s="25"/>
      <c r="J63"/>
      <c r="K63"/>
      <c r="L63"/>
    </row>
    <row r="64" spans="1:12" s="49" customFormat="1" ht="23.25" customHeight="1" thickBot="1">
      <c r="A64" s="1154"/>
      <c r="B64" s="86"/>
      <c r="C64" s="87" t="s">
        <v>830</v>
      </c>
      <c r="D64" s="88">
        <f>SUM(E64:H64)</f>
        <v>2880284</v>
      </c>
      <c r="E64" s="88">
        <v>817424</v>
      </c>
      <c r="F64" s="88">
        <v>727143</v>
      </c>
      <c r="G64" s="88">
        <v>627842</v>
      </c>
      <c r="H64" s="88">
        <f>224055+H67</f>
        <v>707875</v>
      </c>
      <c r="I64"/>
      <c r="J64"/>
      <c r="K64"/>
      <c r="L64"/>
    </row>
    <row r="65" spans="1:12" s="49" customFormat="1" ht="28.5" customHeight="1" thickTop="1">
      <c r="A65" s="1159">
        <v>751</v>
      </c>
      <c r="B65" s="1128"/>
      <c r="C65" s="1128" t="s">
        <v>754</v>
      </c>
      <c r="D65" s="1127">
        <f>SUM(E65:H65)</f>
        <v>1304886</v>
      </c>
      <c r="E65" s="1127"/>
      <c r="F65" s="1127"/>
      <c r="G65" s="1127">
        <v>597011</v>
      </c>
      <c r="H65" s="1127">
        <f>224055+H67</f>
        <v>707875</v>
      </c>
      <c r="I65"/>
      <c r="J65"/>
      <c r="K65"/>
      <c r="L65"/>
    </row>
    <row r="66" spans="1:12" s="49" customFormat="1" ht="19.5" customHeight="1">
      <c r="A66" s="1156"/>
      <c r="B66" s="78">
        <v>75107</v>
      </c>
      <c r="C66" s="78" t="s">
        <v>490</v>
      </c>
      <c r="D66" s="79">
        <f>SUM(E66:H66)</f>
        <v>315306</v>
      </c>
      <c r="E66" s="79"/>
      <c r="F66" s="79"/>
      <c r="G66" s="79">
        <v>197251</v>
      </c>
      <c r="H66" s="79">
        <v>118055</v>
      </c>
      <c r="I66"/>
      <c r="J66"/>
      <c r="K66"/>
      <c r="L66"/>
    </row>
    <row r="67" spans="1:12" s="49" customFormat="1" ht="19.5" customHeight="1">
      <c r="A67" s="1160"/>
      <c r="B67" s="1122"/>
      <c r="C67" s="1122"/>
      <c r="D67" s="455">
        <f>SUM(E67:H67)</f>
        <v>483820</v>
      </c>
      <c r="E67" s="948"/>
      <c r="F67" s="948"/>
      <c r="G67" s="948"/>
      <c r="H67" s="455">
        <v>483820</v>
      </c>
      <c r="I67"/>
      <c r="J67"/>
      <c r="K67"/>
      <c r="L67"/>
    </row>
    <row r="68" spans="1:12" s="49" customFormat="1" ht="25.5" customHeight="1">
      <c r="A68" s="1153"/>
      <c r="B68" s="77"/>
      <c r="C68" s="1117" t="s">
        <v>438</v>
      </c>
      <c r="D68" s="919">
        <f aca="true" t="shared" si="5" ref="D68:D74">SUM(E68:H68)</f>
        <v>20473801</v>
      </c>
      <c r="E68" s="919">
        <v>4461655</v>
      </c>
      <c r="F68" s="919">
        <v>4931050</v>
      </c>
      <c r="G68" s="919">
        <f>6627392+G72+G80+G86+G92+G94+G99+G102+G112+G114+G96</f>
        <v>4698508</v>
      </c>
      <c r="H68" s="919">
        <f>6752817+H72+H74+H76+H78+H80+H82+H84+H86+H88+H90+H92+H94+H99+H102+H104+H106+H108+H110+H112+H114+H96</f>
        <v>6382588</v>
      </c>
      <c r="I68" s="25"/>
      <c r="J68" s="25"/>
      <c r="K68"/>
      <c r="L68"/>
    </row>
    <row r="69" spans="1:12" s="49" customFormat="1" ht="22.5" customHeight="1" thickBot="1">
      <c r="A69" s="1154"/>
      <c r="B69" s="86"/>
      <c r="C69" s="87" t="s">
        <v>827</v>
      </c>
      <c r="D69" s="88">
        <f t="shared" si="5"/>
        <v>20081557</v>
      </c>
      <c r="E69" s="88">
        <v>4411655</v>
      </c>
      <c r="F69" s="88">
        <v>4764228</v>
      </c>
      <c r="G69" s="88">
        <f>6518085+G72+G80+G86+G92+G94+G99+G102+G112+G114+G96</f>
        <v>4589201</v>
      </c>
      <c r="H69" s="88">
        <f>6686702+H72+H74+H76+H78+H80+H82+H84+H86+H88+H90+H92+H94+H99+H102+H104+H106+H108+H110+H112+H114+H96</f>
        <v>6316473</v>
      </c>
      <c r="I69"/>
      <c r="J69"/>
      <c r="K69"/>
      <c r="L69"/>
    </row>
    <row r="70" spans="1:12" ht="21" customHeight="1" thickTop="1">
      <c r="A70" s="1161">
        <v>801</v>
      </c>
      <c r="B70" s="549"/>
      <c r="C70" s="549" t="s">
        <v>730</v>
      </c>
      <c r="D70" s="1129">
        <f t="shared" si="5"/>
        <v>17770789</v>
      </c>
      <c r="E70" s="1129">
        <v>4116002</v>
      </c>
      <c r="F70" s="1129">
        <v>4479894</v>
      </c>
      <c r="G70" s="1129">
        <f>5208047+G72+G80+G86+G92+G94+G96</f>
        <v>4270192</v>
      </c>
      <c r="H70" s="1129">
        <f>5612874+H72+H74+H76+H78+H80+H82+H84+H86+H88+H90+H92+H94+H96</f>
        <v>4904701</v>
      </c>
      <c r="I70"/>
      <c r="L70" s="25"/>
    </row>
    <row r="71" spans="1:12" ht="18" customHeight="1">
      <c r="A71" s="1162"/>
      <c r="B71" s="77">
        <v>80101</v>
      </c>
      <c r="C71" s="77" t="s">
        <v>499</v>
      </c>
      <c r="D71" s="965">
        <f t="shared" si="5"/>
        <v>1709250</v>
      </c>
      <c r="E71" s="965">
        <v>254678</v>
      </c>
      <c r="F71" s="965">
        <v>274541</v>
      </c>
      <c r="G71" s="965">
        <v>680139</v>
      </c>
      <c r="H71" s="965">
        <f>535500-35608</f>
        <v>499892</v>
      </c>
      <c r="I71"/>
      <c r="L71" s="25"/>
    </row>
    <row r="72" spans="1:12" ht="18" customHeight="1">
      <c r="A72" s="1162"/>
      <c r="B72" s="86"/>
      <c r="C72" s="86"/>
      <c r="D72" s="454">
        <f t="shared" si="5"/>
        <v>-644858</v>
      </c>
      <c r="E72" s="454"/>
      <c r="F72" s="454"/>
      <c r="G72" s="454">
        <v>-416560</v>
      </c>
      <c r="H72" s="454">
        <v>-228298</v>
      </c>
      <c r="I72"/>
      <c r="L72" s="25"/>
    </row>
    <row r="73" spans="1:12" ht="18" customHeight="1">
      <c r="A73" s="1162"/>
      <c r="B73" s="75">
        <v>80103</v>
      </c>
      <c r="C73" s="1137" t="s">
        <v>923</v>
      </c>
      <c r="D73" s="1000">
        <f t="shared" si="5"/>
        <v>14920</v>
      </c>
      <c r="E73" s="1000"/>
      <c r="F73" s="1000"/>
      <c r="G73" s="1000"/>
      <c r="H73" s="1000">
        <v>14920</v>
      </c>
      <c r="I73"/>
      <c r="L73" s="25"/>
    </row>
    <row r="74" spans="1:12" ht="18" customHeight="1">
      <c r="A74" s="1162"/>
      <c r="B74" s="114"/>
      <c r="C74" s="1138"/>
      <c r="D74" s="402">
        <f t="shared" si="5"/>
        <v>-14920</v>
      </c>
      <c r="E74" s="402"/>
      <c r="F74" s="402"/>
      <c r="G74" s="402"/>
      <c r="H74" s="402">
        <v>-14920</v>
      </c>
      <c r="I74"/>
      <c r="L74" s="25"/>
    </row>
    <row r="75" spans="1:12" ht="18" customHeight="1">
      <c r="A75" s="1157"/>
      <c r="B75" s="77">
        <v>80110</v>
      </c>
      <c r="C75" s="77" t="s">
        <v>502</v>
      </c>
      <c r="D75" s="965">
        <f aca="true" t="shared" si="6" ref="D75:D114">SUM(E75:H75)</f>
        <v>3131345</v>
      </c>
      <c r="E75" s="965">
        <v>645524</v>
      </c>
      <c r="F75" s="965">
        <v>727185</v>
      </c>
      <c r="G75" s="965">
        <v>693657</v>
      </c>
      <c r="H75" s="965">
        <f>877034+187945</f>
        <v>1064979</v>
      </c>
      <c r="I75"/>
      <c r="L75" s="25"/>
    </row>
    <row r="76" spans="1:12" ht="18" customHeight="1">
      <c r="A76" s="1157"/>
      <c r="B76" s="86"/>
      <c r="C76" s="86"/>
      <c r="D76" s="402">
        <f t="shared" si="6"/>
        <v>-343400</v>
      </c>
      <c r="E76" s="402"/>
      <c r="F76" s="402"/>
      <c r="G76" s="402"/>
      <c r="H76" s="402">
        <v>-343400</v>
      </c>
      <c r="I76"/>
      <c r="L76" s="25"/>
    </row>
    <row r="77" spans="1:12" ht="18" customHeight="1">
      <c r="A77" s="1157"/>
      <c r="B77" s="77">
        <v>80111</v>
      </c>
      <c r="C77" s="77" t="s">
        <v>605</v>
      </c>
      <c r="D77" s="965">
        <f t="shared" si="6"/>
        <v>35800</v>
      </c>
      <c r="E77" s="965"/>
      <c r="F77" s="965"/>
      <c r="G77" s="965"/>
      <c r="H77" s="965">
        <v>35800</v>
      </c>
      <c r="I77"/>
      <c r="L77" s="25"/>
    </row>
    <row r="78" spans="1:12" ht="18" customHeight="1">
      <c r="A78" s="1157"/>
      <c r="B78" s="86"/>
      <c r="C78" s="86"/>
      <c r="D78" s="402">
        <f t="shared" si="6"/>
        <v>-35800</v>
      </c>
      <c r="E78" s="402"/>
      <c r="F78" s="402"/>
      <c r="G78" s="402"/>
      <c r="H78" s="402">
        <v>-35800</v>
      </c>
      <c r="I78"/>
      <c r="L78" s="25"/>
    </row>
    <row r="79" spans="1:12" ht="18" customHeight="1">
      <c r="A79" s="1157"/>
      <c r="B79" s="77">
        <v>80120</v>
      </c>
      <c r="C79" s="77" t="s">
        <v>500</v>
      </c>
      <c r="D79" s="965">
        <f t="shared" si="6"/>
        <v>4172809</v>
      </c>
      <c r="E79" s="965">
        <v>962207</v>
      </c>
      <c r="F79" s="965">
        <v>1021109</v>
      </c>
      <c r="G79" s="965">
        <v>1001684</v>
      </c>
      <c r="H79" s="965">
        <f>1213800-25991</f>
        <v>1187809</v>
      </c>
      <c r="I79"/>
      <c r="L79" s="25"/>
    </row>
    <row r="80" spans="1:12" ht="18" customHeight="1">
      <c r="A80" s="1157"/>
      <c r="B80" s="113"/>
      <c r="C80" s="113"/>
      <c r="D80" s="402">
        <f t="shared" si="6"/>
        <v>-198800</v>
      </c>
      <c r="E80" s="402"/>
      <c r="F80" s="402"/>
      <c r="G80" s="402">
        <v>-45095</v>
      </c>
      <c r="H80" s="402">
        <v>-153705</v>
      </c>
      <c r="I80"/>
      <c r="L80" s="25"/>
    </row>
    <row r="81" spans="1:12" ht="18" customHeight="1">
      <c r="A81" s="1157"/>
      <c r="B81" s="77">
        <v>80121</v>
      </c>
      <c r="C81" s="77" t="s">
        <v>606</v>
      </c>
      <c r="D81" s="965">
        <f t="shared" si="6"/>
        <v>14400</v>
      </c>
      <c r="E81" s="965"/>
      <c r="F81" s="965"/>
      <c r="G81" s="965"/>
      <c r="H81" s="965">
        <v>14400</v>
      </c>
      <c r="I81"/>
      <c r="L81" s="25"/>
    </row>
    <row r="82" spans="1:12" ht="18" customHeight="1">
      <c r="A82" s="1157"/>
      <c r="B82" s="86"/>
      <c r="C82" s="86"/>
      <c r="D82" s="402">
        <f t="shared" si="6"/>
        <v>-14400</v>
      </c>
      <c r="E82" s="402"/>
      <c r="F82" s="402"/>
      <c r="G82" s="402"/>
      <c r="H82" s="402">
        <v>-14400</v>
      </c>
      <c r="I82"/>
      <c r="L82" s="25"/>
    </row>
    <row r="83" spans="1:12" ht="18" customHeight="1">
      <c r="A83" s="1157"/>
      <c r="B83" s="77">
        <v>80123</v>
      </c>
      <c r="C83" s="77" t="s">
        <v>926</v>
      </c>
      <c r="D83" s="965">
        <f t="shared" si="6"/>
        <v>576321</v>
      </c>
      <c r="E83" s="965">
        <v>88579</v>
      </c>
      <c r="F83" s="965">
        <v>96542</v>
      </c>
      <c r="G83" s="965">
        <v>95170</v>
      </c>
      <c r="H83" s="965">
        <f>246009+50021</f>
        <v>296030</v>
      </c>
      <c r="I83"/>
      <c r="L83" s="25"/>
    </row>
    <row r="84" spans="1:12" ht="18" customHeight="1">
      <c r="A84" s="1157"/>
      <c r="B84" s="86"/>
      <c r="C84" s="86"/>
      <c r="D84" s="402">
        <f t="shared" si="6"/>
        <v>-176300</v>
      </c>
      <c r="E84" s="402"/>
      <c r="F84" s="402"/>
      <c r="G84" s="402"/>
      <c r="H84" s="402">
        <v>-176300</v>
      </c>
      <c r="I84"/>
      <c r="L84" s="25"/>
    </row>
    <row r="85" spans="1:12" ht="18" customHeight="1">
      <c r="A85" s="1157"/>
      <c r="B85" s="77">
        <v>80130</v>
      </c>
      <c r="C85" s="77" t="s">
        <v>14</v>
      </c>
      <c r="D85" s="965">
        <f t="shared" si="6"/>
        <v>5099917</v>
      </c>
      <c r="E85" s="965">
        <v>1133714</v>
      </c>
      <c r="F85" s="965">
        <v>1220626</v>
      </c>
      <c r="G85" s="965">
        <v>1589500</v>
      </c>
      <c r="H85" s="965">
        <f>1648210-492133</f>
        <v>1156077</v>
      </c>
      <c r="I85"/>
      <c r="L85" s="25"/>
    </row>
    <row r="86" spans="1:12" ht="18" customHeight="1">
      <c r="A86" s="1157"/>
      <c r="B86" s="86"/>
      <c r="C86" s="86"/>
      <c r="D86" s="402">
        <f t="shared" si="6"/>
        <v>-92050</v>
      </c>
      <c r="E86" s="402"/>
      <c r="F86" s="402"/>
      <c r="G86" s="402">
        <v>-407600</v>
      </c>
      <c r="H86" s="402">
        <v>315550</v>
      </c>
      <c r="I86"/>
      <c r="L86" s="25"/>
    </row>
    <row r="87" spans="1:12" ht="18" customHeight="1">
      <c r="A87" s="1157"/>
      <c r="B87" s="77">
        <v>80134</v>
      </c>
      <c r="C87" s="77" t="s">
        <v>607</v>
      </c>
      <c r="D87" s="965">
        <f t="shared" si="6"/>
        <v>44600</v>
      </c>
      <c r="E87" s="965"/>
      <c r="F87" s="965"/>
      <c r="G87" s="965"/>
      <c r="H87" s="965">
        <v>44600</v>
      </c>
      <c r="I87"/>
      <c r="L87" s="25"/>
    </row>
    <row r="88" spans="1:12" ht="18" customHeight="1">
      <c r="A88" s="1174"/>
      <c r="B88" s="1175"/>
      <c r="C88" s="1175"/>
      <c r="D88" s="1176">
        <f t="shared" si="6"/>
        <v>-44600</v>
      </c>
      <c r="E88" s="1176"/>
      <c r="F88" s="1176"/>
      <c r="G88" s="1176"/>
      <c r="H88" s="1176">
        <v>-44600</v>
      </c>
      <c r="I88"/>
      <c r="L88" s="25"/>
    </row>
    <row r="89" spans="1:12" ht="29.25" customHeight="1">
      <c r="A89" s="1163"/>
      <c r="B89" s="77">
        <v>80140</v>
      </c>
      <c r="C89" s="1137" t="s">
        <v>398</v>
      </c>
      <c r="D89" s="965">
        <f t="shared" si="6"/>
        <v>80900</v>
      </c>
      <c r="E89" s="965"/>
      <c r="F89" s="965"/>
      <c r="G89" s="965"/>
      <c r="H89" s="965">
        <v>80900</v>
      </c>
      <c r="I89"/>
      <c r="L89" s="25"/>
    </row>
    <row r="90" spans="1:12" ht="19.5" customHeight="1">
      <c r="A90" s="1163"/>
      <c r="B90" s="86"/>
      <c r="C90" s="86"/>
      <c r="D90" s="1123">
        <f t="shared" si="6"/>
        <v>-80900</v>
      </c>
      <c r="E90" s="402"/>
      <c r="F90" s="402"/>
      <c r="G90" s="402"/>
      <c r="H90" s="402">
        <v>-80900</v>
      </c>
      <c r="I90"/>
      <c r="L90" s="25"/>
    </row>
    <row r="91" spans="1:12" ht="21" customHeight="1">
      <c r="A91" s="1163"/>
      <c r="B91" s="1121">
        <v>80145</v>
      </c>
      <c r="C91" s="1121" t="s">
        <v>209</v>
      </c>
      <c r="D91" s="1000">
        <f t="shared" si="6"/>
        <v>36000</v>
      </c>
      <c r="E91" s="999"/>
      <c r="F91" s="999"/>
      <c r="G91" s="999">
        <v>36000</v>
      </c>
      <c r="H91" s="999"/>
      <c r="I91"/>
      <c r="L91" s="25"/>
    </row>
    <row r="92" spans="1:12" ht="21" customHeight="1">
      <c r="A92" s="1163"/>
      <c r="B92" s="86"/>
      <c r="C92" s="86"/>
      <c r="D92" s="1123">
        <f t="shared" si="6"/>
        <v>0</v>
      </c>
      <c r="E92" s="402"/>
      <c r="F92" s="402"/>
      <c r="G92" s="402">
        <v>-12965</v>
      </c>
      <c r="H92" s="402">
        <v>12965</v>
      </c>
      <c r="I92"/>
      <c r="L92" s="25"/>
    </row>
    <row r="93" spans="1:12" ht="21" customHeight="1">
      <c r="A93" s="1163"/>
      <c r="B93" s="1121">
        <v>80195</v>
      </c>
      <c r="C93" s="1121" t="s">
        <v>210</v>
      </c>
      <c r="D93" s="1000">
        <f t="shared" si="6"/>
        <v>54752</v>
      </c>
      <c r="E93" s="1000"/>
      <c r="F93" s="1000">
        <v>18285</v>
      </c>
      <c r="G93" s="1000">
        <f>37715-1348</f>
        <v>36367</v>
      </c>
      <c r="H93" s="1000">
        <v>100</v>
      </c>
      <c r="I93"/>
      <c r="L93" s="25"/>
    </row>
    <row r="94" spans="1:12" ht="18" customHeight="1">
      <c r="A94" s="1163"/>
      <c r="B94" s="86"/>
      <c r="C94" s="86"/>
      <c r="D94" s="1123">
        <f t="shared" si="6"/>
        <v>0</v>
      </c>
      <c r="E94" s="402"/>
      <c r="F94" s="402"/>
      <c r="G94" s="402">
        <v>-34505</v>
      </c>
      <c r="H94" s="402">
        <v>34505</v>
      </c>
      <c r="I94"/>
      <c r="L94" s="25"/>
    </row>
    <row r="95" spans="1:12" ht="21" customHeight="1">
      <c r="A95" s="1163"/>
      <c r="B95" s="1121">
        <v>80197</v>
      </c>
      <c r="C95" s="1121" t="s">
        <v>762</v>
      </c>
      <c r="D95" s="1000">
        <f t="shared" si="6"/>
        <v>104130</v>
      </c>
      <c r="E95" s="1000">
        <v>44000</v>
      </c>
      <c r="F95" s="1000">
        <v>9600</v>
      </c>
      <c r="G95" s="1000">
        <v>50530</v>
      </c>
      <c r="H95" s="1000"/>
      <c r="I95"/>
      <c r="L95" s="25"/>
    </row>
    <row r="96" spans="1:12" ht="18" customHeight="1">
      <c r="A96" s="1164"/>
      <c r="B96" s="113"/>
      <c r="C96" s="113"/>
      <c r="D96" s="1123">
        <f t="shared" si="6"/>
        <v>0</v>
      </c>
      <c r="E96" s="402"/>
      <c r="F96" s="402"/>
      <c r="G96" s="402">
        <v>-21130</v>
      </c>
      <c r="H96" s="402">
        <v>21130</v>
      </c>
      <c r="I96"/>
      <c r="L96" s="25"/>
    </row>
    <row r="97" spans="1:12" ht="20.25" customHeight="1">
      <c r="A97" s="1165">
        <v>851</v>
      </c>
      <c r="B97" s="549"/>
      <c r="C97" s="549" t="s">
        <v>877</v>
      </c>
      <c r="D97" s="1129">
        <f t="shared" si="6"/>
        <v>35000</v>
      </c>
      <c r="E97" s="1130"/>
      <c r="F97" s="1130"/>
      <c r="G97" s="650">
        <f>35000+G99</f>
        <v>0</v>
      </c>
      <c r="H97" s="650">
        <f>H99</f>
        <v>35000</v>
      </c>
      <c r="I97"/>
      <c r="L97" s="25"/>
    </row>
    <row r="98" spans="1:12" ht="21" customHeight="1">
      <c r="A98" s="1166"/>
      <c r="B98" s="1121">
        <v>85154</v>
      </c>
      <c r="C98" s="1121" t="s">
        <v>878</v>
      </c>
      <c r="D98" s="1000">
        <f t="shared" si="6"/>
        <v>35000</v>
      </c>
      <c r="E98" s="1000"/>
      <c r="F98" s="1000"/>
      <c r="G98" s="1000">
        <v>35000</v>
      </c>
      <c r="H98" s="1000"/>
      <c r="I98"/>
      <c r="L98" s="25"/>
    </row>
    <row r="99" spans="1:12" ht="21" customHeight="1">
      <c r="A99" s="1164"/>
      <c r="B99" s="113"/>
      <c r="C99" s="113"/>
      <c r="D99" s="402">
        <f t="shared" si="6"/>
        <v>0</v>
      </c>
      <c r="E99" s="402"/>
      <c r="F99" s="402"/>
      <c r="G99" s="402">
        <v>-35000</v>
      </c>
      <c r="H99" s="402">
        <v>35000</v>
      </c>
      <c r="I99"/>
      <c r="L99" s="25"/>
    </row>
    <row r="100" spans="1:12" ht="20.25" customHeight="1">
      <c r="A100" s="1165">
        <v>854</v>
      </c>
      <c r="B100" s="549"/>
      <c r="C100" s="549" t="s">
        <v>503</v>
      </c>
      <c r="D100" s="1129">
        <f t="shared" si="6"/>
        <v>2275768</v>
      </c>
      <c r="E100" s="650">
        <v>295653</v>
      </c>
      <c r="F100" s="650">
        <v>284334</v>
      </c>
      <c r="G100" s="650">
        <f>1275038+G102+G112+G114</f>
        <v>319009</v>
      </c>
      <c r="H100" s="650">
        <f>1073828+H102+H104+H106+H108+H110+H112+H114</f>
        <v>1376772</v>
      </c>
      <c r="I100"/>
      <c r="L100" s="25"/>
    </row>
    <row r="101" spans="1:12" ht="18" customHeight="1">
      <c r="A101" s="1163"/>
      <c r="B101" s="1121">
        <v>85401</v>
      </c>
      <c r="C101" s="1121" t="s">
        <v>929</v>
      </c>
      <c r="D101" s="1000">
        <f t="shared" si="6"/>
        <v>403895</v>
      </c>
      <c r="E101" s="1000"/>
      <c r="F101" s="1000"/>
      <c r="G101" s="1000">
        <v>306871</v>
      </c>
      <c r="H101" s="1000">
        <v>97024</v>
      </c>
      <c r="I101"/>
      <c r="L101" s="25"/>
    </row>
    <row r="102" spans="1:12" ht="18" customHeight="1">
      <c r="A102" s="1163"/>
      <c r="B102" s="86"/>
      <c r="C102" s="86"/>
      <c r="D102" s="402">
        <f t="shared" si="6"/>
        <v>-58159</v>
      </c>
      <c r="E102" s="402"/>
      <c r="F102" s="402"/>
      <c r="G102" s="402">
        <v>-306871</v>
      </c>
      <c r="H102" s="402">
        <v>248712</v>
      </c>
      <c r="I102"/>
      <c r="L102" s="25"/>
    </row>
    <row r="103" spans="1:12" ht="18" customHeight="1">
      <c r="A103" s="1156"/>
      <c r="B103" s="1121">
        <v>85403</v>
      </c>
      <c r="C103" s="1121" t="s">
        <v>15</v>
      </c>
      <c r="D103" s="1000">
        <f>SUM(E103:H103)</f>
        <v>625800</v>
      </c>
      <c r="E103" s="1000">
        <v>145310</v>
      </c>
      <c r="F103" s="1000">
        <v>125374</v>
      </c>
      <c r="G103" s="1000">
        <v>138432</v>
      </c>
      <c r="H103" s="1000">
        <f>258084-41400</f>
        <v>216684</v>
      </c>
      <c r="I103"/>
      <c r="L103" s="25"/>
    </row>
    <row r="104" spans="1:12" ht="18" customHeight="1">
      <c r="A104" s="1156"/>
      <c r="B104" s="86"/>
      <c r="C104" s="86"/>
      <c r="D104" s="402">
        <f t="shared" si="6"/>
        <v>-69600</v>
      </c>
      <c r="E104" s="402"/>
      <c r="F104" s="402"/>
      <c r="G104" s="402"/>
      <c r="H104" s="402">
        <v>-69600</v>
      </c>
      <c r="I104"/>
      <c r="L104" s="25"/>
    </row>
    <row r="105" spans="1:12" ht="27" customHeight="1">
      <c r="A105" s="1156"/>
      <c r="B105" s="1121">
        <v>85406</v>
      </c>
      <c r="C105" s="78" t="s">
        <v>930</v>
      </c>
      <c r="D105" s="1000">
        <f t="shared" si="6"/>
        <v>209130</v>
      </c>
      <c r="E105" s="1000"/>
      <c r="F105" s="1000"/>
      <c r="G105" s="1000"/>
      <c r="H105" s="1000">
        <v>209130</v>
      </c>
      <c r="I105"/>
      <c r="L105" s="25"/>
    </row>
    <row r="106" spans="1:12" ht="19.5" customHeight="1">
      <c r="A106" s="1156"/>
      <c r="B106" s="86"/>
      <c r="C106" s="86"/>
      <c r="D106" s="402">
        <f t="shared" si="6"/>
        <v>-209130</v>
      </c>
      <c r="E106" s="402"/>
      <c r="F106" s="402"/>
      <c r="G106" s="402"/>
      <c r="H106" s="402">
        <v>-209130</v>
      </c>
      <c r="I106"/>
      <c r="L106" s="25"/>
    </row>
    <row r="107" spans="1:12" ht="18" customHeight="1">
      <c r="A107" s="1156"/>
      <c r="B107" s="1121">
        <v>85407</v>
      </c>
      <c r="C107" s="1121" t="s">
        <v>931</v>
      </c>
      <c r="D107" s="1000">
        <f t="shared" si="6"/>
        <v>60800</v>
      </c>
      <c r="E107" s="1000"/>
      <c r="F107" s="1000"/>
      <c r="G107" s="1000"/>
      <c r="H107" s="1000">
        <v>60800</v>
      </c>
      <c r="I107"/>
      <c r="L107" s="25"/>
    </row>
    <row r="108" spans="1:12" ht="18" customHeight="1">
      <c r="A108" s="1156"/>
      <c r="B108" s="86"/>
      <c r="C108" s="86"/>
      <c r="D108" s="402">
        <f t="shared" si="6"/>
        <v>-60800</v>
      </c>
      <c r="E108" s="402"/>
      <c r="F108" s="402"/>
      <c r="G108" s="402"/>
      <c r="H108" s="402">
        <v>-60800</v>
      </c>
      <c r="I108"/>
      <c r="L108" s="25"/>
    </row>
    <row r="109" spans="1:12" ht="18" customHeight="1">
      <c r="A109" s="1156"/>
      <c r="B109" s="1121">
        <v>85410</v>
      </c>
      <c r="C109" s="1121" t="s">
        <v>932</v>
      </c>
      <c r="D109" s="1000">
        <f t="shared" si="6"/>
        <v>648308</v>
      </c>
      <c r="E109" s="1000">
        <v>142093</v>
      </c>
      <c r="F109" s="1000">
        <v>148967</v>
      </c>
      <c r="G109" s="1000">
        <v>143748</v>
      </c>
      <c r="H109" s="1000">
        <f>232592-19092</f>
        <v>213500</v>
      </c>
      <c r="I109"/>
      <c r="L109" s="25"/>
    </row>
    <row r="110" spans="1:12" ht="18" customHeight="1">
      <c r="A110" s="1156"/>
      <c r="B110" s="86"/>
      <c r="C110" s="86"/>
      <c r="D110" s="402">
        <f t="shared" si="6"/>
        <v>-65000</v>
      </c>
      <c r="E110" s="402"/>
      <c r="F110" s="402"/>
      <c r="G110" s="402"/>
      <c r="H110" s="402">
        <v>-65000</v>
      </c>
      <c r="I110"/>
      <c r="L110" s="25"/>
    </row>
    <row r="111" spans="1:12" ht="18" customHeight="1">
      <c r="A111" s="1156"/>
      <c r="B111" s="1121">
        <v>85415</v>
      </c>
      <c r="C111" s="1121" t="s">
        <v>933</v>
      </c>
      <c r="D111" s="1000">
        <f t="shared" si="6"/>
        <v>870850</v>
      </c>
      <c r="E111" s="1000"/>
      <c r="F111" s="1000"/>
      <c r="G111" s="1000">
        <v>606730</v>
      </c>
      <c r="H111" s="1000">
        <v>264120</v>
      </c>
      <c r="I111"/>
      <c r="L111" s="25"/>
    </row>
    <row r="112" spans="1:12" ht="18" customHeight="1">
      <c r="A112" s="1156"/>
      <c r="B112" s="86"/>
      <c r="C112" s="86"/>
      <c r="D112" s="402">
        <f t="shared" si="6"/>
        <v>-120326</v>
      </c>
      <c r="E112" s="402"/>
      <c r="F112" s="402"/>
      <c r="G112" s="402">
        <v>-586401</v>
      </c>
      <c r="H112" s="402">
        <v>466075</v>
      </c>
      <c r="I112"/>
      <c r="L112" s="25"/>
    </row>
    <row r="113" spans="1:12" ht="18" customHeight="1">
      <c r="A113" s="1156"/>
      <c r="B113" s="1121">
        <v>85495</v>
      </c>
      <c r="C113" s="1121" t="s">
        <v>829</v>
      </c>
      <c r="D113" s="1000">
        <f t="shared" si="6"/>
        <v>77070</v>
      </c>
      <c r="E113" s="1000"/>
      <c r="F113" s="1000">
        <v>1743</v>
      </c>
      <c r="G113" s="1000">
        <v>62757</v>
      </c>
      <c r="H113" s="1000">
        <v>12570</v>
      </c>
      <c r="I113"/>
      <c r="L113" s="25"/>
    </row>
    <row r="114" spans="1:12" ht="18" customHeight="1">
      <c r="A114" s="1174"/>
      <c r="B114" s="113"/>
      <c r="C114" s="113"/>
      <c r="D114" s="402">
        <f t="shared" si="6"/>
        <v>-70070</v>
      </c>
      <c r="E114" s="402"/>
      <c r="F114" s="402"/>
      <c r="G114" s="402">
        <v>-62757</v>
      </c>
      <c r="H114" s="402">
        <v>-7313</v>
      </c>
      <c r="I114"/>
      <c r="L114" s="25"/>
    </row>
    <row r="115" spans="9:11" ht="53.25" customHeight="1">
      <c r="I115"/>
      <c r="J115"/>
      <c r="K115"/>
    </row>
    <row r="116" spans="1:12" s="49" customFormat="1" ht="25.5" customHeight="1">
      <c r="A116" s="1153"/>
      <c r="B116" s="77"/>
      <c r="C116" s="1117" t="s">
        <v>439</v>
      </c>
      <c r="D116" s="919">
        <f aca="true" t="shared" si="7" ref="D116:D122">SUM(E116:H116)</f>
        <v>52163005</v>
      </c>
      <c r="E116" s="919">
        <v>12001664</v>
      </c>
      <c r="F116" s="919">
        <v>12653195</v>
      </c>
      <c r="G116" s="919">
        <f>14331899+G125+G129</f>
        <v>14244697</v>
      </c>
      <c r="H116" s="919">
        <f>13226247+H120+H122+H125+H129</f>
        <v>13263449</v>
      </c>
      <c r="I116"/>
      <c r="J116"/>
      <c r="K116"/>
      <c r="L116"/>
    </row>
    <row r="117" spans="1:12" s="49" customFormat="1" ht="24.75" customHeight="1" thickBot="1">
      <c r="A117" s="1154"/>
      <c r="B117" s="86"/>
      <c r="C117" s="87" t="s">
        <v>827</v>
      </c>
      <c r="D117" s="88">
        <f t="shared" si="7"/>
        <v>51342705</v>
      </c>
      <c r="E117" s="88">
        <v>11862200</v>
      </c>
      <c r="F117" s="88">
        <v>12531020</v>
      </c>
      <c r="G117" s="88">
        <f>14159385+G125</f>
        <v>14127183</v>
      </c>
      <c r="H117" s="88">
        <f>12840100+H120+H122+H125</f>
        <v>12822302</v>
      </c>
      <c r="I117"/>
      <c r="J117"/>
      <c r="K117"/>
      <c r="L117"/>
    </row>
    <row r="118" spans="1:12" ht="18" customHeight="1" thickTop="1">
      <c r="A118" s="1161">
        <v>851</v>
      </c>
      <c r="B118" s="549"/>
      <c r="C118" s="549" t="s">
        <v>877</v>
      </c>
      <c r="D118" s="1129">
        <f t="shared" si="7"/>
        <v>7165205</v>
      </c>
      <c r="E118" s="1129">
        <v>1928338</v>
      </c>
      <c r="F118" s="1129">
        <v>1409420</v>
      </c>
      <c r="G118" s="1129">
        <v>2743797</v>
      </c>
      <c r="H118" s="1129">
        <f>1133650+H120+H122</f>
        <v>1083650</v>
      </c>
      <c r="I118"/>
      <c r="L118" s="25"/>
    </row>
    <row r="119" spans="1:12" ht="18" customHeight="1">
      <c r="A119" s="1168"/>
      <c r="B119" s="1139">
        <v>85121</v>
      </c>
      <c r="C119" s="1121" t="s">
        <v>485</v>
      </c>
      <c r="D119" s="1131">
        <f t="shared" si="7"/>
        <v>3955000</v>
      </c>
      <c r="E119" s="1131">
        <v>1620311</v>
      </c>
      <c r="F119" s="1131">
        <v>263272</v>
      </c>
      <c r="G119" s="1131">
        <f>4316417-2545000</f>
        <v>1771417</v>
      </c>
      <c r="H119" s="1131">
        <v>300000</v>
      </c>
      <c r="I119"/>
      <c r="L119" s="25"/>
    </row>
    <row r="120" spans="1:12" ht="18" customHeight="1">
      <c r="A120" s="1168"/>
      <c r="B120" s="1140"/>
      <c r="C120" s="86"/>
      <c r="D120" s="1133">
        <f t="shared" si="7"/>
        <v>-20000</v>
      </c>
      <c r="E120" s="1134"/>
      <c r="F120" s="1134"/>
      <c r="G120" s="1134"/>
      <c r="H120" s="1133">
        <v>-20000</v>
      </c>
      <c r="I120"/>
      <c r="L120" s="25"/>
    </row>
    <row r="121" spans="1:12" ht="18" customHeight="1">
      <c r="A121" s="1168"/>
      <c r="B121" s="1139">
        <v>85149</v>
      </c>
      <c r="C121" s="1121" t="s">
        <v>453</v>
      </c>
      <c r="D121" s="1131">
        <f t="shared" si="7"/>
        <v>100000</v>
      </c>
      <c r="E121" s="1131"/>
      <c r="F121" s="1131"/>
      <c r="G121" s="1131">
        <v>60000</v>
      </c>
      <c r="H121" s="1131">
        <v>40000</v>
      </c>
      <c r="I121"/>
      <c r="L121" s="25"/>
    </row>
    <row r="122" spans="1:12" ht="18" customHeight="1">
      <c r="A122" s="1169"/>
      <c r="B122" s="1132"/>
      <c r="C122" s="113"/>
      <c r="D122" s="1133">
        <f t="shared" si="7"/>
        <v>-30000</v>
      </c>
      <c r="E122" s="1133"/>
      <c r="F122" s="1133"/>
      <c r="G122" s="1133"/>
      <c r="H122" s="1133">
        <v>-30000</v>
      </c>
      <c r="I122"/>
      <c r="L122" s="25"/>
    </row>
    <row r="123" spans="1:12" ht="18" customHeight="1">
      <c r="A123" s="1165">
        <v>921</v>
      </c>
      <c r="B123" s="549"/>
      <c r="C123" s="549" t="s">
        <v>758</v>
      </c>
      <c r="D123" s="1129">
        <f aca="true" t="shared" si="8" ref="D123:D128">SUM(E123:H123)</f>
        <v>12837500</v>
      </c>
      <c r="E123" s="650">
        <v>3304677</v>
      </c>
      <c r="F123" s="650">
        <v>3433185</v>
      </c>
      <c r="G123" s="650">
        <f>3361638+G125</f>
        <v>3329436</v>
      </c>
      <c r="H123" s="650">
        <f>2738000+H125</f>
        <v>2770202</v>
      </c>
      <c r="I123"/>
      <c r="L123" s="25"/>
    </row>
    <row r="124" spans="1:12" ht="18" customHeight="1">
      <c r="A124" s="1166"/>
      <c r="B124" s="1121">
        <v>92105</v>
      </c>
      <c r="C124" s="1121" t="s">
        <v>759</v>
      </c>
      <c r="D124" s="1000">
        <f t="shared" si="8"/>
        <v>992000</v>
      </c>
      <c r="E124" s="1000">
        <v>144077</v>
      </c>
      <c r="F124" s="1000">
        <v>290500</v>
      </c>
      <c r="G124" s="1000">
        <v>353423</v>
      </c>
      <c r="H124" s="1000">
        <v>204000</v>
      </c>
      <c r="I124"/>
      <c r="L124" s="25"/>
    </row>
    <row r="125" spans="1:12" ht="18" customHeight="1">
      <c r="A125" s="1163"/>
      <c r="B125" s="113"/>
      <c r="C125" s="113"/>
      <c r="D125" s="402">
        <f t="shared" si="8"/>
        <v>0</v>
      </c>
      <c r="E125" s="402"/>
      <c r="F125" s="402"/>
      <c r="G125" s="402">
        <v>-32202</v>
      </c>
      <c r="H125" s="402">
        <v>32202</v>
      </c>
      <c r="I125"/>
      <c r="L125" s="25"/>
    </row>
    <row r="126" spans="1:12" ht="35.25" customHeight="1" thickBot="1">
      <c r="A126" s="1154"/>
      <c r="B126" s="86"/>
      <c r="C126" s="96" t="s">
        <v>650</v>
      </c>
      <c r="D126" s="88">
        <f t="shared" si="8"/>
        <v>294300</v>
      </c>
      <c r="E126" s="88"/>
      <c r="F126" s="88"/>
      <c r="G126" s="88">
        <f>55000+G129</f>
        <v>0</v>
      </c>
      <c r="H126" s="88">
        <f>239300+H129</f>
        <v>294300</v>
      </c>
      <c r="I126"/>
      <c r="L126" s="25"/>
    </row>
    <row r="127" spans="1:12" ht="18" customHeight="1" thickTop="1">
      <c r="A127" s="1161">
        <v>921</v>
      </c>
      <c r="B127" s="549"/>
      <c r="C127" s="549" t="s">
        <v>758</v>
      </c>
      <c r="D127" s="1129">
        <f t="shared" si="8"/>
        <v>294300</v>
      </c>
      <c r="E127" s="1129"/>
      <c r="F127" s="1129"/>
      <c r="G127" s="1129">
        <f>55000+G129</f>
        <v>0</v>
      </c>
      <c r="H127" s="1129">
        <f>239300+H129</f>
        <v>294300</v>
      </c>
      <c r="I127"/>
      <c r="L127" s="25"/>
    </row>
    <row r="128" spans="1:12" ht="18" customHeight="1">
      <c r="A128" s="1168"/>
      <c r="B128" s="1139">
        <v>92109</v>
      </c>
      <c r="C128" s="1121" t="s">
        <v>763</v>
      </c>
      <c r="D128" s="1131">
        <f t="shared" si="8"/>
        <v>55000</v>
      </c>
      <c r="E128" s="1131"/>
      <c r="F128" s="1131"/>
      <c r="G128" s="1131">
        <v>55000</v>
      </c>
      <c r="H128" s="1131"/>
      <c r="I128"/>
      <c r="L128" s="25"/>
    </row>
    <row r="129" spans="1:12" ht="18" customHeight="1">
      <c r="A129" s="1168"/>
      <c r="B129" s="1140"/>
      <c r="C129" s="86"/>
      <c r="D129" s="1133">
        <f>SUM(E129:H129)</f>
        <v>0</v>
      </c>
      <c r="E129" s="1134"/>
      <c r="F129" s="1134"/>
      <c r="G129" s="1133">
        <v>-55000</v>
      </c>
      <c r="H129" s="1133">
        <v>55000</v>
      </c>
      <c r="I129"/>
      <c r="L129" s="25"/>
    </row>
    <row r="130" spans="1:12" ht="18" customHeight="1">
      <c r="A130" s="1168"/>
      <c r="B130" s="1010"/>
      <c r="C130" s="1010"/>
      <c r="D130" s="965"/>
      <c r="E130" s="965"/>
      <c r="F130" s="965"/>
      <c r="G130" s="965"/>
      <c r="H130" s="965"/>
      <c r="I130"/>
      <c r="L130" s="25"/>
    </row>
    <row r="131" spans="1:12" ht="18" customHeight="1">
      <c r="A131" s="1153"/>
      <c r="B131" s="77"/>
      <c r="C131" s="1117" t="s">
        <v>440</v>
      </c>
      <c r="D131" s="919">
        <f aca="true" t="shared" si="9" ref="D131:D138">SUM(E131:H131)</f>
        <v>76523339</v>
      </c>
      <c r="E131" s="919">
        <v>6660368</v>
      </c>
      <c r="F131" s="919">
        <v>9238232</v>
      </c>
      <c r="G131" s="919">
        <v>35621739</v>
      </c>
      <c r="H131" s="919">
        <f>22723000+160000+H135+H138</f>
        <v>25003000</v>
      </c>
      <c r="I131"/>
      <c r="L131" s="25"/>
    </row>
    <row r="132" spans="1:12" ht="23.25" customHeight="1" thickBot="1">
      <c r="A132" s="1154"/>
      <c r="B132" s="86"/>
      <c r="C132" s="87" t="s">
        <v>827</v>
      </c>
      <c r="D132" s="88">
        <f t="shared" si="9"/>
        <v>76523339</v>
      </c>
      <c r="E132" s="88">
        <v>6660368</v>
      </c>
      <c r="F132" s="88">
        <v>9238232</v>
      </c>
      <c r="G132" s="88">
        <v>35621739</v>
      </c>
      <c r="H132" s="88">
        <f>22723000+160000+H135+H138</f>
        <v>25003000</v>
      </c>
      <c r="I132"/>
      <c r="L132" s="25"/>
    </row>
    <row r="133" spans="1:12" ht="18" customHeight="1" thickTop="1">
      <c r="A133" s="1161">
        <v>600</v>
      </c>
      <c r="B133" s="549"/>
      <c r="C133" s="549" t="s">
        <v>369</v>
      </c>
      <c r="D133" s="1129">
        <f t="shared" si="9"/>
        <v>29455000</v>
      </c>
      <c r="E133" s="1129">
        <v>2639522</v>
      </c>
      <c r="F133" s="1129">
        <v>3018896</v>
      </c>
      <c r="G133" s="1129">
        <v>13096582</v>
      </c>
      <c r="H133" s="1129">
        <f>7620000+160000+H135</f>
        <v>10700000</v>
      </c>
      <c r="I133"/>
      <c r="L133" s="25"/>
    </row>
    <row r="134" spans="1:12" ht="18" customHeight="1">
      <c r="A134" s="1168"/>
      <c r="B134" s="1139">
        <v>60016</v>
      </c>
      <c r="C134" s="1121" t="s">
        <v>750</v>
      </c>
      <c r="D134" s="1131">
        <f t="shared" si="9"/>
        <v>2372000</v>
      </c>
      <c r="E134" s="1131"/>
      <c r="F134" s="1131">
        <v>565082</v>
      </c>
      <c r="G134" s="1131">
        <v>1359918</v>
      </c>
      <c r="H134" s="1131">
        <v>447000</v>
      </c>
      <c r="I134"/>
      <c r="L134" s="25"/>
    </row>
    <row r="135" spans="1:12" ht="18" customHeight="1">
      <c r="A135" s="1168"/>
      <c r="B135" s="1132"/>
      <c r="C135" s="113"/>
      <c r="D135" s="1133">
        <f t="shared" si="9"/>
        <v>2920000</v>
      </c>
      <c r="E135" s="1134"/>
      <c r="F135" s="1134"/>
      <c r="G135" s="1134"/>
      <c r="H135" s="1133">
        <v>2920000</v>
      </c>
      <c r="I135"/>
      <c r="L135" s="25"/>
    </row>
    <row r="136" spans="1:12" ht="18" customHeight="1">
      <c r="A136" s="1170">
        <v>900</v>
      </c>
      <c r="B136" s="549"/>
      <c r="C136" s="549" t="s">
        <v>498</v>
      </c>
      <c r="D136" s="1129">
        <f t="shared" si="9"/>
        <v>14410000</v>
      </c>
      <c r="E136" s="650">
        <v>755832</v>
      </c>
      <c r="F136" s="650">
        <v>1499972</v>
      </c>
      <c r="G136" s="650">
        <v>6924196</v>
      </c>
      <c r="H136" s="650">
        <f>6030000+H138</f>
        <v>5230000</v>
      </c>
      <c r="I136"/>
      <c r="L136" s="25"/>
    </row>
    <row r="137" spans="1:12" ht="18" customHeight="1">
      <c r="A137" s="1166"/>
      <c r="B137" s="1121">
        <v>90095</v>
      </c>
      <c r="C137" s="1121" t="s">
        <v>829</v>
      </c>
      <c r="D137" s="1000">
        <f t="shared" si="9"/>
        <v>9200000</v>
      </c>
      <c r="E137" s="1000">
        <v>652780</v>
      </c>
      <c r="F137" s="1000">
        <v>1370522</v>
      </c>
      <c r="G137" s="1000">
        <v>3526698</v>
      </c>
      <c r="H137" s="1000">
        <f>4350000-700000</f>
        <v>3650000</v>
      </c>
      <c r="I137"/>
      <c r="L137" s="25"/>
    </row>
    <row r="138" spans="1:12" ht="18" customHeight="1">
      <c r="A138" s="1163"/>
      <c r="B138" s="113"/>
      <c r="C138" s="113"/>
      <c r="D138" s="402">
        <f t="shared" si="9"/>
        <v>-800000</v>
      </c>
      <c r="E138" s="402"/>
      <c r="F138" s="402"/>
      <c r="G138" s="402"/>
      <c r="H138" s="402">
        <v>-800000</v>
      </c>
      <c r="I138"/>
      <c r="L138" s="25"/>
    </row>
    <row r="139" spans="1:13" s="16" customFormat="1" ht="32.25" customHeight="1">
      <c r="A139" s="1153"/>
      <c r="B139" s="77"/>
      <c r="C139" s="1117" t="s">
        <v>687</v>
      </c>
      <c r="D139" s="919">
        <f>SUM(E139:H139)</f>
        <v>940000</v>
      </c>
      <c r="E139" s="919">
        <f>246700+E143</f>
        <v>224568</v>
      </c>
      <c r="F139" s="919">
        <f>260800+F143</f>
        <v>235132</v>
      </c>
      <c r="G139" s="919">
        <f>241700+G143</f>
        <v>219243</v>
      </c>
      <c r="H139" s="919">
        <f>250800+H143</f>
        <v>261057</v>
      </c>
      <c r="I139"/>
      <c r="J139"/>
      <c r="K139"/>
      <c r="L139"/>
      <c r="M139"/>
    </row>
    <row r="140" spans="1:13" s="16" customFormat="1" ht="19.5" customHeight="1" thickBot="1">
      <c r="A140" s="1154"/>
      <c r="B140" s="86"/>
      <c r="C140" s="87" t="s">
        <v>827</v>
      </c>
      <c r="D140" s="88">
        <f>SUM(E140:H140)</f>
        <v>940000</v>
      </c>
      <c r="E140" s="88">
        <f>246700+E143</f>
        <v>224568</v>
      </c>
      <c r="F140" s="88">
        <f>260800+F143</f>
        <v>235132</v>
      </c>
      <c r="G140" s="88">
        <f>241700+G143</f>
        <v>219243</v>
      </c>
      <c r="H140" s="88">
        <f>250800+H143</f>
        <v>261057</v>
      </c>
      <c r="I140"/>
      <c r="J140"/>
      <c r="K140"/>
      <c r="L140"/>
      <c r="M140"/>
    </row>
    <row r="141" spans="1:13" s="16" customFormat="1" ht="19.5" customHeight="1" thickTop="1">
      <c r="A141" s="1161">
        <v>750</v>
      </c>
      <c r="B141" s="549"/>
      <c r="C141" s="549" t="s">
        <v>505</v>
      </c>
      <c r="D141" s="1129">
        <f>SUM(E141:H141)</f>
        <v>940000</v>
      </c>
      <c r="E141" s="1129">
        <f>246700+E143</f>
        <v>224568</v>
      </c>
      <c r="F141" s="1129">
        <f>260800+F143</f>
        <v>235132</v>
      </c>
      <c r="G141" s="1129">
        <f>241700+G143</f>
        <v>219243</v>
      </c>
      <c r="H141" s="1129">
        <f>250800+H143</f>
        <v>261057</v>
      </c>
      <c r="I141"/>
      <c r="J141"/>
      <c r="K141"/>
      <c r="L141"/>
      <c r="M141"/>
    </row>
    <row r="142" spans="1:12" s="11" customFormat="1" ht="18" customHeight="1">
      <c r="A142" s="1168"/>
      <c r="B142" s="1139">
        <v>75022</v>
      </c>
      <c r="C142" s="1121" t="s">
        <v>682</v>
      </c>
      <c r="D142" s="1131">
        <f>SUM(E142:H142)</f>
        <v>1000000</v>
      </c>
      <c r="E142" s="1131">
        <v>246700</v>
      </c>
      <c r="F142" s="1131">
        <v>260800</v>
      </c>
      <c r="G142" s="1131">
        <v>241700</v>
      </c>
      <c r="H142" s="1131">
        <v>250800</v>
      </c>
      <c r="J142" s="12"/>
      <c r="K142" s="12"/>
      <c r="L142" s="12"/>
    </row>
    <row r="143" spans="1:12" s="11" customFormat="1" ht="24" customHeight="1">
      <c r="A143" s="1177"/>
      <c r="B143" s="1178"/>
      <c r="C143" s="1179"/>
      <c r="D143" s="1133">
        <f>SUM(E143:H143)</f>
        <v>-60000</v>
      </c>
      <c r="E143" s="1133">
        <v>-22132</v>
      </c>
      <c r="F143" s="1133">
        <v>-25668</v>
      </c>
      <c r="G143" s="1133">
        <v>-22457</v>
      </c>
      <c r="H143" s="1133">
        <v>10257</v>
      </c>
      <c r="J143" s="12"/>
      <c r="K143" s="12"/>
      <c r="L143" s="12"/>
    </row>
    <row r="144" spans="1:12" ht="26.25" customHeight="1">
      <c r="A144" s="1153"/>
      <c r="B144" s="77"/>
      <c r="C144" s="1117" t="s">
        <v>587</v>
      </c>
      <c r="D144" s="919">
        <f aca="true" t="shared" si="10" ref="D144:D149">SUM(E144:H144)</f>
        <v>2686200</v>
      </c>
      <c r="E144" s="919">
        <v>603000</v>
      </c>
      <c r="F144" s="919">
        <v>953049</v>
      </c>
      <c r="G144" s="919">
        <v>524000</v>
      </c>
      <c r="H144" s="919">
        <f>619500+H148+H150</f>
        <v>606151</v>
      </c>
      <c r="I144"/>
      <c r="L144" s="25"/>
    </row>
    <row r="145" spans="1:12" ht="16.5" customHeight="1" thickBot="1">
      <c r="A145" s="1154"/>
      <c r="B145" s="86"/>
      <c r="C145" s="87" t="s">
        <v>827</v>
      </c>
      <c r="D145" s="88">
        <f t="shared" si="10"/>
        <v>2626200</v>
      </c>
      <c r="E145" s="88">
        <v>603000</v>
      </c>
      <c r="F145" s="88">
        <v>893049</v>
      </c>
      <c r="G145" s="88">
        <v>524000</v>
      </c>
      <c r="H145" s="88">
        <f>619500+H148+H150</f>
        <v>606151</v>
      </c>
      <c r="I145"/>
      <c r="L145" s="25"/>
    </row>
    <row r="146" spans="1:12" ht="16.5" customHeight="1" thickTop="1">
      <c r="A146" s="1161">
        <v>750</v>
      </c>
      <c r="B146" s="549"/>
      <c r="C146" s="549" t="s">
        <v>505</v>
      </c>
      <c r="D146" s="1129">
        <f t="shared" si="10"/>
        <v>2461200</v>
      </c>
      <c r="E146" s="1129">
        <v>500000</v>
      </c>
      <c r="F146" s="1129">
        <v>832549</v>
      </c>
      <c r="G146" s="1129">
        <v>522500</v>
      </c>
      <c r="H146" s="1129">
        <f>619500+H148+H150</f>
        <v>606151</v>
      </c>
      <c r="I146"/>
      <c r="L146" s="25"/>
    </row>
    <row r="147" spans="1:12" ht="16.5" customHeight="1">
      <c r="A147" s="1168"/>
      <c r="B147" s="1139">
        <v>75075</v>
      </c>
      <c r="C147" s="1121" t="s">
        <v>349</v>
      </c>
      <c r="D147" s="1131">
        <f t="shared" si="10"/>
        <v>1496223</v>
      </c>
      <c r="E147" s="1131"/>
      <c r="F147" s="1131">
        <v>496223</v>
      </c>
      <c r="G147" s="1131">
        <v>500000</v>
      </c>
      <c r="H147" s="1131">
        <v>500000</v>
      </c>
      <c r="I147"/>
      <c r="L147" s="25"/>
    </row>
    <row r="148" spans="1:12" ht="19.5" customHeight="1">
      <c r="A148" s="1168"/>
      <c r="B148" s="1140"/>
      <c r="C148" s="86"/>
      <c r="D148" s="1133">
        <f t="shared" si="10"/>
        <v>100000</v>
      </c>
      <c r="E148" s="1134"/>
      <c r="F148" s="1134"/>
      <c r="G148" s="1134"/>
      <c r="H148" s="1133">
        <v>100000</v>
      </c>
      <c r="I148"/>
      <c r="L148" s="25"/>
    </row>
    <row r="149" spans="1:12" ht="18" customHeight="1">
      <c r="A149" s="1156"/>
      <c r="B149" s="1121">
        <v>75095</v>
      </c>
      <c r="C149" s="1121" t="s">
        <v>829</v>
      </c>
      <c r="D149" s="1000">
        <f t="shared" si="10"/>
        <v>978326</v>
      </c>
      <c r="E149" s="1000">
        <v>500000</v>
      </c>
      <c r="F149" s="1000">
        <v>336326</v>
      </c>
      <c r="G149" s="1000">
        <v>22500</v>
      </c>
      <c r="H149" s="1000">
        <v>119500</v>
      </c>
      <c r="I149"/>
      <c r="L149" s="25"/>
    </row>
    <row r="150" spans="1:12" ht="21" customHeight="1">
      <c r="A150" s="1162"/>
      <c r="B150" s="1124"/>
      <c r="C150" s="90"/>
      <c r="D150" s="402">
        <f>SUM(E150:H150)</f>
        <v>-113349</v>
      </c>
      <c r="E150" s="402"/>
      <c r="F150" s="402"/>
      <c r="G150" s="402"/>
      <c r="H150" s="402">
        <v>-113349</v>
      </c>
      <c r="I150"/>
      <c r="L150" s="25"/>
    </row>
    <row r="151" spans="1:12" s="1095" customFormat="1" ht="16.5" customHeight="1">
      <c r="A151" s="1157"/>
      <c r="B151" s="112"/>
      <c r="C151" s="112"/>
      <c r="D151" s="79"/>
      <c r="E151" s="79"/>
      <c r="F151" s="79"/>
      <c r="G151" s="79"/>
      <c r="H151" s="79"/>
      <c r="I151" s="967"/>
      <c r="J151" s="967"/>
      <c r="K151" s="967"/>
      <c r="L151" s="967"/>
    </row>
    <row r="152" spans="1:12" s="1" customFormat="1" ht="35.25" customHeight="1">
      <c r="A152" s="1153"/>
      <c r="B152" s="77"/>
      <c r="C152" s="1125" t="s">
        <v>534</v>
      </c>
      <c r="D152" s="919">
        <f>SUM(E152:H152)</f>
        <v>2225554</v>
      </c>
      <c r="E152" s="919">
        <v>582132</v>
      </c>
      <c r="F152" s="919">
        <v>527772</v>
      </c>
      <c r="G152" s="919">
        <v>434820</v>
      </c>
      <c r="H152" s="919">
        <f>677830+H156</f>
        <v>680830</v>
      </c>
      <c r="I152" s="25"/>
      <c r="J152"/>
      <c r="K152"/>
      <c r="L152"/>
    </row>
    <row r="153" spans="1:12" s="49" customFormat="1" ht="28.5" customHeight="1" thickBot="1">
      <c r="A153" s="1154"/>
      <c r="B153" s="86"/>
      <c r="C153" s="87" t="s">
        <v>827</v>
      </c>
      <c r="D153" s="88">
        <f>SUM(E153:H153)</f>
        <v>1482800</v>
      </c>
      <c r="E153" s="88">
        <v>386020</v>
      </c>
      <c r="F153" s="88">
        <v>335090</v>
      </c>
      <c r="G153" s="88">
        <v>348490</v>
      </c>
      <c r="H153" s="88">
        <f>410200+H156</f>
        <v>413200</v>
      </c>
      <c r="I153"/>
      <c r="J153"/>
      <c r="K153"/>
      <c r="L153"/>
    </row>
    <row r="154" spans="1:12" s="1" customFormat="1" ht="16.5" customHeight="1" thickTop="1">
      <c r="A154" s="1161">
        <v>852</v>
      </c>
      <c r="B154" s="549"/>
      <c r="C154" s="549" t="s">
        <v>746</v>
      </c>
      <c r="D154" s="1129">
        <f>SUM(E154:H154)</f>
        <v>1476000</v>
      </c>
      <c r="E154" s="1129">
        <v>386020</v>
      </c>
      <c r="F154" s="1129">
        <v>332590</v>
      </c>
      <c r="G154" s="1129">
        <v>345990</v>
      </c>
      <c r="H154" s="1129">
        <f>408400+H156</f>
        <v>411400</v>
      </c>
      <c r="I154"/>
      <c r="J154"/>
      <c r="K154"/>
      <c r="L154"/>
    </row>
    <row r="155" spans="1:12" s="50" customFormat="1" ht="21" customHeight="1">
      <c r="A155" s="1168"/>
      <c r="B155" s="1139">
        <v>85201</v>
      </c>
      <c r="C155" s="1121" t="s">
        <v>667</v>
      </c>
      <c r="D155" s="1131">
        <f>SUM(E155:H155)</f>
        <v>1464300</v>
      </c>
      <c r="E155" s="1131">
        <v>386020</v>
      </c>
      <c r="F155" s="1131">
        <v>331590</v>
      </c>
      <c r="G155" s="1131">
        <v>339490</v>
      </c>
      <c r="H155" s="1131">
        <f>300200+107000</f>
        <v>407200</v>
      </c>
      <c r="I155" s="11"/>
      <c r="J155" s="11"/>
      <c r="K155" s="11"/>
      <c r="L155" s="11"/>
    </row>
    <row r="156" spans="1:12" s="49" customFormat="1" ht="18" customHeight="1">
      <c r="A156" s="1168"/>
      <c r="B156" s="1140"/>
      <c r="C156" s="86"/>
      <c r="D156" s="1133">
        <f>SUM(E156:H156)</f>
        <v>3000</v>
      </c>
      <c r="E156" s="1134"/>
      <c r="F156" s="1134"/>
      <c r="G156" s="1134"/>
      <c r="H156" s="1133">
        <v>3000</v>
      </c>
      <c r="I156"/>
      <c r="J156"/>
      <c r="K156"/>
      <c r="L156"/>
    </row>
    <row r="157" spans="1:12" s="1099" customFormat="1" ht="22.5" customHeight="1">
      <c r="A157" s="437"/>
      <c r="B157" s="437"/>
      <c r="C157" s="1096"/>
      <c r="D157" s="1097"/>
      <c r="E157" s="1097"/>
      <c r="F157" s="1097"/>
      <c r="G157" s="1097"/>
      <c r="H157" s="1097"/>
      <c r="I157" s="1098"/>
      <c r="J157" s="1098"/>
      <c r="K157" s="1098"/>
      <c r="L157" s="1098"/>
    </row>
    <row r="158" spans="1:12" s="1" customFormat="1" ht="16.5" customHeight="1">
      <c r="A158" s="1153"/>
      <c r="B158" s="77"/>
      <c r="C158" s="1117" t="s">
        <v>535</v>
      </c>
      <c r="D158" s="919">
        <f aca="true" t="shared" si="11" ref="D158:D167">SUM(E158:H158)</f>
        <v>1207874</v>
      </c>
      <c r="E158" s="919">
        <v>360494</v>
      </c>
      <c r="F158" s="919">
        <v>272678</v>
      </c>
      <c r="G158" s="919">
        <v>282550</v>
      </c>
      <c r="H158" s="919">
        <f>289152+H162</f>
        <v>292152</v>
      </c>
      <c r="I158" s="25"/>
      <c r="J158"/>
      <c r="K158"/>
      <c r="L158"/>
    </row>
    <row r="159" spans="1:12" s="1" customFormat="1" ht="25.5" customHeight="1" thickBot="1">
      <c r="A159" s="1154"/>
      <c r="B159" s="86"/>
      <c r="C159" s="87" t="s">
        <v>827</v>
      </c>
      <c r="D159" s="88">
        <f t="shared" si="11"/>
        <v>852874</v>
      </c>
      <c r="E159" s="88">
        <v>253074</v>
      </c>
      <c r="F159" s="88">
        <v>193000</v>
      </c>
      <c r="G159" s="88">
        <v>198750</v>
      </c>
      <c r="H159" s="88">
        <f>205050+H162</f>
        <v>208050</v>
      </c>
      <c r="I159"/>
      <c r="J159"/>
      <c r="K159"/>
      <c r="L159"/>
    </row>
    <row r="160" spans="1:12" s="1" customFormat="1" ht="16.5" customHeight="1" thickTop="1">
      <c r="A160" s="1161">
        <v>852</v>
      </c>
      <c r="B160" s="549"/>
      <c r="C160" s="549" t="s">
        <v>746</v>
      </c>
      <c r="D160" s="1129">
        <f t="shared" si="11"/>
        <v>848874</v>
      </c>
      <c r="E160" s="1129">
        <v>253074</v>
      </c>
      <c r="F160" s="1129">
        <v>193000</v>
      </c>
      <c r="G160" s="1129">
        <v>194750</v>
      </c>
      <c r="H160" s="1129">
        <f>205050+H162</f>
        <v>208050</v>
      </c>
      <c r="I160"/>
      <c r="J160"/>
      <c r="K160"/>
      <c r="L160"/>
    </row>
    <row r="161" spans="1:12" s="49" customFormat="1" ht="19.5" customHeight="1">
      <c r="A161" s="1168"/>
      <c r="B161" s="1139">
        <v>85201</v>
      </c>
      <c r="C161" s="1121" t="s">
        <v>667</v>
      </c>
      <c r="D161" s="1131">
        <f t="shared" si="11"/>
        <v>842374</v>
      </c>
      <c r="E161" s="1131">
        <v>253074</v>
      </c>
      <c r="F161" s="1131">
        <v>193000</v>
      </c>
      <c r="G161" s="1131">
        <v>193000</v>
      </c>
      <c r="H161" s="1131">
        <f>193300+10000</f>
        <v>203300</v>
      </c>
      <c r="I161"/>
      <c r="J161"/>
      <c r="K161"/>
      <c r="L161"/>
    </row>
    <row r="162" spans="1:12" s="251" customFormat="1" ht="20.25" customHeight="1">
      <c r="A162" s="1168"/>
      <c r="B162" s="1132"/>
      <c r="C162" s="113"/>
      <c r="D162" s="1133">
        <f t="shared" si="11"/>
        <v>3000</v>
      </c>
      <c r="E162" s="1134"/>
      <c r="F162" s="1134"/>
      <c r="G162" s="1134"/>
      <c r="H162" s="1133">
        <v>3000</v>
      </c>
      <c r="I162" s="3"/>
      <c r="J162" s="3"/>
      <c r="K162" s="3"/>
      <c r="L162" s="3"/>
    </row>
    <row r="163" spans="1:12" s="251" customFormat="1" ht="30" customHeight="1">
      <c r="A163" s="1153"/>
      <c r="B163" s="77"/>
      <c r="C163" s="1117" t="s">
        <v>536</v>
      </c>
      <c r="D163" s="919">
        <f t="shared" si="11"/>
        <v>1681400</v>
      </c>
      <c r="E163" s="919">
        <v>490000</v>
      </c>
      <c r="F163" s="919">
        <v>433000</v>
      </c>
      <c r="G163" s="919">
        <v>405300</v>
      </c>
      <c r="H163" s="919">
        <f>345000+H167</f>
        <v>353100</v>
      </c>
      <c r="I163"/>
      <c r="J163" s="3"/>
      <c r="K163" s="3"/>
      <c r="L163" s="3"/>
    </row>
    <row r="164" spans="1:12" s="251" customFormat="1" ht="21" customHeight="1" thickBot="1">
      <c r="A164" s="1154"/>
      <c r="B164" s="86"/>
      <c r="C164" s="87" t="s">
        <v>827</v>
      </c>
      <c r="D164" s="88">
        <f t="shared" si="11"/>
        <v>1681400</v>
      </c>
      <c r="E164" s="88">
        <v>490000</v>
      </c>
      <c r="F164" s="88">
        <v>433000</v>
      </c>
      <c r="G164" s="88">
        <v>405300</v>
      </c>
      <c r="H164" s="88">
        <f>345000+H167</f>
        <v>353100</v>
      </c>
      <c r="I164"/>
      <c r="J164" s="3"/>
      <c r="K164" s="3"/>
      <c r="L164" s="3"/>
    </row>
    <row r="165" spans="1:12" s="251" customFormat="1" ht="21" customHeight="1" thickTop="1">
      <c r="A165" s="1161">
        <v>852</v>
      </c>
      <c r="B165" s="549"/>
      <c r="C165" s="549" t="s">
        <v>746</v>
      </c>
      <c r="D165" s="1129">
        <f t="shared" si="11"/>
        <v>1681400</v>
      </c>
      <c r="E165" s="1129">
        <v>490000</v>
      </c>
      <c r="F165" s="1129">
        <v>433000</v>
      </c>
      <c r="G165" s="1129">
        <v>405300</v>
      </c>
      <c r="H165" s="1129">
        <f>345000+H167</f>
        <v>353100</v>
      </c>
      <c r="I165"/>
      <c r="J165" s="3"/>
      <c r="K165" s="3"/>
      <c r="L165" s="3"/>
    </row>
    <row r="166" spans="1:12" s="251" customFormat="1" ht="21" customHeight="1">
      <c r="A166" s="1168"/>
      <c r="B166" s="1139">
        <v>85202</v>
      </c>
      <c r="C166" s="1121" t="s">
        <v>497</v>
      </c>
      <c r="D166" s="1131">
        <f t="shared" si="11"/>
        <v>1673300</v>
      </c>
      <c r="E166" s="1131">
        <v>490000</v>
      </c>
      <c r="F166" s="1131">
        <v>433000</v>
      </c>
      <c r="G166" s="1131">
        <v>405300</v>
      </c>
      <c r="H166" s="1131">
        <v>345000</v>
      </c>
      <c r="I166"/>
      <c r="J166" s="3"/>
      <c r="K166" s="3"/>
      <c r="L166" s="3"/>
    </row>
    <row r="167" spans="1:12" s="251" customFormat="1" ht="21" customHeight="1">
      <c r="A167" s="1177"/>
      <c r="B167" s="1132"/>
      <c r="C167" s="113"/>
      <c r="D167" s="1133">
        <f t="shared" si="11"/>
        <v>8100</v>
      </c>
      <c r="E167" s="1134"/>
      <c r="F167" s="1134"/>
      <c r="G167" s="1134"/>
      <c r="H167" s="1133">
        <v>8100</v>
      </c>
      <c r="I167"/>
      <c r="J167" s="3"/>
      <c r="K167" s="3"/>
      <c r="L167" s="3"/>
    </row>
    <row r="168" spans="9:11" ht="63" customHeight="1">
      <c r="I168"/>
      <c r="J168"/>
      <c r="K168"/>
    </row>
    <row r="169" spans="1:12" s="1" customFormat="1" ht="21" customHeight="1">
      <c r="A169" s="1153"/>
      <c r="B169" s="77"/>
      <c r="C169" s="1117" t="s">
        <v>537</v>
      </c>
      <c r="D169" s="919">
        <f aca="true" t="shared" si="12" ref="D169:D179">SUM(E169:H169)</f>
        <v>97482221</v>
      </c>
      <c r="E169" s="919">
        <f>24466550+E175</f>
        <v>23639012</v>
      </c>
      <c r="F169" s="919">
        <f>24475332+F175</f>
        <v>24176307</v>
      </c>
      <c r="G169" s="919">
        <f>23933820+G175</f>
        <v>23692037</v>
      </c>
      <c r="H169" s="919">
        <f>25214400+H173+H175+H177+H180+H183+H187</f>
        <v>25974865</v>
      </c>
      <c r="I169" s="25"/>
      <c r="J169"/>
      <c r="K169"/>
      <c r="L169"/>
    </row>
    <row r="170" spans="1:11" ht="30.75" customHeight="1" thickBot="1">
      <c r="A170" s="1154"/>
      <c r="B170" s="86"/>
      <c r="C170" s="87" t="s">
        <v>827</v>
      </c>
      <c r="D170" s="88">
        <f t="shared" si="12"/>
        <v>38935538</v>
      </c>
      <c r="E170" s="88">
        <f>10136200+E175</f>
        <v>9308662</v>
      </c>
      <c r="F170" s="88">
        <f>10023590+F175</f>
        <v>9724565</v>
      </c>
      <c r="G170" s="88">
        <f>9123470+G175</f>
        <v>8881687</v>
      </c>
      <c r="H170" s="88">
        <f>10315350+H173+H175+H177</f>
        <v>11020624</v>
      </c>
      <c r="I170"/>
      <c r="J170"/>
      <c r="K170"/>
    </row>
    <row r="171" spans="1:12" s="1" customFormat="1" ht="19.5" customHeight="1" thickTop="1">
      <c r="A171" s="1161">
        <v>852</v>
      </c>
      <c r="B171" s="549"/>
      <c r="C171" s="549" t="s">
        <v>746</v>
      </c>
      <c r="D171" s="1129">
        <f t="shared" si="12"/>
        <v>38508798</v>
      </c>
      <c r="E171" s="1129">
        <f>10006850+E175</f>
        <v>9179312</v>
      </c>
      <c r="F171" s="1129">
        <f>9898240+F175</f>
        <v>9599215</v>
      </c>
      <c r="G171" s="1129">
        <f>9045530+G175</f>
        <v>8803747</v>
      </c>
      <c r="H171" s="1129">
        <f>10221250+H173+H175+H177</f>
        <v>10926524</v>
      </c>
      <c r="I171"/>
      <c r="J171"/>
      <c r="K171"/>
      <c r="L171"/>
    </row>
    <row r="172" spans="1:12" s="50" customFormat="1" ht="19.5" customHeight="1">
      <c r="A172" s="1168"/>
      <c r="B172" s="1139">
        <v>85201</v>
      </c>
      <c r="C172" s="1121" t="s">
        <v>667</v>
      </c>
      <c r="D172" s="1131">
        <f t="shared" si="12"/>
        <v>1639600</v>
      </c>
      <c r="E172" s="1131">
        <v>420000</v>
      </c>
      <c r="F172" s="1131">
        <v>420000</v>
      </c>
      <c r="G172" s="1131">
        <v>455600</v>
      </c>
      <c r="H172" s="1131">
        <f>461000-117000</f>
        <v>344000</v>
      </c>
      <c r="I172" s="11"/>
      <c r="J172" s="11"/>
      <c r="K172" s="11"/>
      <c r="L172" s="11"/>
    </row>
    <row r="173" spans="1:12" s="50" customFormat="1" ht="19.5" customHeight="1">
      <c r="A173" s="1168"/>
      <c r="B173" s="1140"/>
      <c r="C173" s="86"/>
      <c r="D173" s="1133">
        <f t="shared" si="12"/>
        <v>-6000</v>
      </c>
      <c r="E173" s="1134"/>
      <c r="F173" s="1134"/>
      <c r="G173" s="1134"/>
      <c r="H173" s="1133">
        <v>-6000</v>
      </c>
      <c r="I173" s="11"/>
      <c r="J173" s="11"/>
      <c r="K173" s="11"/>
      <c r="L173" s="11"/>
    </row>
    <row r="174" spans="1:12" s="50" customFormat="1" ht="21.75" customHeight="1">
      <c r="A174" s="1171"/>
      <c r="B174" s="1139">
        <v>85214</v>
      </c>
      <c r="C174" s="1121" t="s">
        <v>595</v>
      </c>
      <c r="D174" s="1131">
        <f t="shared" si="12"/>
        <v>9500000</v>
      </c>
      <c r="E174" s="1131">
        <v>2575000</v>
      </c>
      <c r="F174" s="1131">
        <v>2175000</v>
      </c>
      <c r="G174" s="1131">
        <v>1825000</v>
      </c>
      <c r="H174" s="1131">
        <v>2925000</v>
      </c>
      <c r="I174" s="11"/>
      <c r="J174" s="11"/>
      <c r="K174" s="11"/>
      <c r="L174" s="11"/>
    </row>
    <row r="175" spans="1:12" s="50" customFormat="1" ht="21" customHeight="1">
      <c r="A175" s="1171"/>
      <c r="B175" s="1140"/>
      <c r="C175" s="86"/>
      <c r="D175" s="1133">
        <f t="shared" si="12"/>
        <v>-1100000</v>
      </c>
      <c r="E175" s="1133">
        <v>-827538</v>
      </c>
      <c r="F175" s="1133">
        <v>-299025</v>
      </c>
      <c r="G175" s="1133">
        <v>-241783</v>
      </c>
      <c r="H175" s="1133">
        <v>268346</v>
      </c>
      <c r="I175" s="11"/>
      <c r="J175" s="11"/>
      <c r="K175" s="11"/>
      <c r="L175" s="11"/>
    </row>
    <row r="176" spans="1:12" s="50" customFormat="1" ht="21.75" customHeight="1">
      <c r="A176" s="1171"/>
      <c r="B176" s="1139">
        <v>85295</v>
      </c>
      <c r="C176" s="1121" t="s">
        <v>829</v>
      </c>
      <c r="D176" s="1131">
        <f t="shared" si="12"/>
        <v>2321470</v>
      </c>
      <c r="E176" s="1131">
        <v>448350</v>
      </c>
      <c r="F176" s="1131">
        <v>1039740</v>
      </c>
      <c r="G176" s="1131">
        <v>618230</v>
      </c>
      <c r="H176" s="1131">
        <v>215150</v>
      </c>
      <c r="I176" s="11"/>
      <c r="J176" s="11"/>
      <c r="K176" s="11"/>
      <c r="L176" s="11"/>
    </row>
    <row r="177" spans="1:12" s="50" customFormat="1" ht="20.25" customHeight="1">
      <c r="A177" s="1171"/>
      <c r="B177" s="1132"/>
      <c r="C177" s="113"/>
      <c r="D177" s="1133">
        <f t="shared" si="12"/>
        <v>442928</v>
      </c>
      <c r="E177" s="1134"/>
      <c r="F177" s="1134"/>
      <c r="G177" s="1134"/>
      <c r="H177" s="1133">
        <v>442928</v>
      </c>
      <c r="I177" s="11"/>
      <c r="J177" s="11"/>
      <c r="K177" s="11"/>
      <c r="L177" s="11"/>
    </row>
    <row r="178" spans="1:11" ht="24" customHeight="1" thickBot="1">
      <c r="A178" s="1154"/>
      <c r="B178" s="86"/>
      <c r="C178" s="87" t="s">
        <v>830</v>
      </c>
      <c r="D178" s="88">
        <f t="shared" si="12"/>
        <v>55451405</v>
      </c>
      <c r="E178" s="88">
        <v>13632250</v>
      </c>
      <c r="F178" s="88">
        <v>13736250</v>
      </c>
      <c r="G178" s="88">
        <v>14068250</v>
      </c>
      <c r="H178" s="88">
        <f>13969450+H180+H183</f>
        <v>14014655</v>
      </c>
      <c r="I178"/>
      <c r="J178"/>
      <c r="K178"/>
    </row>
    <row r="179" spans="1:11" ht="24" customHeight="1" thickTop="1">
      <c r="A179" s="1161">
        <v>851</v>
      </c>
      <c r="B179" s="549"/>
      <c r="C179" s="549" t="s">
        <v>877</v>
      </c>
      <c r="D179" s="1129">
        <f t="shared" si="12"/>
        <v>1605</v>
      </c>
      <c r="E179" s="1129"/>
      <c r="F179" s="1129"/>
      <c r="G179" s="1129"/>
      <c r="H179" s="1129">
        <f>H180</f>
        <v>1605</v>
      </c>
      <c r="I179"/>
      <c r="J179"/>
      <c r="K179"/>
    </row>
    <row r="180" spans="1:11" ht="19.5" customHeight="1">
      <c r="A180" s="1172"/>
      <c r="B180" s="1349">
        <v>85195</v>
      </c>
      <c r="C180" s="397" t="s">
        <v>829</v>
      </c>
      <c r="D180" s="1133">
        <f>SUM(E180:H180)</f>
        <v>1605</v>
      </c>
      <c r="E180" s="1131"/>
      <c r="F180" s="1131"/>
      <c r="G180" s="1131"/>
      <c r="H180" s="1135">
        <v>1605</v>
      </c>
      <c r="I180"/>
      <c r="J180"/>
      <c r="K180"/>
    </row>
    <row r="181" spans="1:12" s="1" customFormat="1" ht="20.25" customHeight="1">
      <c r="A181" s="1165">
        <v>852</v>
      </c>
      <c r="B181" s="549"/>
      <c r="C181" s="549" t="s">
        <v>746</v>
      </c>
      <c r="D181" s="1129">
        <f>SUM(E181:H181)</f>
        <v>55449800</v>
      </c>
      <c r="E181" s="650">
        <v>13632250</v>
      </c>
      <c r="F181" s="650">
        <v>13736250</v>
      </c>
      <c r="G181" s="650">
        <v>14068250</v>
      </c>
      <c r="H181" s="650">
        <f>13969450+H183</f>
        <v>14013050</v>
      </c>
      <c r="I181"/>
      <c r="J181"/>
      <c r="K181"/>
      <c r="L181"/>
    </row>
    <row r="182" spans="1:12" s="17" customFormat="1" ht="21" customHeight="1">
      <c r="A182" s="1166"/>
      <c r="B182" s="1121">
        <v>85278</v>
      </c>
      <c r="C182" s="1121" t="s">
        <v>727</v>
      </c>
      <c r="D182" s="1000">
        <f aca="true" t="shared" si="13" ref="D182:D187">SUM(E182:H182)</f>
        <v>82000</v>
      </c>
      <c r="E182" s="1000"/>
      <c r="F182" s="1000"/>
      <c r="G182" s="1000">
        <v>82000</v>
      </c>
      <c r="H182" s="1000"/>
      <c r="I182" s="9"/>
      <c r="J182" s="9"/>
      <c r="K182" s="9"/>
      <c r="L182" s="9"/>
    </row>
    <row r="183" spans="1:12" s="17" customFormat="1" ht="14.25" customHeight="1">
      <c r="A183" s="1163"/>
      <c r="B183" s="113"/>
      <c r="C183" s="113"/>
      <c r="D183" s="402">
        <f t="shared" si="13"/>
        <v>43600</v>
      </c>
      <c r="E183" s="402"/>
      <c r="F183" s="402"/>
      <c r="G183" s="402"/>
      <c r="H183" s="402">
        <v>43600</v>
      </c>
      <c r="I183" s="9"/>
      <c r="J183" s="9"/>
      <c r="K183" s="9"/>
      <c r="L183" s="9"/>
    </row>
    <row r="184" spans="1:12" s="17" customFormat="1" ht="30" customHeight="1" thickBot="1">
      <c r="A184" s="1154"/>
      <c r="B184" s="86"/>
      <c r="C184" s="96" t="s">
        <v>831</v>
      </c>
      <c r="D184" s="88">
        <f t="shared" si="13"/>
        <v>2319778</v>
      </c>
      <c r="E184" s="88">
        <v>578600</v>
      </c>
      <c r="F184" s="88">
        <v>595992</v>
      </c>
      <c r="G184" s="88">
        <v>567600</v>
      </c>
      <c r="H184" s="88">
        <f>567600+H187</f>
        <v>577586</v>
      </c>
      <c r="I184" s="9"/>
      <c r="J184" s="9"/>
      <c r="K184" s="9"/>
      <c r="L184" s="9"/>
    </row>
    <row r="185" spans="1:12" s="17" customFormat="1" ht="18.75" customHeight="1" thickTop="1">
      <c r="A185" s="1161">
        <v>853</v>
      </c>
      <c r="B185" s="549"/>
      <c r="C185" s="549" t="s">
        <v>752</v>
      </c>
      <c r="D185" s="1129">
        <f t="shared" si="13"/>
        <v>38378</v>
      </c>
      <c r="E185" s="1129"/>
      <c r="F185" s="1129">
        <v>28392</v>
      </c>
      <c r="G185" s="1129"/>
      <c r="H185" s="1129">
        <f>H187</f>
        <v>9986</v>
      </c>
      <c r="I185" s="9"/>
      <c r="J185" s="9"/>
      <c r="K185" s="9"/>
      <c r="L185" s="9"/>
    </row>
    <row r="186" spans="1:12" s="50" customFormat="1" ht="18.75" customHeight="1">
      <c r="A186" s="1168"/>
      <c r="B186" s="1139">
        <v>85334</v>
      </c>
      <c r="C186" s="1121" t="s">
        <v>753</v>
      </c>
      <c r="D186" s="1131">
        <f t="shared" si="13"/>
        <v>28392</v>
      </c>
      <c r="E186" s="1131"/>
      <c r="F186" s="1131">
        <v>28392</v>
      </c>
      <c r="G186" s="1131"/>
      <c r="H186" s="1131"/>
      <c r="I186" s="11"/>
      <c r="J186" s="11"/>
      <c r="K186" s="11"/>
      <c r="L186" s="11"/>
    </row>
    <row r="187" spans="1:12" s="50" customFormat="1" ht="18.75" customHeight="1">
      <c r="A187" s="1168"/>
      <c r="B187" s="1132"/>
      <c r="C187" s="113"/>
      <c r="D187" s="1133">
        <f t="shared" si="13"/>
        <v>9986</v>
      </c>
      <c r="E187" s="1134"/>
      <c r="F187" s="1134"/>
      <c r="G187" s="1134"/>
      <c r="H187" s="1133">
        <v>9986</v>
      </c>
      <c r="I187" s="11"/>
      <c r="J187" s="11"/>
      <c r="K187" s="11"/>
      <c r="L187" s="11"/>
    </row>
    <row r="188" spans="1:12" ht="20.25" customHeight="1">
      <c r="A188" s="1153"/>
      <c r="B188" s="77"/>
      <c r="C188" s="1117" t="s">
        <v>538</v>
      </c>
      <c r="D188" s="919">
        <f aca="true" t="shared" si="14" ref="D188:D195">SUM(E188:H188)</f>
        <v>13322741</v>
      </c>
      <c r="E188" s="919">
        <v>3366800</v>
      </c>
      <c r="F188" s="919">
        <v>3596800</v>
      </c>
      <c r="G188" s="919">
        <v>2882141</v>
      </c>
      <c r="H188" s="919">
        <f>3311000+H191+H195</f>
        <v>3477000</v>
      </c>
      <c r="L188" s="25"/>
    </row>
    <row r="189" spans="1:12" ht="37.5" customHeight="1" thickBot="1">
      <c r="A189" s="1154"/>
      <c r="B189" s="86"/>
      <c r="C189" s="96" t="s">
        <v>510</v>
      </c>
      <c r="D189" s="88">
        <f t="shared" si="14"/>
        <v>24000</v>
      </c>
      <c r="E189" s="88"/>
      <c r="F189" s="88"/>
      <c r="G189" s="88"/>
      <c r="H189" s="88">
        <f>H191</f>
        <v>24000</v>
      </c>
      <c r="L189" s="25"/>
    </row>
    <row r="190" spans="1:12" ht="18.75" customHeight="1" thickTop="1">
      <c r="A190" s="1161">
        <v>754</v>
      </c>
      <c r="B190" s="549"/>
      <c r="C190" s="549" t="s">
        <v>724</v>
      </c>
      <c r="D190" s="1129">
        <f t="shared" si="14"/>
        <v>24000</v>
      </c>
      <c r="E190" s="1129"/>
      <c r="F190" s="1129"/>
      <c r="G190" s="1129"/>
      <c r="H190" s="1129">
        <f>H191</f>
        <v>24000</v>
      </c>
      <c r="L190" s="25"/>
    </row>
    <row r="191" spans="1:12" ht="20.25" customHeight="1">
      <c r="A191" s="1168"/>
      <c r="B191" s="1349">
        <v>75411</v>
      </c>
      <c r="C191" s="397" t="s">
        <v>489</v>
      </c>
      <c r="D191" s="1143">
        <f t="shared" si="14"/>
        <v>24000</v>
      </c>
      <c r="E191" s="1144"/>
      <c r="F191" s="1144"/>
      <c r="G191" s="1144"/>
      <c r="H191" s="1143">
        <v>24000</v>
      </c>
      <c r="L191" s="25"/>
    </row>
    <row r="192" spans="1:12" ht="32.25" customHeight="1" thickBot="1">
      <c r="A192" s="1154"/>
      <c r="B192" s="86"/>
      <c r="C192" s="96" t="s">
        <v>831</v>
      </c>
      <c r="D192" s="88">
        <f t="shared" si="14"/>
        <v>12998741</v>
      </c>
      <c r="E192" s="88">
        <v>3366800</v>
      </c>
      <c r="F192" s="88">
        <v>3596800</v>
      </c>
      <c r="G192" s="88">
        <v>2882141</v>
      </c>
      <c r="H192" s="88">
        <f>3011000+H195</f>
        <v>3153000</v>
      </c>
      <c r="L192" s="25"/>
    </row>
    <row r="193" spans="1:12" ht="17.25" customHeight="1" thickTop="1">
      <c r="A193" s="1161">
        <v>754</v>
      </c>
      <c r="B193" s="549"/>
      <c r="C193" s="549" t="s">
        <v>724</v>
      </c>
      <c r="D193" s="1129">
        <f t="shared" si="14"/>
        <v>12983000</v>
      </c>
      <c r="E193" s="1129">
        <v>3360000</v>
      </c>
      <c r="F193" s="1129">
        <v>3590000</v>
      </c>
      <c r="G193" s="1129">
        <v>2880000</v>
      </c>
      <c r="H193" s="1129">
        <f>3011000+H195</f>
        <v>3153000</v>
      </c>
      <c r="L193" s="25"/>
    </row>
    <row r="194" spans="1:12" ht="17.25" customHeight="1">
      <c r="A194" s="1168"/>
      <c r="B194" s="1139">
        <v>75411</v>
      </c>
      <c r="C194" s="1121" t="s">
        <v>489</v>
      </c>
      <c r="D194" s="1131">
        <f t="shared" si="14"/>
        <v>12841000</v>
      </c>
      <c r="E194" s="1131">
        <v>3360000</v>
      </c>
      <c r="F194" s="1131">
        <v>3590000</v>
      </c>
      <c r="G194" s="1131">
        <v>2880000</v>
      </c>
      <c r="H194" s="1131">
        <v>3011000</v>
      </c>
      <c r="L194" s="25"/>
    </row>
    <row r="195" spans="1:12" ht="17.25" customHeight="1">
      <c r="A195" s="1177"/>
      <c r="B195" s="1180"/>
      <c r="C195" s="86"/>
      <c r="D195" s="1133">
        <f t="shared" si="14"/>
        <v>142000</v>
      </c>
      <c r="E195" s="1134"/>
      <c r="F195" s="1134"/>
      <c r="G195" s="1134"/>
      <c r="H195" s="1133">
        <v>142000</v>
      </c>
      <c r="L195" s="25"/>
    </row>
    <row r="196" spans="1:12" ht="29.25" customHeight="1">
      <c r="A196" s="1153"/>
      <c r="B196" s="77"/>
      <c r="C196" s="1117" t="s">
        <v>539</v>
      </c>
      <c r="D196" s="919">
        <f aca="true" t="shared" si="15" ref="D196:D204">SUM(E196:H196)</f>
        <v>6031900</v>
      </c>
      <c r="E196" s="919">
        <f>1359000+E200</f>
        <v>1295174</v>
      </c>
      <c r="F196" s="919">
        <f>1643821+F200</f>
        <v>1529828</v>
      </c>
      <c r="G196" s="919">
        <f>1534585+G200+G204</f>
        <v>1419258</v>
      </c>
      <c r="H196" s="919">
        <f>1494494+H200+H204</f>
        <v>1787640</v>
      </c>
      <c r="L196" s="25"/>
    </row>
    <row r="197" spans="1:12" ht="22.5" customHeight="1" thickBot="1">
      <c r="A197" s="1154"/>
      <c r="B197" s="86"/>
      <c r="C197" s="87" t="s">
        <v>827</v>
      </c>
      <c r="D197" s="88">
        <f t="shared" si="15"/>
        <v>3319900</v>
      </c>
      <c r="E197" s="88">
        <f>889000+E200</f>
        <v>825174</v>
      </c>
      <c r="F197" s="88">
        <f>931315+F200</f>
        <v>817322</v>
      </c>
      <c r="G197" s="88">
        <f>824585+G200</f>
        <v>733746</v>
      </c>
      <c r="H197" s="88">
        <f>675000+H200</f>
        <v>943658</v>
      </c>
      <c r="L197" s="25"/>
    </row>
    <row r="198" spans="1:12" ht="17.25" customHeight="1" thickTop="1">
      <c r="A198" s="1161">
        <v>853</v>
      </c>
      <c r="B198" s="549"/>
      <c r="C198" s="549" t="s">
        <v>752</v>
      </c>
      <c r="D198" s="1129">
        <f t="shared" si="15"/>
        <v>3319900</v>
      </c>
      <c r="E198" s="1129">
        <f>889000+E200</f>
        <v>825174</v>
      </c>
      <c r="F198" s="1129">
        <f>931315+F200</f>
        <v>817322</v>
      </c>
      <c r="G198" s="1129">
        <f>824585+G200</f>
        <v>733746</v>
      </c>
      <c r="H198" s="1129">
        <f>675000+H200</f>
        <v>943658</v>
      </c>
      <c r="L198" s="25"/>
    </row>
    <row r="199" spans="1:12" ht="17.25" customHeight="1">
      <c r="A199" s="1168"/>
      <c r="B199" s="1139">
        <v>85333</v>
      </c>
      <c r="C199" s="1121" t="s">
        <v>668</v>
      </c>
      <c r="D199" s="1131">
        <f t="shared" si="15"/>
        <v>3319900</v>
      </c>
      <c r="E199" s="1131">
        <v>889000</v>
      </c>
      <c r="F199" s="1131">
        <v>931315</v>
      </c>
      <c r="G199" s="1131">
        <v>824585</v>
      </c>
      <c r="H199" s="1131">
        <v>675000</v>
      </c>
      <c r="L199" s="25"/>
    </row>
    <row r="200" spans="1:12" ht="17.25" customHeight="1">
      <c r="A200" s="1168"/>
      <c r="B200" s="1132"/>
      <c r="C200" s="113"/>
      <c r="D200" s="1133">
        <f t="shared" si="15"/>
        <v>0</v>
      </c>
      <c r="E200" s="1133">
        <v>-63826</v>
      </c>
      <c r="F200" s="1133">
        <v>-113993</v>
      </c>
      <c r="G200" s="1133">
        <v>-90839</v>
      </c>
      <c r="H200" s="1133">
        <v>268658</v>
      </c>
      <c r="L200" s="25"/>
    </row>
    <row r="201" spans="1:12" ht="26.25" customHeight="1" thickBot="1">
      <c r="A201" s="1154"/>
      <c r="B201" s="86"/>
      <c r="C201" s="96" t="s">
        <v>831</v>
      </c>
      <c r="D201" s="88">
        <f t="shared" si="15"/>
        <v>2712000</v>
      </c>
      <c r="E201" s="88">
        <v>470000</v>
      </c>
      <c r="F201" s="88">
        <v>712506</v>
      </c>
      <c r="G201" s="88">
        <f>710000+G204</f>
        <v>685512</v>
      </c>
      <c r="H201" s="88">
        <f>819494+H204</f>
        <v>843982</v>
      </c>
      <c r="L201" s="25"/>
    </row>
    <row r="202" spans="1:12" ht="17.25" customHeight="1" thickTop="1">
      <c r="A202" s="1161">
        <v>851</v>
      </c>
      <c r="B202" s="549"/>
      <c r="C202" s="549" t="s">
        <v>459</v>
      </c>
      <c r="D202" s="1129">
        <f t="shared" si="15"/>
        <v>2712000</v>
      </c>
      <c r="E202" s="1129">
        <v>470000</v>
      </c>
      <c r="F202" s="1129">
        <v>712506</v>
      </c>
      <c r="G202" s="1129">
        <f>710000+G204</f>
        <v>685512</v>
      </c>
      <c r="H202" s="1129">
        <f>819494+H204</f>
        <v>843982</v>
      </c>
      <c r="L202" s="25"/>
    </row>
    <row r="203" spans="1:12" ht="25.5" customHeight="1">
      <c r="A203" s="1168"/>
      <c r="B203" s="1139">
        <v>85156</v>
      </c>
      <c r="C203" s="78" t="s">
        <v>548</v>
      </c>
      <c r="D203" s="1131">
        <f t="shared" si="15"/>
        <v>2712000</v>
      </c>
      <c r="E203" s="1131">
        <v>470000</v>
      </c>
      <c r="F203" s="1131">
        <v>712506</v>
      </c>
      <c r="G203" s="1131">
        <v>710000</v>
      </c>
      <c r="H203" s="1131">
        <v>819494</v>
      </c>
      <c r="L203" s="25"/>
    </row>
    <row r="204" spans="1:12" ht="17.25" customHeight="1">
      <c r="A204" s="1168"/>
      <c r="B204" s="1140"/>
      <c r="C204" s="86"/>
      <c r="D204" s="1133">
        <f t="shared" si="15"/>
        <v>0</v>
      </c>
      <c r="E204" s="1134"/>
      <c r="F204" s="1134"/>
      <c r="G204" s="1133">
        <v>-24488</v>
      </c>
      <c r="H204" s="1133">
        <v>24488</v>
      </c>
      <c r="L204" s="25"/>
    </row>
    <row r="205" spans="1:12" ht="17.25" customHeight="1">
      <c r="A205" s="1162"/>
      <c r="B205" s="77"/>
      <c r="C205" s="77"/>
      <c r="D205" s="965"/>
      <c r="E205" s="965"/>
      <c r="F205" s="965"/>
      <c r="G205" s="965"/>
      <c r="H205" s="965"/>
      <c r="L205" s="25"/>
    </row>
    <row r="206" spans="1:12" ht="17.25" customHeight="1">
      <c r="A206" s="1153"/>
      <c r="B206" s="77"/>
      <c r="C206" s="1117" t="s">
        <v>540</v>
      </c>
      <c r="D206" s="919">
        <f>SUM(E206:H206)</f>
        <v>331305656</v>
      </c>
      <c r="E206" s="919">
        <v>92581527</v>
      </c>
      <c r="F206" s="919">
        <v>88480407</v>
      </c>
      <c r="G206" s="919">
        <f>86143712+G210+G212+G214+G216+G218+G220+G222+G224+G226+G228+G230+G232+G234+G236+G238+G240+G242+G244+G247+G249+G251+G253+G255+G257+G259+G261+G263+G265+G268+G272</f>
        <v>75500120</v>
      </c>
      <c r="H206" s="919">
        <f>60894039+H210+H212+H214+H216+H218+H220+H222+H224+H226+H228+H230+H232+H234+H236+H238+H240+H242+H244+H247+H249+H251+H253+H255+H257+H259+H261+H263+H265+H268+H272</f>
        <v>74743602</v>
      </c>
      <c r="L206" s="25"/>
    </row>
    <row r="207" spans="1:12" s="1" customFormat="1" ht="21" customHeight="1" thickBot="1">
      <c r="A207" s="1154"/>
      <c r="B207" s="86"/>
      <c r="C207" s="87" t="s">
        <v>827</v>
      </c>
      <c r="D207" s="88">
        <f aca="true" t="shared" si="16" ref="D207:D242">SUM(E207:H207)</f>
        <v>329574690</v>
      </c>
      <c r="E207" s="88">
        <v>92581279</v>
      </c>
      <c r="F207" s="88">
        <v>86865985</v>
      </c>
      <c r="G207" s="88">
        <f>86028058+G210+G212+G214+G216+G218+G220+G222+G224+G226+G228+G230+G232+G234+G236+G238+G240+G242+G244+G247+G249+G251+G253+G255+G257+G259+G261+G263+G265+G268</f>
        <v>75393659</v>
      </c>
      <c r="H207" s="88">
        <f>60893397+H210+H212+H214+H216+H218+H220+H222+H224+H226+H228+H230+H232+H234+H236+H238+H240+H242+H244+H247+H249+H251+H253+H255+H257+H259+H261+H263+H265+H268</f>
        <v>74733767</v>
      </c>
      <c r="I207" s="8"/>
      <c r="J207" s="8"/>
      <c r="K207" s="8"/>
      <c r="L207" s="8"/>
    </row>
    <row r="208" spans="1:12" ht="19.5" customHeight="1" thickTop="1">
      <c r="A208" s="1161">
        <v>801</v>
      </c>
      <c r="B208" s="549"/>
      <c r="C208" s="549" t="s">
        <v>730</v>
      </c>
      <c r="D208" s="1129">
        <f t="shared" si="16"/>
        <v>291477753</v>
      </c>
      <c r="E208" s="1129">
        <v>82436088</v>
      </c>
      <c r="F208" s="1129">
        <v>77164460</v>
      </c>
      <c r="G208" s="1129">
        <f>74781925+G210+G212+G214+G216+G218+G220+G222+G224+G226+G228+G230+G232+G234+G236+G238+G240+G242</f>
        <v>67184901</v>
      </c>
      <c r="H208" s="1129">
        <f>54601032+H210+H212+H214+H216+H218+H220+H222+H224+H226+H228+H230+H232+H234+H236+H238+H240+H242</f>
        <v>64692304</v>
      </c>
      <c r="L208" s="25"/>
    </row>
    <row r="209" spans="1:12" ht="17.25" customHeight="1">
      <c r="A209" s="1168"/>
      <c r="B209" s="1139">
        <v>80101</v>
      </c>
      <c r="C209" s="1121" t="s">
        <v>499</v>
      </c>
      <c r="D209" s="1131">
        <f t="shared" si="16"/>
        <v>79187886</v>
      </c>
      <c r="E209" s="1131">
        <v>22865092</v>
      </c>
      <c r="F209" s="1131">
        <v>20237087</v>
      </c>
      <c r="G209" s="1131">
        <v>20303759</v>
      </c>
      <c r="H209" s="1131">
        <f>15801948-20000</f>
        <v>15781948</v>
      </c>
      <c r="L209" s="25"/>
    </row>
    <row r="210" spans="1:12" ht="17.25" customHeight="1">
      <c r="A210" s="1168"/>
      <c r="B210" s="1140"/>
      <c r="C210" s="86"/>
      <c r="D210" s="1133">
        <f t="shared" si="16"/>
        <v>794264</v>
      </c>
      <c r="E210" s="1133"/>
      <c r="F210" s="1133"/>
      <c r="G210" s="1133">
        <v>-1842827</v>
      </c>
      <c r="H210" s="1133">
        <f>2377491+259600</f>
        <v>2637091</v>
      </c>
      <c r="L210" s="25"/>
    </row>
    <row r="211" spans="1:12" ht="17.25" customHeight="1">
      <c r="A211" s="1162"/>
      <c r="B211" s="77">
        <v>80102</v>
      </c>
      <c r="C211" s="77" t="s">
        <v>446</v>
      </c>
      <c r="D211" s="1000">
        <f t="shared" si="16"/>
        <v>5859950</v>
      </c>
      <c r="E211" s="1000">
        <v>1742556</v>
      </c>
      <c r="F211" s="1000">
        <v>1460380</v>
      </c>
      <c r="G211" s="1000">
        <v>1572620</v>
      </c>
      <c r="H211" s="1000">
        <v>1084394</v>
      </c>
      <c r="L211" s="25"/>
    </row>
    <row r="212" spans="1:12" ht="17.25" customHeight="1">
      <c r="A212" s="1162"/>
      <c r="B212" s="86"/>
      <c r="C212" s="86"/>
      <c r="D212" s="402">
        <f t="shared" si="16"/>
        <v>102495</v>
      </c>
      <c r="E212" s="402"/>
      <c r="F212" s="402"/>
      <c r="G212" s="402">
        <v>-169656</v>
      </c>
      <c r="H212" s="402">
        <v>272151</v>
      </c>
      <c r="L212" s="25"/>
    </row>
    <row r="213" spans="1:12" ht="17.25" customHeight="1">
      <c r="A213" s="1162"/>
      <c r="B213" s="75">
        <v>80103</v>
      </c>
      <c r="C213" s="1137" t="s">
        <v>923</v>
      </c>
      <c r="D213" s="1000">
        <f t="shared" si="16"/>
        <v>1570560</v>
      </c>
      <c r="E213" s="1000">
        <v>394673</v>
      </c>
      <c r="F213" s="1000">
        <v>401969</v>
      </c>
      <c r="G213" s="1000">
        <v>468711</v>
      </c>
      <c r="H213" s="1000">
        <v>305207</v>
      </c>
      <c r="L213" s="25"/>
    </row>
    <row r="214" spans="1:12" ht="17.25" customHeight="1">
      <c r="A214" s="1162"/>
      <c r="B214" s="114"/>
      <c r="C214" s="1138"/>
      <c r="D214" s="402">
        <f t="shared" si="16"/>
        <v>18595</v>
      </c>
      <c r="E214" s="402"/>
      <c r="F214" s="402"/>
      <c r="G214" s="402">
        <v>-99182</v>
      </c>
      <c r="H214" s="402">
        <v>117777</v>
      </c>
      <c r="L214" s="25"/>
    </row>
    <row r="215" spans="1:12" ht="17.25" customHeight="1">
      <c r="A215" s="1163"/>
      <c r="B215" s="1141">
        <v>80104</v>
      </c>
      <c r="C215" s="1137" t="s">
        <v>12</v>
      </c>
      <c r="D215" s="1000">
        <f t="shared" si="16"/>
        <v>41593806</v>
      </c>
      <c r="E215" s="965">
        <v>12065930</v>
      </c>
      <c r="F215" s="965">
        <v>11492122</v>
      </c>
      <c r="G215" s="965">
        <v>9823886</v>
      </c>
      <c r="H215" s="965">
        <v>8211868</v>
      </c>
      <c r="L215" s="25"/>
    </row>
    <row r="216" spans="1:12" ht="17.25" customHeight="1">
      <c r="A216" s="1163"/>
      <c r="B216" s="114"/>
      <c r="C216" s="1138"/>
      <c r="D216" s="402">
        <f t="shared" si="16"/>
        <v>317620</v>
      </c>
      <c r="E216" s="402"/>
      <c r="F216" s="402"/>
      <c r="G216" s="402"/>
      <c r="H216" s="402">
        <v>317620</v>
      </c>
      <c r="L216" s="25"/>
    </row>
    <row r="217" spans="1:12" ht="17.25" customHeight="1">
      <c r="A217" s="1163"/>
      <c r="B217" s="1141">
        <v>80105</v>
      </c>
      <c r="C217" s="1137" t="s">
        <v>447</v>
      </c>
      <c r="D217" s="1000">
        <f t="shared" si="16"/>
        <v>1468200</v>
      </c>
      <c r="E217" s="1000">
        <v>449513</v>
      </c>
      <c r="F217" s="1000">
        <v>396081</v>
      </c>
      <c r="G217" s="1000">
        <v>422606</v>
      </c>
      <c r="H217" s="1000">
        <v>200000</v>
      </c>
      <c r="L217" s="25"/>
    </row>
    <row r="218" spans="1:12" ht="17.25" customHeight="1">
      <c r="A218" s="1163"/>
      <c r="B218" s="114"/>
      <c r="C218" s="1138"/>
      <c r="D218" s="402">
        <f t="shared" si="16"/>
        <v>3911</v>
      </c>
      <c r="E218" s="402"/>
      <c r="F218" s="402"/>
      <c r="G218" s="402">
        <v>-81243</v>
      </c>
      <c r="H218" s="402">
        <v>85154</v>
      </c>
      <c r="L218" s="25"/>
    </row>
    <row r="219" spans="1:12" ht="17.25" customHeight="1">
      <c r="A219" s="1157"/>
      <c r="B219" s="77">
        <v>80110</v>
      </c>
      <c r="C219" s="77" t="s">
        <v>502</v>
      </c>
      <c r="D219" s="1000">
        <f t="shared" si="16"/>
        <v>46200348</v>
      </c>
      <c r="E219" s="1000">
        <v>13588969</v>
      </c>
      <c r="F219" s="1000">
        <v>11860924</v>
      </c>
      <c r="G219" s="1000">
        <v>11953159</v>
      </c>
      <c r="H219" s="1000">
        <f>8585296+212000</f>
        <v>8797296</v>
      </c>
      <c r="L219" s="25"/>
    </row>
    <row r="220" spans="1:12" ht="17.25" customHeight="1">
      <c r="A220" s="1157"/>
      <c r="B220" s="113"/>
      <c r="C220" s="113"/>
      <c r="D220" s="402">
        <f t="shared" si="16"/>
        <v>678518</v>
      </c>
      <c r="E220" s="402"/>
      <c r="F220" s="402"/>
      <c r="G220" s="402">
        <v>-1127725</v>
      </c>
      <c r="H220" s="402">
        <f>1690243+116000</f>
        <v>1806243</v>
      </c>
      <c r="L220" s="25"/>
    </row>
    <row r="221" spans="1:12" ht="17.25" customHeight="1">
      <c r="A221" s="1157"/>
      <c r="B221" s="77">
        <v>80111</v>
      </c>
      <c r="C221" s="77" t="s">
        <v>605</v>
      </c>
      <c r="D221" s="1000">
        <f t="shared" si="16"/>
        <v>4055200</v>
      </c>
      <c r="E221" s="1000">
        <v>1212879</v>
      </c>
      <c r="F221" s="1000">
        <v>1044823</v>
      </c>
      <c r="G221" s="1000">
        <v>1216298</v>
      </c>
      <c r="H221" s="1000">
        <v>581200</v>
      </c>
      <c r="L221" s="25"/>
    </row>
    <row r="222" spans="1:12" ht="17.25" customHeight="1">
      <c r="A222" s="1157"/>
      <c r="B222" s="86"/>
      <c r="C222" s="86"/>
      <c r="D222" s="402">
        <f t="shared" si="16"/>
        <v>146748</v>
      </c>
      <c r="E222" s="402"/>
      <c r="F222" s="402"/>
      <c r="G222" s="402">
        <v>-177969</v>
      </c>
      <c r="H222" s="402">
        <v>324717</v>
      </c>
      <c r="L222" s="25"/>
    </row>
    <row r="223" spans="1:12" ht="17.25" customHeight="1">
      <c r="A223" s="1157"/>
      <c r="B223" s="77">
        <v>80113</v>
      </c>
      <c r="C223" s="77" t="s">
        <v>924</v>
      </c>
      <c r="D223" s="454">
        <f t="shared" si="16"/>
        <v>527672</v>
      </c>
      <c r="E223" s="454">
        <v>140490</v>
      </c>
      <c r="F223" s="454">
        <v>170644</v>
      </c>
      <c r="G223" s="454">
        <v>168848</v>
      </c>
      <c r="H223" s="454">
        <v>47690</v>
      </c>
      <c r="L223" s="25"/>
    </row>
    <row r="224" spans="1:12" ht="17.25" customHeight="1">
      <c r="A224" s="1157"/>
      <c r="B224" s="86"/>
      <c r="C224" s="86"/>
      <c r="D224" s="402">
        <f t="shared" si="16"/>
        <v>12039</v>
      </c>
      <c r="E224" s="454"/>
      <c r="F224" s="454"/>
      <c r="G224" s="454">
        <v>-114363</v>
      </c>
      <c r="H224" s="454">
        <v>126402</v>
      </c>
      <c r="L224" s="25"/>
    </row>
    <row r="225" spans="1:12" ht="17.25" customHeight="1">
      <c r="A225" s="1157"/>
      <c r="B225" s="77">
        <v>80120</v>
      </c>
      <c r="C225" s="77" t="s">
        <v>500</v>
      </c>
      <c r="D225" s="1000">
        <f t="shared" si="16"/>
        <v>41219339</v>
      </c>
      <c r="E225" s="1000">
        <v>11421637</v>
      </c>
      <c r="F225" s="1000">
        <v>11230638</v>
      </c>
      <c r="G225" s="1000">
        <v>10638623</v>
      </c>
      <c r="H225" s="1000">
        <f>7478781+449660</f>
        <v>7928441</v>
      </c>
      <c r="L225" s="25"/>
    </row>
    <row r="226" spans="1:12" ht="17.25" customHeight="1">
      <c r="A226" s="1174"/>
      <c r="B226" s="86"/>
      <c r="C226" s="86"/>
      <c r="D226" s="402">
        <f t="shared" si="16"/>
        <v>698350</v>
      </c>
      <c r="E226" s="402"/>
      <c r="F226" s="402"/>
      <c r="G226" s="402">
        <v>-899886</v>
      </c>
      <c r="H226" s="402">
        <f>1518236+80000</f>
        <v>1598236</v>
      </c>
      <c r="L226" s="25"/>
    </row>
    <row r="227" spans="1:12" ht="17.25" customHeight="1">
      <c r="A227" s="1157"/>
      <c r="B227" s="77">
        <v>80121</v>
      </c>
      <c r="C227" s="77" t="s">
        <v>606</v>
      </c>
      <c r="D227" s="1000">
        <f t="shared" si="16"/>
        <v>1307600</v>
      </c>
      <c r="E227" s="1000">
        <v>369268</v>
      </c>
      <c r="F227" s="1000">
        <v>293174</v>
      </c>
      <c r="G227" s="1000">
        <v>387558</v>
      </c>
      <c r="H227" s="1000">
        <v>257600</v>
      </c>
      <c r="L227" s="25"/>
    </row>
    <row r="228" spans="1:12" ht="17.25" customHeight="1">
      <c r="A228" s="1157"/>
      <c r="B228" s="86"/>
      <c r="C228" s="86"/>
      <c r="D228" s="402">
        <f t="shared" si="16"/>
        <v>-258112</v>
      </c>
      <c r="E228" s="402"/>
      <c r="F228" s="402"/>
      <c r="G228" s="402">
        <v>-130682</v>
      </c>
      <c r="H228" s="402">
        <v>-127430</v>
      </c>
      <c r="L228" s="25"/>
    </row>
    <row r="229" spans="1:12" ht="17.25" customHeight="1">
      <c r="A229" s="1157"/>
      <c r="B229" s="77">
        <v>80123</v>
      </c>
      <c r="C229" s="77" t="s">
        <v>926</v>
      </c>
      <c r="D229" s="1000">
        <f t="shared" si="16"/>
        <v>7777455</v>
      </c>
      <c r="E229" s="1000">
        <v>2280000</v>
      </c>
      <c r="F229" s="1000">
        <v>2200549</v>
      </c>
      <c r="G229" s="1000">
        <v>2345546</v>
      </c>
      <c r="H229" s="1000">
        <v>951360</v>
      </c>
      <c r="L229" s="25"/>
    </row>
    <row r="230" spans="1:12" ht="17.25" customHeight="1">
      <c r="A230" s="1157"/>
      <c r="B230" s="86"/>
      <c r="C230" s="86"/>
      <c r="D230" s="402">
        <f t="shared" si="16"/>
        <v>171300</v>
      </c>
      <c r="E230" s="402"/>
      <c r="F230" s="402"/>
      <c r="G230" s="402">
        <v>-324843</v>
      </c>
      <c r="H230" s="402">
        <v>496143</v>
      </c>
      <c r="L230" s="25"/>
    </row>
    <row r="231" spans="1:12" ht="17.25" customHeight="1">
      <c r="A231" s="1157"/>
      <c r="B231" s="77">
        <v>80124</v>
      </c>
      <c r="C231" s="77" t="s">
        <v>507</v>
      </c>
      <c r="D231" s="1000">
        <f t="shared" si="16"/>
        <v>547400</v>
      </c>
      <c r="E231" s="1000">
        <v>156148</v>
      </c>
      <c r="F231" s="1000">
        <v>143093</v>
      </c>
      <c r="G231" s="1000">
        <v>169059</v>
      </c>
      <c r="H231" s="1000">
        <v>79100</v>
      </c>
      <c r="L231" s="25"/>
    </row>
    <row r="232" spans="1:12" ht="17.25" customHeight="1">
      <c r="A232" s="1157"/>
      <c r="B232" s="86"/>
      <c r="C232" s="86"/>
      <c r="D232" s="402">
        <f t="shared" si="16"/>
        <v>0</v>
      </c>
      <c r="E232" s="402"/>
      <c r="F232" s="402"/>
      <c r="G232" s="402">
        <v>-43662</v>
      </c>
      <c r="H232" s="402">
        <v>43662</v>
      </c>
      <c r="L232" s="25"/>
    </row>
    <row r="233" spans="1:12" ht="17.25" customHeight="1">
      <c r="A233" s="1157"/>
      <c r="B233" s="77">
        <v>80130</v>
      </c>
      <c r="C233" s="77" t="s">
        <v>14</v>
      </c>
      <c r="D233" s="1000">
        <f t="shared" si="16"/>
        <v>36563804</v>
      </c>
      <c r="E233" s="1000">
        <v>10739300</v>
      </c>
      <c r="F233" s="1000">
        <v>9233888</v>
      </c>
      <c r="G233" s="1000">
        <v>9527138</v>
      </c>
      <c r="H233" s="1000">
        <f>7044438+19040</f>
        <v>7063478</v>
      </c>
      <c r="L233" s="25"/>
    </row>
    <row r="234" spans="1:12" ht="17.25" customHeight="1">
      <c r="A234" s="1157"/>
      <c r="B234" s="86"/>
      <c r="C234" s="86"/>
      <c r="D234" s="402">
        <f t="shared" si="16"/>
        <v>-187740</v>
      </c>
      <c r="E234" s="402"/>
      <c r="F234" s="402"/>
      <c r="G234" s="402">
        <v>-1119879</v>
      </c>
      <c r="H234" s="402">
        <f>857139+75000</f>
        <v>932139</v>
      </c>
      <c r="L234" s="25"/>
    </row>
    <row r="235" spans="1:12" ht="25.5" customHeight="1">
      <c r="A235" s="1157"/>
      <c r="B235" s="77">
        <v>80132</v>
      </c>
      <c r="C235" s="77" t="s">
        <v>212</v>
      </c>
      <c r="D235" s="1000">
        <f t="shared" si="16"/>
        <v>3341000</v>
      </c>
      <c r="E235" s="1000">
        <v>1021519</v>
      </c>
      <c r="F235" s="1000">
        <v>777001</v>
      </c>
      <c r="G235" s="1000">
        <v>1042480</v>
      </c>
      <c r="H235" s="1000">
        <v>500000</v>
      </c>
      <c r="L235" s="25"/>
    </row>
    <row r="236" spans="1:12" ht="21.75" customHeight="1">
      <c r="A236" s="1157"/>
      <c r="B236" s="86"/>
      <c r="C236" s="86"/>
      <c r="D236" s="402">
        <f t="shared" si="16"/>
        <v>0</v>
      </c>
      <c r="E236" s="402"/>
      <c r="F236" s="402"/>
      <c r="G236" s="402">
        <v>-304950</v>
      </c>
      <c r="H236" s="402">
        <v>304950</v>
      </c>
      <c r="L236" s="25"/>
    </row>
    <row r="237" spans="1:12" ht="17.25" customHeight="1">
      <c r="A237" s="1157"/>
      <c r="B237" s="77">
        <v>80134</v>
      </c>
      <c r="C237" s="77" t="s">
        <v>211</v>
      </c>
      <c r="D237" s="1000">
        <f t="shared" si="16"/>
        <v>4442800</v>
      </c>
      <c r="E237" s="1000">
        <v>1393207</v>
      </c>
      <c r="F237" s="1000">
        <v>1099599</v>
      </c>
      <c r="G237" s="1000">
        <v>1216594</v>
      </c>
      <c r="H237" s="1000">
        <v>733400</v>
      </c>
      <c r="L237" s="25"/>
    </row>
    <row r="238" spans="1:12" ht="24.75" customHeight="1">
      <c r="A238" s="1157"/>
      <c r="B238" s="86"/>
      <c r="C238" s="86"/>
      <c r="D238" s="402">
        <f t="shared" si="16"/>
        <v>-24870</v>
      </c>
      <c r="E238" s="402"/>
      <c r="F238" s="402"/>
      <c r="G238" s="402">
        <v>-216197</v>
      </c>
      <c r="H238" s="402">
        <v>191327</v>
      </c>
      <c r="L238" s="25"/>
    </row>
    <row r="239" spans="1:12" ht="32.25" customHeight="1">
      <c r="A239" s="1163"/>
      <c r="B239" s="1121">
        <v>80140</v>
      </c>
      <c r="C239" s="78" t="s">
        <v>398</v>
      </c>
      <c r="D239" s="1000">
        <f t="shared" si="16"/>
        <v>9520235</v>
      </c>
      <c r="E239" s="1000">
        <v>2594907</v>
      </c>
      <c r="F239" s="1000">
        <v>2218865</v>
      </c>
      <c r="G239" s="1000">
        <v>2828164</v>
      </c>
      <c r="H239" s="1000">
        <f>1857629+20670</f>
        <v>1878299</v>
      </c>
      <c r="L239" s="25"/>
    </row>
    <row r="240" spans="1:12" ht="26.25" customHeight="1">
      <c r="A240" s="1163"/>
      <c r="B240" s="86"/>
      <c r="C240" s="86"/>
      <c r="D240" s="402">
        <f t="shared" si="16"/>
        <v>21130</v>
      </c>
      <c r="E240" s="402"/>
      <c r="F240" s="402"/>
      <c r="G240" s="402">
        <v>-558860</v>
      </c>
      <c r="H240" s="402">
        <v>579990</v>
      </c>
      <c r="L240" s="25"/>
    </row>
    <row r="241" spans="1:12" ht="21.75" customHeight="1">
      <c r="A241" s="1163"/>
      <c r="B241" s="1121">
        <v>80146</v>
      </c>
      <c r="C241" s="1121" t="s">
        <v>927</v>
      </c>
      <c r="D241" s="1000">
        <f t="shared" si="16"/>
        <v>1500000</v>
      </c>
      <c r="E241" s="1000">
        <v>0</v>
      </c>
      <c r="F241" s="1000">
        <v>654109</v>
      </c>
      <c r="G241" s="1000">
        <v>646140</v>
      </c>
      <c r="H241" s="1000">
        <v>199751</v>
      </c>
      <c r="L241" s="25"/>
    </row>
    <row r="242" spans="1:12" ht="22.5" customHeight="1">
      <c r="A242" s="1164"/>
      <c r="B242" s="113"/>
      <c r="C242" s="113"/>
      <c r="D242" s="402">
        <f t="shared" si="16"/>
        <v>0</v>
      </c>
      <c r="E242" s="402"/>
      <c r="F242" s="402"/>
      <c r="G242" s="402">
        <v>-385100</v>
      </c>
      <c r="H242" s="402">
        <v>385100</v>
      </c>
      <c r="L242" s="25"/>
    </row>
    <row r="243" spans="1:12" ht="20.25" customHeight="1">
      <c r="A243" s="1165">
        <v>851</v>
      </c>
      <c r="B243" s="549"/>
      <c r="C243" s="549" t="s">
        <v>877</v>
      </c>
      <c r="D243" s="1129">
        <f>SUM(E243:H243)</f>
        <v>746705</v>
      </c>
      <c r="E243" s="650">
        <v>12550</v>
      </c>
      <c r="F243" s="650">
        <v>229350</v>
      </c>
      <c r="G243" s="650">
        <v>188400</v>
      </c>
      <c r="H243" s="650">
        <f>286405+H244</f>
        <v>316405</v>
      </c>
      <c r="L243" s="25"/>
    </row>
    <row r="244" spans="1:12" ht="19.5" customHeight="1">
      <c r="A244" s="1163"/>
      <c r="B244" s="397">
        <v>85149</v>
      </c>
      <c r="C244" s="397" t="s">
        <v>453</v>
      </c>
      <c r="D244" s="402">
        <f aca="true" t="shared" si="17" ref="D244:D249">SUM(E244:H244)</f>
        <v>30000</v>
      </c>
      <c r="E244" s="1000"/>
      <c r="F244" s="1000"/>
      <c r="G244" s="1000"/>
      <c r="H244" s="402">
        <v>30000</v>
      </c>
      <c r="L244" s="25"/>
    </row>
    <row r="245" spans="1:12" s="49" customFormat="1" ht="21" customHeight="1">
      <c r="A245" s="1170">
        <v>854</v>
      </c>
      <c r="B245" s="549"/>
      <c r="C245" s="549" t="s">
        <v>503</v>
      </c>
      <c r="D245" s="1129">
        <f t="shared" si="17"/>
        <v>36650232</v>
      </c>
      <c r="E245" s="650">
        <v>10084286</v>
      </c>
      <c r="F245" s="650">
        <v>9195830</v>
      </c>
      <c r="G245" s="650">
        <f>10682433+G247+G249+G251+G253+G255+G257+G259+G261+G263+G265</f>
        <v>7934187</v>
      </c>
      <c r="H245" s="650">
        <f>6005960+H247+H249+H251+H253+H255+H257+H259+H261+H263+H265</f>
        <v>9435929</v>
      </c>
      <c r="I245"/>
      <c r="J245"/>
      <c r="K245"/>
      <c r="L245"/>
    </row>
    <row r="246" spans="1:12" ht="19.5" customHeight="1">
      <c r="A246" s="1163"/>
      <c r="B246" s="1121">
        <v>85401</v>
      </c>
      <c r="C246" s="1121" t="s">
        <v>929</v>
      </c>
      <c r="D246" s="1000">
        <f t="shared" si="17"/>
        <v>6543263</v>
      </c>
      <c r="E246" s="1000">
        <v>1802562</v>
      </c>
      <c r="F246" s="1000">
        <v>1669703</v>
      </c>
      <c r="G246" s="1000">
        <v>1962578</v>
      </c>
      <c r="H246" s="1000">
        <v>1108420</v>
      </c>
      <c r="L246" s="25"/>
    </row>
    <row r="247" spans="1:12" ht="19.5" customHeight="1">
      <c r="A247" s="1163"/>
      <c r="B247" s="113"/>
      <c r="C247" s="113"/>
      <c r="D247" s="402">
        <f t="shared" si="17"/>
        <v>203454</v>
      </c>
      <c r="E247" s="402"/>
      <c r="F247" s="402"/>
      <c r="G247" s="402">
        <v>-410946</v>
      </c>
      <c r="H247" s="402">
        <v>614400</v>
      </c>
      <c r="L247" s="25"/>
    </row>
    <row r="248" spans="1:12" ht="17.25" customHeight="1">
      <c r="A248" s="1156"/>
      <c r="B248" s="1121">
        <v>85403</v>
      </c>
      <c r="C248" s="1121" t="s">
        <v>15</v>
      </c>
      <c r="D248" s="1000">
        <f t="shared" si="17"/>
        <v>7436008</v>
      </c>
      <c r="E248" s="1000">
        <v>2186420</v>
      </c>
      <c r="F248" s="1000">
        <v>1814072</v>
      </c>
      <c r="G248" s="1000">
        <v>2218086</v>
      </c>
      <c r="H248" s="1000">
        <f>1191800+25630</f>
        <v>1217430</v>
      </c>
      <c r="L248" s="25"/>
    </row>
    <row r="249" spans="1:12" ht="22.5" customHeight="1">
      <c r="A249" s="1156"/>
      <c r="B249" s="86"/>
      <c r="C249" s="86"/>
      <c r="D249" s="402">
        <f t="shared" si="17"/>
        <v>356472</v>
      </c>
      <c r="E249" s="402"/>
      <c r="F249" s="402"/>
      <c r="G249" s="402">
        <v>-559759</v>
      </c>
      <c r="H249" s="402">
        <f>904898+11333</f>
        <v>916231</v>
      </c>
      <c r="L249" s="25"/>
    </row>
    <row r="250" spans="1:12" ht="24.75" customHeight="1">
      <c r="A250" s="1156"/>
      <c r="B250" s="1121">
        <v>85406</v>
      </c>
      <c r="C250" s="78" t="s">
        <v>930</v>
      </c>
      <c r="D250" s="1000">
        <f aca="true" t="shared" si="18" ref="D250:D267">SUM(E250:H250)</f>
        <v>5562717</v>
      </c>
      <c r="E250" s="1000">
        <v>1463543</v>
      </c>
      <c r="F250" s="1000">
        <v>1302628</v>
      </c>
      <c r="G250" s="1000">
        <v>1796546</v>
      </c>
      <c r="H250" s="1000">
        <v>1000000</v>
      </c>
      <c r="L250" s="25"/>
    </row>
    <row r="251" spans="1:12" ht="17.25" customHeight="1">
      <c r="A251" s="1156"/>
      <c r="B251" s="86"/>
      <c r="C251" s="86"/>
      <c r="D251" s="402">
        <f t="shared" si="18"/>
        <v>-236944</v>
      </c>
      <c r="E251" s="402"/>
      <c r="F251" s="402"/>
      <c r="G251" s="402">
        <v>-628100</v>
      </c>
      <c r="H251" s="402">
        <v>391156</v>
      </c>
      <c r="L251" s="25"/>
    </row>
    <row r="252" spans="1:12" ht="17.25" customHeight="1">
      <c r="A252" s="1156"/>
      <c r="B252" s="1121">
        <v>85407</v>
      </c>
      <c r="C252" s="1121" t="s">
        <v>931</v>
      </c>
      <c r="D252" s="1000">
        <f t="shared" si="18"/>
        <v>2358200</v>
      </c>
      <c r="E252" s="1000">
        <v>657511</v>
      </c>
      <c r="F252" s="1000">
        <v>548203</v>
      </c>
      <c r="G252" s="1000">
        <v>701286</v>
      </c>
      <c r="H252" s="1000">
        <v>451200</v>
      </c>
      <c r="L252" s="25"/>
    </row>
    <row r="253" spans="1:12" ht="17.25" customHeight="1">
      <c r="A253" s="1156"/>
      <c r="B253" s="86"/>
      <c r="C253" s="86"/>
      <c r="D253" s="402">
        <f t="shared" si="18"/>
        <v>-27275</v>
      </c>
      <c r="E253" s="402"/>
      <c r="F253" s="402"/>
      <c r="G253" s="402">
        <v>-192489</v>
      </c>
      <c r="H253" s="402">
        <f>147909+17305</f>
        <v>165214</v>
      </c>
      <c r="L253" s="25"/>
    </row>
    <row r="254" spans="1:12" ht="17.25" customHeight="1">
      <c r="A254" s="1156"/>
      <c r="B254" s="1121">
        <v>85410</v>
      </c>
      <c r="C254" s="1121" t="s">
        <v>932</v>
      </c>
      <c r="D254" s="1000">
        <f t="shared" si="18"/>
        <v>6272264</v>
      </c>
      <c r="E254" s="1000">
        <v>1886545</v>
      </c>
      <c r="F254" s="1000">
        <v>1560923</v>
      </c>
      <c r="G254" s="1000">
        <v>1846196</v>
      </c>
      <c r="H254" s="1000">
        <v>978600</v>
      </c>
      <c r="L254" s="25"/>
    </row>
    <row r="255" spans="1:12" ht="17.25" customHeight="1">
      <c r="A255" s="1173"/>
      <c r="B255" s="86"/>
      <c r="C255" s="86"/>
      <c r="D255" s="402">
        <f t="shared" si="18"/>
        <v>204609</v>
      </c>
      <c r="E255" s="402"/>
      <c r="F255" s="402"/>
      <c r="G255" s="402">
        <v>-516789</v>
      </c>
      <c r="H255" s="402">
        <v>721398</v>
      </c>
      <c r="L255" s="25"/>
    </row>
    <row r="256" spans="1:12" ht="17.25" customHeight="1">
      <c r="A256" s="1156"/>
      <c r="B256" s="1121">
        <v>85415</v>
      </c>
      <c r="C256" s="1121" t="s">
        <v>933</v>
      </c>
      <c r="D256" s="1000">
        <f t="shared" si="18"/>
        <v>867780</v>
      </c>
      <c r="E256" s="1000">
        <v>116687</v>
      </c>
      <c r="F256" s="1000">
        <v>406236</v>
      </c>
      <c r="G256" s="1000">
        <v>293977</v>
      </c>
      <c r="H256" s="1000">
        <v>50880</v>
      </c>
      <c r="L256" s="25"/>
    </row>
    <row r="257" spans="1:12" ht="17.25" customHeight="1">
      <c r="A257" s="1156"/>
      <c r="B257" s="86"/>
      <c r="C257" s="86"/>
      <c r="D257" s="402">
        <f t="shared" si="18"/>
        <v>0</v>
      </c>
      <c r="E257" s="402"/>
      <c r="F257" s="402"/>
      <c r="G257" s="402">
        <v>-82554</v>
      </c>
      <c r="H257" s="402">
        <v>82554</v>
      </c>
      <c r="L257" s="25"/>
    </row>
    <row r="258" spans="1:12" ht="17.25" customHeight="1">
      <c r="A258" s="1156"/>
      <c r="B258" s="1121">
        <v>85417</v>
      </c>
      <c r="C258" s="1121" t="s">
        <v>448</v>
      </c>
      <c r="D258" s="1000">
        <f t="shared" si="18"/>
        <v>260200</v>
      </c>
      <c r="E258" s="1000">
        <v>80667</v>
      </c>
      <c r="F258" s="1000">
        <v>70837</v>
      </c>
      <c r="G258" s="1000">
        <v>83696</v>
      </c>
      <c r="H258" s="1000">
        <v>25000</v>
      </c>
      <c r="L258" s="25"/>
    </row>
    <row r="259" spans="1:12" ht="17.25" customHeight="1">
      <c r="A259" s="1156"/>
      <c r="B259" s="86"/>
      <c r="C259" s="86"/>
      <c r="D259" s="402">
        <f t="shared" si="18"/>
        <v>5000</v>
      </c>
      <c r="E259" s="402"/>
      <c r="F259" s="402"/>
      <c r="G259" s="402">
        <v>-28389</v>
      </c>
      <c r="H259" s="402">
        <v>33389</v>
      </c>
      <c r="L259" s="25"/>
    </row>
    <row r="260" spans="1:12" ht="17.25" customHeight="1">
      <c r="A260" s="1156"/>
      <c r="B260" s="1121">
        <v>85421</v>
      </c>
      <c r="C260" s="1121" t="s">
        <v>449</v>
      </c>
      <c r="D260" s="1000">
        <f t="shared" si="18"/>
        <v>522000</v>
      </c>
      <c r="E260" s="1000">
        <v>127957</v>
      </c>
      <c r="F260" s="1000">
        <v>155030</v>
      </c>
      <c r="G260" s="1000">
        <v>139013</v>
      </c>
      <c r="H260" s="1000">
        <v>100000</v>
      </c>
      <c r="L260" s="25"/>
    </row>
    <row r="261" spans="1:12" ht="17.25" customHeight="1">
      <c r="A261" s="1156"/>
      <c r="B261" s="86"/>
      <c r="C261" s="86"/>
      <c r="D261" s="402">
        <f t="shared" si="18"/>
        <v>1000</v>
      </c>
      <c r="E261" s="402"/>
      <c r="F261" s="402"/>
      <c r="G261" s="402">
        <v>-24323</v>
      </c>
      <c r="H261" s="402">
        <v>25323</v>
      </c>
      <c r="L261" s="25"/>
    </row>
    <row r="262" spans="1:12" ht="17.25" customHeight="1">
      <c r="A262" s="1156"/>
      <c r="B262" s="1121">
        <v>85446</v>
      </c>
      <c r="C262" s="1121" t="s">
        <v>927</v>
      </c>
      <c r="D262" s="1000">
        <f t="shared" si="18"/>
        <v>150000</v>
      </c>
      <c r="E262" s="1000"/>
      <c r="F262" s="1000">
        <v>45717</v>
      </c>
      <c r="G262" s="1000">
        <v>74283</v>
      </c>
      <c r="H262" s="1000">
        <v>30000</v>
      </c>
      <c r="L262" s="25"/>
    </row>
    <row r="263" spans="1:12" ht="17.25" customHeight="1">
      <c r="A263" s="1156"/>
      <c r="B263" s="86"/>
      <c r="C263" s="86"/>
      <c r="D263" s="402">
        <f t="shared" si="18"/>
        <v>0</v>
      </c>
      <c r="E263" s="402"/>
      <c r="F263" s="402"/>
      <c r="G263" s="402">
        <v>-18066</v>
      </c>
      <c r="H263" s="402">
        <v>18066</v>
      </c>
      <c r="L263" s="25"/>
    </row>
    <row r="264" spans="1:12" ht="17.25" customHeight="1">
      <c r="A264" s="1156"/>
      <c r="B264" s="1121">
        <v>85495</v>
      </c>
      <c r="C264" s="1121" t="s">
        <v>829</v>
      </c>
      <c r="D264" s="1000">
        <f t="shared" si="18"/>
        <v>5996077</v>
      </c>
      <c r="E264" s="1000">
        <v>1762394</v>
      </c>
      <c r="F264" s="1000">
        <v>1622481</v>
      </c>
      <c r="G264" s="1000">
        <v>1566772</v>
      </c>
      <c r="H264" s="1000">
        <v>1044430</v>
      </c>
      <c r="L264" s="25"/>
    </row>
    <row r="265" spans="1:12" ht="17.25" customHeight="1">
      <c r="A265" s="1167"/>
      <c r="B265" s="113"/>
      <c r="C265" s="113"/>
      <c r="D265" s="402">
        <f t="shared" si="18"/>
        <v>175407</v>
      </c>
      <c r="E265" s="402"/>
      <c r="F265" s="402"/>
      <c r="G265" s="402">
        <v>-286831</v>
      </c>
      <c r="H265" s="402">
        <v>462238</v>
      </c>
      <c r="L265" s="25"/>
    </row>
    <row r="266" spans="1:12" ht="20.25" customHeight="1">
      <c r="A266" s="1170">
        <v>926</v>
      </c>
      <c r="B266" s="549"/>
      <c r="C266" s="549" t="s">
        <v>508</v>
      </c>
      <c r="D266" s="1129">
        <f t="shared" si="18"/>
        <v>700000</v>
      </c>
      <c r="E266" s="650">
        <v>48355</v>
      </c>
      <c r="F266" s="650">
        <v>276345</v>
      </c>
      <c r="G266" s="650">
        <f>375300+G268</f>
        <v>86171</v>
      </c>
      <c r="H266" s="650">
        <f>0+H268</f>
        <v>289129</v>
      </c>
      <c r="L266" s="25"/>
    </row>
    <row r="267" spans="1:12" ht="20.25" customHeight="1">
      <c r="A267" s="1163"/>
      <c r="B267" s="1121">
        <v>92605</v>
      </c>
      <c r="C267" s="1121" t="s">
        <v>509</v>
      </c>
      <c r="D267" s="1000">
        <f t="shared" si="18"/>
        <v>700000</v>
      </c>
      <c r="E267" s="1000">
        <v>48355</v>
      </c>
      <c r="F267" s="1000">
        <v>276345</v>
      </c>
      <c r="G267" s="1000">
        <v>375300</v>
      </c>
      <c r="H267" s="1000"/>
      <c r="L267" s="25"/>
    </row>
    <row r="268" spans="1:12" ht="18.75" customHeight="1">
      <c r="A268" s="1163"/>
      <c r="B268" s="113"/>
      <c r="C268" s="113"/>
      <c r="D268" s="402">
        <f>SUM(E268:H268)</f>
        <v>0</v>
      </c>
      <c r="E268" s="402"/>
      <c r="F268" s="402"/>
      <c r="G268" s="402">
        <v>-289129</v>
      </c>
      <c r="H268" s="402">
        <v>289129</v>
      </c>
      <c r="L268" s="25"/>
    </row>
    <row r="269" spans="1:12" ht="31.5" customHeight="1" thickBot="1">
      <c r="A269" s="1154"/>
      <c r="B269" s="86"/>
      <c r="C269" s="87" t="s">
        <v>433</v>
      </c>
      <c r="D269" s="88">
        <f>SUM(E269:H269)</f>
        <v>25500</v>
      </c>
      <c r="E269" s="88"/>
      <c r="F269" s="88">
        <v>10231</v>
      </c>
      <c r="G269" s="88">
        <f>15269+G272</f>
        <v>6076</v>
      </c>
      <c r="H269" s="88">
        <f>H272</f>
        <v>9193</v>
      </c>
      <c r="L269" s="25"/>
    </row>
    <row r="270" spans="1:12" ht="18" customHeight="1" thickTop="1">
      <c r="A270" s="1161">
        <v>854</v>
      </c>
      <c r="B270" s="549"/>
      <c r="C270" s="549" t="s">
        <v>503</v>
      </c>
      <c r="D270" s="1129">
        <f>SUM(E270:H270)</f>
        <v>25500</v>
      </c>
      <c r="E270" s="1129"/>
      <c r="F270" s="1129">
        <v>10231</v>
      </c>
      <c r="G270" s="1129">
        <f>15269+G272</f>
        <v>6076</v>
      </c>
      <c r="H270" s="1129">
        <f>H272</f>
        <v>9193</v>
      </c>
      <c r="L270" s="25"/>
    </row>
    <row r="271" spans="1:12" ht="18" customHeight="1">
      <c r="A271" s="1168"/>
      <c r="B271" s="1139">
        <v>85401</v>
      </c>
      <c r="C271" s="1121" t="s">
        <v>929</v>
      </c>
      <c r="D271" s="1131">
        <f>SUM(E271:H271)</f>
        <v>25500</v>
      </c>
      <c r="E271" s="1131"/>
      <c r="F271" s="1131">
        <v>10231</v>
      </c>
      <c r="G271" s="1131">
        <v>15269</v>
      </c>
      <c r="H271" s="1131"/>
      <c r="L271" s="25"/>
    </row>
    <row r="272" spans="1:12" ht="18" customHeight="1">
      <c r="A272" s="1169"/>
      <c r="B272" s="1132"/>
      <c r="C272" s="113"/>
      <c r="D272" s="1133">
        <f>SUM(E272:H272)</f>
        <v>0</v>
      </c>
      <c r="E272" s="1133"/>
      <c r="F272" s="1133"/>
      <c r="G272" s="1133">
        <v>-9193</v>
      </c>
      <c r="H272" s="1133">
        <v>9193</v>
      </c>
      <c r="L272" s="25"/>
    </row>
    <row r="276" spans="2:4" ht="12.75">
      <c r="B276" s="296" t="s">
        <v>24</v>
      </c>
      <c r="C276" s="296"/>
      <c r="D276" s="296" t="s">
        <v>22</v>
      </c>
    </row>
    <row r="277" spans="2:4" ht="12.75">
      <c r="B277" s="297" t="s">
        <v>25</v>
      </c>
      <c r="C277" s="296"/>
      <c r="D277" s="296" t="s">
        <v>26</v>
      </c>
    </row>
    <row r="278" spans="2:4" ht="12.75">
      <c r="B278" s="409" t="s">
        <v>23</v>
      </c>
      <c r="C278" s="231"/>
      <c r="D278" s="231" t="s">
        <v>27</v>
      </c>
    </row>
  </sheetData>
  <mergeCells count="1">
    <mergeCell ref="D7:D8"/>
  </mergeCells>
  <printOptions horizontalCentered="1"/>
  <pageMargins left="0.3937007874015748" right="0.3937007874015748" top="0.45" bottom="0.48" header="0.4" footer="0.35"/>
  <pageSetup firstPageNumber="74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I54"/>
  <sheetViews>
    <sheetView zoomScale="80" zoomScaleNormal="80" zoomScaleSheetLayoutView="75" workbookViewId="0" topLeftCell="A40">
      <selection activeCell="C58" sqref="C58"/>
    </sheetView>
  </sheetViews>
  <sheetFormatPr defaultColWidth="9.00390625" defaultRowHeight="12.75"/>
  <cols>
    <col min="1" max="1" width="8.625" style="1" customWidth="1"/>
    <col min="2" max="2" width="9.625" style="1" customWidth="1"/>
    <col min="3" max="3" width="70.00390625" style="1" customWidth="1"/>
    <col min="4" max="4" width="21.25390625" style="1" bestFit="1" customWidth="1"/>
    <col min="5" max="5" width="15.75390625" style="1" hidden="1" customWidth="1"/>
    <col min="6" max="7" width="18.75390625" style="1" customWidth="1"/>
    <col min="8" max="8" width="11.375" style="1" customWidth="1"/>
    <col min="9" max="9" width="9.125" style="1" customWidth="1"/>
    <col min="10" max="16384" width="7.875" style="1" customWidth="1"/>
  </cols>
  <sheetData>
    <row r="1" spans="1:7" ht="12.75" customHeight="1">
      <c r="A1" s="171"/>
      <c r="B1" s="171"/>
      <c r="C1" s="171"/>
      <c r="D1" s="171"/>
      <c r="E1" s="172"/>
      <c r="F1" s="172" t="s">
        <v>866</v>
      </c>
      <c r="G1" s="172"/>
    </row>
    <row r="2" spans="1:7" ht="12.75" customHeight="1">
      <c r="A2" s="171"/>
      <c r="B2" s="171"/>
      <c r="C2" s="171"/>
      <c r="D2" s="171"/>
      <c r="E2" s="171"/>
      <c r="F2" s="1" t="s">
        <v>658</v>
      </c>
      <c r="G2" s="171"/>
    </row>
    <row r="3" spans="1:7" ht="15" customHeight="1">
      <c r="A3" s="171"/>
      <c r="B3" s="171"/>
      <c r="C3" s="173" t="s">
        <v>862</v>
      </c>
      <c r="D3" s="171"/>
      <c r="E3" s="172"/>
      <c r="F3" s="1" t="s">
        <v>817</v>
      </c>
      <c r="G3" s="171"/>
    </row>
    <row r="4" spans="1:7" ht="12.75" customHeight="1">
      <c r="A4" s="171"/>
      <c r="B4" s="171"/>
      <c r="C4" s="171"/>
      <c r="D4" s="171"/>
      <c r="E4" s="172"/>
      <c r="F4" s="1" t="s">
        <v>371</v>
      </c>
      <c r="G4" s="171"/>
    </row>
    <row r="5" spans="1:7" ht="12.75" customHeight="1">
      <c r="A5" s="171"/>
      <c r="B5" s="171"/>
      <c r="C5" s="171"/>
      <c r="D5" s="171"/>
      <c r="E5" s="171"/>
      <c r="F5" s="171"/>
      <c r="G5" s="171"/>
    </row>
    <row r="6" spans="1:7" ht="12.75" customHeight="1" thickBot="1">
      <c r="A6" s="171"/>
      <c r="B6" s="171"/>
      <c r="C6" s="171"/>
      <c r="D6" s="174"/>
      <c r="E6" s="174"/>
      <c r="F6" s="174"/>
      <c r="G6" s="175" t="s">
        <v>819</v>
      </c>
    </row>
    <row r="7" spans="1:7" ht="10.5" customHeight="1" thickTop="1">
      <c r="A7" s="59"/>
      <c r="B7" s="59"/>
      <c r="C7" s="59"/>
      <c r="D7" s="1433" t="s">
        <v>867</v>
      </c>
      <c r="E7" s="176"/>
      <c r="F7" s="176"/>
      <c r="G7" s="176"/>
    </row>
    <row r="8" spans="1:7" ht="57.75" customHeight="1" thickBot="1">
      <c r="A8" s="177" t="s">
        <v>840</v>
      </c>
      <c r="B8" s="177" t="s">
        <v>821</v>
      </c>
      <c r="C8" s="178" t="s">
        <v>848</v>
      </c>
      <c r="D8" s="1437"/>
      <c r="E8" s="179" t="s">
        <v>823</v>
      </c>
      <c r="F8" s="179" t="s">
        <v>799</v>
      </c>
      <c r="G8" s="179" t="s">
        <v>824</v>
      </c>
    </row>
    <row r="9" spans="1:7" ht="11.25" customHeight="1" thickBot="1" thickTop="1">
      <c r="A9" s="180">
        <v>1</v>
      </c>
      <c r="B9" s="180">
        <v>2</v>
      </c>
      <c r="C9" s="180">
        <v>3</v>
      </c>
      <c r="D9" s="169">
        <v>4</v>
      </c>
      <c r="E9" s="169">
        <v>5</v>
      </c>
      <c r="F9" s="169">
        <v>5</v>
      </c>
      <c r="G9" s="169">
        <v>6</v>
      </c>
    </row>
    <row r="10" spans="1:9" ht="23.25" customHeight="1" thickBot="1" thickTop="1">
      <c r="A10" s="127"/>
      <c r="B10" s="127"/>
      <c r="C10" s="181" t="s">
        <v>849</v>
      </c>
      <c r="D10" s="182">
        <v>14819204</v>
      </c>
      <c r="E10" s="182"/>
      <c r="F10" s="182">
        <f>F12+F47+F48</f>
        <v>250554</v>
      </c>
      <c r="G10" s="182">
        <f>D10+F10</f>
        <v>15069758</v>
      </c>
      <c r="H10" s="8"/>
      <c r="I10" s="8"/>
    </row>
    <row r="11" spans="1:7" ht="14.25" customHeight="1" thickTop="1">
      <c r="A11" s="77"/>
      <c r="B11" s="77"/>
      <c r="C11" s="183" t="s">
        <v>826</v>
      </c>
      <c r="D11" s="184"/>
      <c r="E11" s="184"/>
      <c r="F11" s="184"/>
      <c r="G11" s="184"/>
    </row>
    <row r="12" spans="1:7" s="11" customFormat="1" ht="15" customHeight="1" thickBot="1">
      <c r="A12" s="90"/>
      <c r="B12" s="90"/>
      <c r="C12" s="93" t="s">
        <v>850</v>
      </c>
      <c r="D12" s="85">
        <v>14562304</v>
      </c>
      <c r="E12" s="85"/>
      <c r="F12" s="85">
        <f>F13+F18+F21+F32+F35+F38</f>
        <v>250554</v>
      </c>
      <c r="G12" s="85">
        <f aca="true" t="shared" si="0" ref="G12:G20">D12+F12</f>
        <v>14812858</v>
      </c>
    </row>
    <row r="13" spans="1:7" s="11" customFormat="1" ht="18.75" customHeight="1" thickTop="1">
      <c r="A13" s="211">
        <v>600</v>
      </c>
      <c r="B13" s="368"/>
      <c r="C13" s="387" t="s">
        <v>369</v>
      </c>
      <c r="D13" s="390">
        <v>3925940</v>
      </c>
      <c r="E13" s="390"/>
      <c r="F13" s="390">
        <f>F14+F16</f>
        <v>-602910</v>
      </c>
      <c r="G13" s="390">
        <f t="shared" si="0"/>
        <v>3323030</v>
      </c>
    </row>
    <row r="14" spans="1:7" s="11" customFormat="1" ht="18.75" customHeight="1">
      <c r="A14" s="206"/>
      <c r="B14" s="205">
        <v>60015</v>
      </c>
      <c r="C14" s="193" t="s">
        <v>370</v>
      </c>
      <c r="D14" s="361">
        <v>2975940</v>
      </c>
      <c r="E14" s="361"/>
      <c r="F14" s="361">
        <f>F15</f>
        <v>-452910</v>
      </c>
      <c r="G14" s="361">
        <f t="shared" si="0"/>
        <v>2523030</v>
      </c>
    </row>
    <row r="15" spans="1:7" s="11" customFormat="1" ht="18.75" customHeight="1">
      <c r="A15" s="213"/>
      <c r="B15" s="213"/>
      <c r="C15" s="701" t="s">
        <v>596</v>
      </c>
      <c r="D15" s="737">
        <v>2815940</v>
      </c>
      <c r="E15" s="737"/>
      <c r="F15" s="737">
        <v>-452910</v>
      </c>
      <c r="G15" s="737">
        <f t="shared" si="0"/>
        <v>2363030</v>
      </c>
    </row>
    <row r="16" spans="1:7" s="11" customFormat="1" ht="18.75" customHeight="1">
      <c r="A16" s="213"/>
      <c r="B16" s="477">
        <v>60016</v>
      </c>
      <c r="C16" s="193" t="s">
        <v>750</v>
      </c>
      <c r="D16" s="361">
        <v>950000</v>
      </c>
      <c r="E16" s="361"/>
      <c r="F16" s="361">
        <f>F17</f>
        <v>-150000</v>
      </c>
      <c r="G16" s="361">
        <f t="shared" si="0"/>
        <v>800000</v>
      </c>
    </row>
    <row r="17" spans="1:7" s="11" customFormat="1" ht="18.75" customHeight="1">
      <c r="A17" s="213"/>
      <c r="B17" s="451"/>
      <c r="C17" s="701" t="s">
        <v>598</v>
      </c>
      <c r="D17" s="737">
        <v>150000</v>
      </c>
      <c r="E17" s="737"/>
      <c r="F17" s="737">
        <v>-150000</v>
      </c>
      <c r="G17" s="737">
        <f>D17+F17</f>
        <v>0</v>
      </c>
    </row>
    <row r="18" spans="1:7" s="11" customFormat="1" ht="18.75" customHeight="1">
      <c r="A18" s="368">
        <v>750</v>
      </c>
      <c r="B18" s="368"/>
      <c r="C18" s="387" t="s">
        <v>505</v>
      </c>
      <c r="D18" s="390">
        <v>283690</v>
      </c>
      <c r="E18" s="390"/>
      <c r="F18" s="390">
        <f>F19</f>
        <v>-3300</v>
      </c>
      <c r="G18" s="390">
        <f t="shared" si="0"/>
        <v>280390</v>
      </c>
    </row>
    <row r="19" spans="1:7" s="11" customFormat="1" ht="18.75" customHeight="1">
      <c r="A19" s="206"/>
      <c r="B19" s="477">
        <v>75023</v>
      </c>
      <c r="C19" s="477" t="s">
        <v>506</v>
      </c>
      <c r="D19" s="361">
        <v>266190</v>
      </c>
      <c r="E19" s="361"/>
      <c r="F19" s="361">
        <f>F20</f>
        <v>-3300</v>
      </c>
      <c r="G19" s="361">
        <f t="shared" si="0"/>
        <v>262890</v>
      </c>
    </row>
    <row r="20" spans="1:7" s="11" customFormat="1" ht="18.75" customHeight="1">
      <c r="A20" s="90"/>
      <c r="B20" s="213"/>
      <c r="C20" s="698" t="s">
        <v>35</v>
      </c>
      <c r="D20" s="391">
        <v>266190</v>
      </c>
      <c r="E20" s="391"/>
      <c r="F20" s="391">
        <v>-3300</v>
      </c>
      <c r="G20" s="391">
        <f t="shared" si="0"/>
        <v>262890</v>
      </c>
    </row>
    <row r="21" spans="1:7" s="11" customFormat="1" ht="18.75" customHeight="1">
      <c r="A21" s="211">
        <v>801</v>
      </c>
      <c r="B21" s="368"/>
      <c r="C21" s="387" t="s">
        <v>730</v>
      </c>
      <c r="D21" s="390">
        <v>3276764</v>
      </c>
      <c r="E21" s="390"/>
      <c r="F21" s="390">
        <f>F22+F24+F26+F28+F30</f>
        <v>843379</v>
      </c>
      <c r="G21" s="390">
        <f aca="true" t="shared" si="1" ref="G21:G46">D21+F21</f>
        <v>4120143</v>
      </c>
    </row>
    <row r="22" spans="1:7" s="11" customFormat="1" ht="18.75" customHeight="1">
      <c r="A22" s="206"/>
      <c r="B22" s="267">
        <v>80101</v>
      </c>
      <c r="C22" s="690" t="s">
        <v>499</v>
      </c>
      <c r="D22" s="361">
        <v>995141</v>
      </c>
      <c r="E22" s="361"/>
      <c r="F22" s="361">
        <f>F23</f>
        <v>259600</v>
      </c>
      <c r="G22" s="361">
        <f t="shared" si="1"/>
        <v>1254741</v>
      </c>
    </row>
    <row r="23" spans="1:7" s="11" customFormat="1" ht="18.75" customHeight="1">
      <c r="A23" s="89"/>
      <c r="B23" s="691"/>
      <c r="C23" s="692" t="s">
        <v>32</v>
      </c>
      <c r="D23" s="391">
        <v>995141</v>
      </c>
      <c r="E23" s="391"/>
      <c r="F23" s="391">
        <v>259600</v>
      </c>
      <c r="G23" s="391">
        <f t="shared" si="1"/>
        <v>1254741</v>
      </c>
    </row>
    <row r="24" spans="1:7" s="11" customFormat="1" ht="18.75" customHeight="1">
      <c r="A24" s="213"/>
      <c r="B24" s="693">
        <v>80104</v>
      </c>
      <c r="C24" s="694" t="s">
        <v>731</v>
      </c>
      <c r="D24" s="361">
        <v>248034</v>
      </c>
      <c r="E24" s="361"/>
      <c r="F24" s="361">
        <f>F25</f>
        <v>314169</v>
      </c>
      <c r="G24" s="361">
        <f t="shared" si="1"/>
        <v>562203</v>
      </c>
    </row>
    <row r="25" spans="1:7" s="11" customFormat="1" ht="18.75" customHeight="1">
      <c r="A25" s="89"/>
      <c r="B25" s="656"/>
      <c r="C25" s="695" t="s">
        <v>33</v>
      </c>
      <c r="D25" s="391">
        <v>248034</v>
      </c>
      <c r="E25" s="391"/>
      <c r="F25" s="391">
        <f>317620-3451</f>
        <v>314169</v>
      </c>
      <c r="G25" s="391">
        <f t="shared" si="1"/>
        <v>562203</v>
      </c>
    </row>
    <row r="26" spans="1:7" s="11" customFormat="1" ht="18.75" customHeight="1">
      <c r="A26" s="213"/>
      <c r="B26" s="477">
        <v>80110</v>
      </c>
      <c r="C26" s="477" t="s">
        <v>502</v>
      </c>
      <c r="D26" s="361">
        <v>818534</v>
      </c>
      <c r="E26" s="361"/>
      <c r="F26" s="361">
        <f>F27</f>
        <v>114610</v>
      </c>
      <c r="G26" s="361">
        <f t="shared" si="1"/>
        <v>933144</v>
      </c>
    </row>
    <row r="27" spans="1:7" s="11" customFormat="1" ht="18.75" customHeight="1">
      <c r="A27" s="89"/>
      <c r="B27" s="206"/>
      <c r="C27" s="696" t="s">
        <v>32</v>
      </c>
      <c r="D27" s="391">
        <v>818534</v>
      </c>
      <c r="E27" s="391"/>
      <c r="F27" s="391">
        <f>116000-1390</f>
        <v>114610</v>
      </c>
      <c r="G27" s="391">
        <f t="shared" si="1"/>
        <v>933144</v>
      </c>
    </row>
    <row r="28" spans="1:7" s="11" customFormat="1" ht="18.75" customHeight="1">
      <c r="A28" s="213"/>
      <c r="B28" s="477">
        <v>80120</v>
      </c>
      <c r="C28" s="697" t="s">
        <v>500</v>
      </c>
      <c r="D28" s="361">
        <v>320126</v>
      </c>
      <c r="E28" s="361"/>
      <c r="F28" s="361">
        <f>F29</f>
        <v>80000</v>
      </c>
      <c r="G28" s="361">
        <f t="shared" si="1"/>
        <v>400126</v>
      </c>
    </row>
    <row r="29" spans="1:7" s="11" customFormat="1" ht="18.75" customHeight="1">
      <c r="A29" s="89"/>
      <c r="B29" s="213"/>
      <c r="C29" s="698" t="s">
        <v>32</v>
      </c>
      <c r="D29" s="391">
        <v>320126</v>
      </c>
      <c r="E29" s="391"/>
      <c r="F29" s="391">
        <v>80000</v>
      </c>
      <c r="G29" s="391">
        <f t="shared" si="1"/>
        <v>400126</v>
      </c>
    </row>
    <row r="30" spans="1:7" s="11" customFormat="1" ht="18.75" customHeight="1">
      <c r="A30" s="213"/>
      <c r="B30" s="477">
        <v>80130</v>
      </c>
      <c r="C30" s="697" t="s">
        <v>501</v>
      </c>
      <c r="D30" s="361">
        <v>496832</v>
      </c>
      <c r="E30" s="361"/>
      <c r="F30" s="361">
        <f>F31</f>
        <v>75000</v>
      </c>
      <c r="G30" s="361">
        <f t="shared" si="1"/>
        <v>571832</v>
      </c>
    </row>
    <row r="31" spans="1:7" s="11" customFormat="1" ht="18.75" customHeight="1">
      <c r="A31" s="90"/>
      <c r="B31" s="451"/>
      <c r="C31" s="389" t="s">
        <v>32</v>
      </c>
      <c r="D31" s="391">
        <v>496832</v>
      </c>
      <c r="E31" s="391"/>
      <c r="F31" s="391">
        <v>75000</v>
      </c>
      <c r="G31" s="391">
        <f t="shared" si="1"/>
        <v>571832</v>
      </c>
    </row>
    <row r="32" spans="1:7" s="11" customFormat="1" ht="18.75" customHeight="1">
      <c r="A32" s="368">
        <v>852</v>
      </c>
      <c r="B32" s="368"/>
      <c r="C32" s="387" t="s">
        <v>746</v>
      </c>
      <c r="D32" s="390">
        <v>269074</v>
      </c>
      <c r="E32" s="390"/>
      <c r="F32" s="390">
        <v>-12700</v>
      </c>
      <c r="G32" s="390">
        <f t="shared" si="1"/>
        <v>256374</v>
      </c>
    </row>
    <row r="33" spans="1:7" s="11" customFormat="1" ht="18.75" customHeight="1">
      <c r="A33" s="89"/>
      <c r="B33" s="477">
        <v>85202</v>
      </c>
      <c r="C33" s="697" t="s">
        <v>497</v>
      </c>
      <c r="D33" s="391">
        <v>60000</v>
      </c>
      <c r="E33" s="391"/>
      <c r="F33" s="391">
        <f>F34</f>
        <v>-12700</v>
      </c>
      <c r="G33" s="391">
        <f t="shared" si="1"/>
        <v>47300</v>
      </c>
    </row>
    <row r="34" spans="1:7" s="11" customFormat="1" ht="18.75" customHeight="1">
      <c r="A34" s="89"/>
      <c r="B34" s="206"/>
      <c r="C34" s="696" t="s">
        <v>645</v>
      </c>
      <c r="D34" s="391">
        <v>60000</v>
      </c>
      <c r="E34" s="391"/>
      <c r="F34" s="391">
        <v>-12700</v>
      </c>
      <c r="G34" s="391">
        <f t="shared" si="1"/>
        <v>47300</v>
      </c>
    </row>
    <row r="35" spans="1:7" s="11" customFormat="1" ht="18.75" customHeight="1">
      <c r="A35" s="368">
        <v>853</v>
      </c>
      <c r="B35" s="368"/>
      <c r="C35" s="387" t="s">
        <v>752</v>
      </c>
      <c r="D35" s="390">
        <v>131321</v>
      </c>
      <c r="E35" s="390"/>
      <c r="F35" s="390">
        <f>F36</f>
        <v>-7800</v>
      </c>
      <c r="G35" s="390">
        <f t="shared" si="1"/>
        <v>123521</v>
      </c>
    </row>
    <row r="36" spans="1:7" s="11" customFormat="1" ht="18.75" customHeight="1">
      <c r="A36" s="206"/>
      <c r="B36" s="205">
        <v>85333</v>
      </c>
      <c r="C36" s="388" t="s">
        <v>668</v>
      </c>
      <c r="D36" s="361">
        <v>38321</v>
      </c>
      <c r="E36" s="361"/>
      <c r="F36" s="361">
        <f>F37</f>
        <v>-7800</v>
      </c>
      <c r="G36" s="361">
        <f t="shared" si="1"/>
        <v>30521</v>
      </c>
    </row>
    <row r="37" spans="1:7" s="11" customFormat="1" ht="18.75" customHeight="1">
      <c r="A37" s="213"/>
      <c r="B37" s="365"/>
      <c r="C37" s="701" t="s">
        <v>36</v>
      </c>
      <c r="D37" s="737">
        <v>38321</v>
      </c>
      <c r="E37" s="737"/>
      <c r="F37" s="737">
        <v>-7800</v>
      </c>
      <c r="G37" s="737">
        <f t="shared" si="1"/>
        <v>30521</v>
      </c>
    </row>
    <row r="38" spans="1:7" s="11" customFormat="1" ht="18.75" customHeight="1">
      <c r="A38" s="368">
        <v>854</v>
      </c>
      <c r="B38" s="368"/>
      <c r="C38" s="387" t="s">
        <v>503</v>
      </c>
      <c r="D38" s="390">
        <v>564015</v>
      </c>
      <c r="E38" s="390"/>
      <c r="F38" s="390">
        <f>F39+F41+F43+F45</f>
        <v>33885</v>
      </c>
      <c r="G38" s="390">
        <f t="shared" si="1"/>
        <v>597900</v>
      </c>
    </row>
    <row r="39" spans="1:7" s="11" customFormat="1" ht="18.75" customHeight="1">
      <c r="A39" s="958"/>
      <c r="B39" s="959">
        <v>85401</v>
      </c>
      <c r="C39" s="957" t="s">
        <v>929</v>
      </c>
      <c r="D39" s="361"/>
      <c r="E39" s="361"/>
      <c r="F39" s="361">
        <f>F40</f>
        <v>7900</v>
      </c>
      <c r="G39" s="1429">
        <f>D39+F39</f>
        <v>7900</v>
      </c>
    </row>
    <row r="40" spans="1:7" s="11" customFormat="1" ht="20.25" customHeight="1">
      <c r="A40" s="656"/>
      <c r="B40" s="266"/>
      <c r="C40" s="960" t="s">
        <v>646</v>
      </c>
      <c r="D40" s="737"/>
      <c r="E40" s="737"/>
      <c r="F40" s="737">
        <v>7900</v>
      </c>
      <c r="G40" s="1430">
        <f>D40+F40</f>
        <v>7900</v>
      </c>
    </row>
    <row r="41" spans="1:7" s="11" customFormat="1" ht="18.75" customHeight="1">
      <c r="A41" s="213"/>
      <c r="B41" s="693">
        <v>85403</v>
      </c>
      <c r="C41" s="699" t="s">
        <v>15</v>
      </c>
      <c r="D41" s="361">
        <v>365698</v>
      </c>
      <c r="E41" s="361"/>
      <c r="F41" s="361">
        <f>F42</f>
        <v>11333</v>
      </c>
      <c r="G41" s="361">
        <f t="shared" si="1"/>
        <v>377031</v>
      </c>
    </row>
    <row r="42" spans="1:7" s="11" customFormat="1" ht="18.75" customHeight="1">
      <c r="A42" s="213"/>
      <c r="B42" s="656"/>
      <c r="C42" s="700" t="s">
        <v>34</v>
      </c>
      <c r="D42" s="737">
        <v>365698</v>
      </c>
      <c r="E42" s="737"/>
      <c r="F42" s="737">
        <v>11333</v>
      </c>
      <c r="G42" s="737">
        <f t="shared" si="1"/>
        <v>377031</v>
      </c>
    </row>
    <row r="43" spans="1:7" s="11" customFormat="1" ht="18.75" customHeight="1">
      <c r="A43" s="213"/>
      <c r="B43" s="477">
        <v>85407</v>
      </c>
      <c r="C43" s="697" t="s">
        <v>931</v>
      </c>
      <c r="D43" s="361">
        <v>5000</v>
      </c>
      <c r="E43" s="361"/>
      <c r="F43" s="361">
        <f>F44</f>
        <v>17305</v>
      </c>
      <c r="G43" s="361">
        <f t="shared" si="1"/>
        <v>22305</v>
      </c>
    </row>
    <row r="44" spans="1:7" s="11" customFormat="1" ht="18.75" customHeight="1">
      <c r="A44" s="213"/>
      <c r="B44" s="213"/>
      <c r="C44" s="698" t="s">
        <v>34</v>
      </c>
      <c r="D44" s="737">
        <v>5000</v>
      </c>
      <c r="E44" s="737"/>
      <c r="F44" s="737">
        <v>17305</v>
      </c>
      <c r="G44" s="737">
        <f t="shared" si="1"/>
        <v>22305</v>
      </c>
    </row>
    <row r="45" spans="1:7" s="11" customFormat="1" ht="18.75" customHeight="1">
      <c r="A45" s="213"/>
      <c r="B45" s="477">
        <v>85410</v>
      </c>
      <c r="C45" s="697" t="s">
        <v>932</v>
      </c>
      <c r="D45" s="361">
        <v>193317</v>
      </c>
      <c r="E45" s="361"/>
      <c r="F45" s="361">
        <f>F46</f>
        <v>-2653</v>
      </c>
      <c r="G45" s="361">
        <f t="shared" si="1"/>
        <v>190664</v>
      </c>
    </row>
    <row r="46" spans="1:7" s="11" customFormat="1" ht="18.75" customHeight="1">
      <c r="A46" s="89"/>
      <c r="B46" s="451"/>
      <c r="C46" s="389" t="s">
        <v>34</v>
      </c>
      <c r="D46" s="391">
        <v>193317</v>
      </c>
      <c r="E46" s="391"/>
      <c r="F46" s="391">
        <v>-2653</v>
      </c>
      <c r="G46" s="391">
        <f t="shared" si="1"/>
        <v>190664</v>
      </c>
    </row>
    <row r="47" spans="1:7" s="11" customFormat="1" ht="19.5" customHeight="1" thickBot="1">
      <c r="A47" s="89"/>
      <c r="B47" s="89"/>
      <c r="C47" s="93" t="s">
        <v>785</v>
      </c>
      <c r="D47" s="118">
        <v>2000</v>
      </c>
      <c r="E47" s="118"/>
      <c r="F47" s="118"/>
      <c r="G47" s="85">
        <f>D47+F47</f>
        <v>2000</v>
      </c>
    </row>
    <row r="48" spans="1:7" s="95" customFormat="1" ht="19.5" customHeight="1" thickTop="1">
      <c r="A48" s="119"/>
      <c r="B48" s="119"/>
      <c r="C48" s="438" t="s">
        <v>816</v>
      </c>
      <c r="D48" s="439">
        <v>254900</v>
      </c>
      <c r="E48" s="439"/>
      <c r="F48" s="439"/>
      <c r="G48" s="439">
        <f>D48+F48</f>
        <v>254900</v>
      </c>
    </row>
    <row r="52" spans="2:4" ht="12.75">
      <c r="B52" s="296" t="s">
        <v>24</v>
      </c>
      <c r="C52" s="296"/>
      <c r="D52" s="296" t="s">
        <v>22</v>
      </c>
    </row>
    <row r="53" spans="2:4" ht="12.75">
      <c r="B53" s="297" t="s">
        <v>25</v>
      </c>
      <c r="C53" s="296"/>
      <c r="D53" s="296" t="s">
        <v>26</v>
      </c>
    </row>
    <row r="54" spans="2:4" ht="12.75">
      <c r="B54" s="409" t="s">
        <v>23</v>
      </c>
      <c r="C54" s="231"/>
      <c r="D54" s="231" t="s">
        <v>27</v>
      </c>
    </row>
  </sheetData>
  <mergeCells count="1">
    <mergeCell ref="D7:D8"/>
  </mergeCells>
  <printOptions horizontalCentered="1"/>
  <pageMargins left="0.3937007874015748" right="0.3937007874015748" top="0.5511811023622047" bottom="0.5511811023622047" header="0.5118110236220472" footer="0.3937007874015748"/>
  <pageSetup firstPageNumber="18" useFirstPageNumber="1" horizontalDpi="300" verticalDpi="3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1"/>
  <dimension ref="A1:J62"/>
  <sheetViews>
    <sheetView zoomScale="90" zoomScaleNormal="90" zoomScaleSheetLayoutView="75" workbookViewId="0" topLeftCell="A1">
      <pane ySplit="6" topLeftCell="BM59" activePane="bottomLeft" state="frozen"/>
      <selection pane="topLeft" activeCell="D105" sqref="D105"/>
      <selection pane="bottomLeft" activeCell="C68" sqref="C68"/>
    </sheetView>
  </sheetViews>
  <sheetFormatPr defaultColWidth="9.00390625" defaultRowHeight="12.75"/>
  <cols>
    <col min="1" max="1" width="5.375" style="1" customWidth="1"/>
    <col min="2" max="2" width="8.625" style="1" customWidth="1"/>
    <col min="3" max="3" width="65.625" style="1" customWidth="1"/>
    <col min="4" max="4" width="22.75390625" style="1" customWidth="1"/>
    <col min="5" max="6" width="18.00390625" style="1" customWidth="1"/>
    <col min="7" max="7" width="20.375" style="1" customWidth="1"/>
    <col min="8" max="8" width="12.00390625" style="1" customWidth="1"/>
    <col min="9" max="9" width="11.125" style="1" customWidth="1"/>
    <col min="10" max="10" width="15.25390625" style="1" customWidth="1"/>
    <col min="11" max="16384" width="9.125" style="1" customWidth="1"/>
  </cols>
  <sheetData>
    <row r="1" spans="2:6" ht="15" customHeight="1">
      <c r="B1" s="17"/>
      <c r="F1" s="1" t="s">
        <v>179</v>
      </c>
    </row>
    <row r="2" ht="15" customHeight="1">
      <c r="F2" s="1" t="s">
        <v>658</v>
      </c>
    </row>
    <row r="3" spans="3:6" ht="15" customHeight="1">
      <c r="C3" s="18" t="s">
        <v>859</v>
      </c>
      <c r="F3" s="1" t="s">
        <v>817</v>
      </c>
    </row>
    <row r="4" ht="15" customHeight="1">
      <c r="F4" s="1" t="s">
        <v>371</v>
      </c>
    </row>
    <row r="5" ht="17.25" customHeight="1" thickBot="1">
      <c r="G5" s="3" t="s">
        <v>819</v>
      </c>
    </row>
    <row r="6" spans="1:7" ht="67.5" customHeight="1" thickBot="1" thickTop="1">
      <c r="A6" s="170" t="s">
        <v>820</v>
      </c>
      <c r="B6" s="170" t="s">
        <v>821</v>
      </c>
      <c r="C6" s="69" t="s">
        <v>518</v>
      </c>
      <c r="D6" s="69" t="s">
        <v>868</v>
      </c>
      <c r="E6" s="69" t="s">
        <v>843</v>
      </c>
      <c r="F6" s="69" t="s">
        <v>833</v>
      </c>
      <c r="G6" s="5" t="s">
        <v>824</v>
      </c>
    </row>
    <row r="7" spans="1:7" s="20" customFormat="1" ht="15.75" customHeight="1" thickBot="1" thickTop="1">
      <c r="A7" s="169">
        <v>1</v>
      </c>
      <c r="B7" s="169">
        <v>2</v>
      </c>
      <c r="C7" s="169">
        <v>3</v>
      </c>
      <c r="D7" s="169">
        <v>4</v>
      </c>
      <c r="E7" s="169">
        <v>5</v>
      </c>
      <c r="F7" s="169">
        <v>6</v>
      </c>
      <c r="G7" s="19">
        <v>7</v>
      </c>
    </row>
    <row r="8" spans="1:10" ht="24" customHeight="1" thickBot="1" thickTop="1">
      <c r="A8" s="127"/>
      <c r="B8" s="127"/>
      <c r="C8" s="128" t="s">
        <v>834</v>
      </c>
      <c r="D8" s="124">
        <v>777724629</v>
      </c>
      <c r="E8" s="124">
        <f>E10+E36</f>
        <v>1100000</v>
      </c>
      <c r="F8" s="124">
        <f>F10+F36</f>
        <v>1147939</v>
      </c>
      <c r="G8" s="124">
        <f>D8+F8-E8</f>
        <v>777772568</v>
      </c>
      <c r="H8" s="8">
        <f>F8-E8</f>
        <v>47939</v>
      </c>
      <c r="I8" s="8"/>
      <c r="J8" s="8"/>
    </row>
    <row r="9" spans="1:7" ht="13.5" customHeight="1" thickTop="1">
      <c r="A9" s="77"/>
      <c r="B9" s="77"/>
      <c r="C9" s="77" t="s">
        <v>826</v>
      </c>
      <c r="D9" s="91"/>
      <c r="E9" s="91"/>
      <c r="F9" s="91"/>
      <c r="G9" s="91"/>
    </row>
    <row r="10" spans="1:10" ht="19.5" customHeight="1" thickBot="1">
      <c r="A10" s="77"/>
      <c r="B10" s="77"/>
      <c r="C10" s="129" t="s">
        <v>869</v>
      </c>
      <c r="D10" s="125">
        <v>546914069</v>
      </c>
      <c r="E10" s="125">
        <f>E11+E12+E13+E21+E22</f>
        <v>1100000</v>
      </c>
      <c r="F10" s="125">
        <f>F11+F12+F13+F21+F22</f>
        <v>971953</v>
      </c>
      <c r="G10" s="125">
        <f>D10+F10-E10</f>
        <v>546786022</v>
      </c>
      <c r="H10" s="8"/>
      <c r="J10" s="8"/>
    </row>
    <row r="11" spans="1:7" s="17" customFormat="1" ht="19.5" customHeight="1" thickBot="1">
      <c r="A11" s="112"/>
      <c r="B11" s="112"/>
      <c r="C11" s="130" t="s">
        <v>835</v>
      </c>
      <c r="D11" s="97">
        <v>375445074</v>
      </c>
      <c r="E11" s="97"/>
      <c r="F11" s="97"/>
      <c r="G11" s="126">
        <f>D11+F11-E11</f>
        <v>375445074</v>
      </c>
    </row>
    <row r="12" spans="1:7" s="17" customFormat="1" ht="19.5" customHeight="1" thickBot="1" thickTop="1">
      <c r="A12" s="112"/>
      <c r="B12" s="112"/>
      <c r="C12" s="96" t="s">
        <v>766</v>
      </c>
      <c r="D12" s="217">
        <v>101029188</v>
      </c>
      <c r="E12" s="217"/>
      <c r="F12" s="217"/>
      <c r="G12" s="97">
        <f>D12+F12-E12</f>
        <v>101029188</v>
      </c>
    </row>
    <row r="13" spans="1:7" s="17" customFormat="1" ht="19.5" customHeight="1" thickBot="1" thickTop="1">
      <c r="A13" s="112"/>
      <c r="B13" s="112"/>
      <c r="C13" s="96" t="s">
        <v>837</v>
      </c>
      <c r="D13" s="97">
        <v>11481443</v>
      </c>
      <c r="E13" s="97">
        <f>E14</f>
        <v>1100000</v>
      </c>
      <c r="F13" s="97">
        <f>F14</f>
        <v>442928</v>
      </c>
      <c r="G13" s="97">
        <f>D13+F13-E13</f>
        <v>10824371</v>
      </c>
    </row>
    <row r="14" spans="1:7" s="17" customFormat="1" ht="19.5" customHeight="1" thickTop="1">
      <c r="A14" s="509">
        <v>852</v>
      </c>
      <c r="B14" s="509"/>
      <c r="C14" s="229" t="s">
        <v>746</v>
      </c>
      <c r="D14" s="524">
        <v>9690681</v>
      </c>
      <c r="E14" s="524">
        <f>E15</f>
        <v>1100000</v>
      </c>
      <c r="F14" s="524">
        <f>F18</f>
        <v>442928</v>
      </c>
      <c r="G14" s="524">
        <f aca="true" t="shared" si="0" ref="G14:G20">D14-E14+F14</f>
        <v>9033609</v>
      </c>
    </row>
    <row r="15" spans="1:7" s="17" customFormat="1" ht="19.5" customHeight="1">
      <c r="A15" s="636"/>
      <c r="B15" s="286">
        <v>85214</v>
      </c>
      <c r="C15" s="286" t="s">
        <v>590</v>
      </c>
      <c r="D15" s="635">
        <v>3998000</v>
      </c>
      <c r="E15" s="635">
        <f>E16</f>
        <v>1100000</v>
      </c>
      <c r="F15" s="635"/>
      <c r="G15" s="635">
        <f t="shared" si="0"/>
        <v>2898000</v>
      </c>
    </row>
    <row r="16" spans="1:7" s="17" customFormat="1" ht="24" customHeight="1">
      <c r="A16" s="637"/>
      <c r="B16" s="424"/>
      <c r="C16" s="195" t="s">
        <v>594</v>
      </c>
      <c r="D16" s="881">
        <v>3998000</v>
      </c>
      <c r="E16" s="881">
        <f>E17</f>
        <v>1100000</v>
      </c>
      <c r="F16" s="881"/>
      <c r="G16" s="881">
        <f t="shared" si="0"/>
        <v>2898000</v>
      </c>
    </row>
    <row r="17" spans="1:7" s="17" customFormat="1" ht="27" customHeight="1" hidden="1">
      <c r="A17" s="638"/>
      <c r="B17" s="415"/>
      <c r="C17" s="639" t="s">
        <v>939</v>
      </c>
      <c r="D17" s="880">
        <v>3998000</v>
      </c>
      <c r="E17" s="880">
        <v>1100000</v>
      </c>
      <c r="F17" s="880"/>
      <c r="G17" s="880">
        <f t="shared" si="0"/>
        <v>2898000</v>
      </c>
    </row>
    <row r="18" spans="1:7" s="17" customFormat="1" ht="19.5" customHeight="1">
      <c r="A18" s="112"/>
      <c r="B18" s="512">
        <v>85295</v>
      </c>
      <c r="C18" s="512" t="s">
        <v>829</v>
      </c>
      <c r="D18" s="522">
        <v>1506470</v>
      </c>
      <c r="E18" s="517"/>
      <c r="F18" s="522">
        <f>F19</f>
        <v>442928</v>
      </c>
      <c r="G18" s="522">
        <f t="shared" si="0"/>
        <v>1949398</v>
      </c>
    </row>
    <row r="19" spans="1:7" s="17" customFormat="1" ht="26.25" customHeight="1">
      <c r="A19" s="112"/>
      <c r="B19" s="112"/>
      <c r="C19" s="882" t="s">
        <v>938</v>
      </c>
      <c r="D19" s="521">
        <v>1506470</v>
      </c>
      <c r="E19" s="518"/>
      <c r="F19" s="521">
        <f>F20</f>
        <v>442928</v>
      </c>
      <c r="G19" s="521">
        <f t="shared" si="0"/>
        <v>1949398</v>
      </c>
    </row>
    <row r="20" spans="1:7" s="17" customFormat="1" ht="28.5" customHeight="1" hidden="1">
      <c r="A20" s="112"/>
      <c r="B20" s="112"/>
      <c r="C20" s="516" t="s">
        <v>939</v>
      </c>
      <c r="D20" s="520">
        <v>1506470</v>
      </c>
      <c r="E20" s="517"/>
      <c r="F20" s="520">
        <v>442928</v>
      </c>
      <c r="G20" s="520">
        <f t="shared" si="0"/>
        <v>1949398</v>
      </c>
    </row>
    <row r="21" spans="1:7" s="17" customFormat="1" ht="26.25" customHeight="1" thickBot="1">
      <c r="A21" s="112"/>
      <c r="B21" s="112"/>
      <c r="C21" s="96" t="s">
        <v>289</v>
      </c>
      <c r="D21" s="523">
        <v>539300</v>
      </c>
      <c r="E21" s="523"/>
      <c r="F21" s="523"/>
      <c r="G21" s="523">
        <f aca="true" t="shared" si="1" ref="G21:G26">D21+F21-E21</f>
        <v>539300</v>
      </c>
    </row>
    <row r="22" spans="1:7" s="17" customFormat="1" ht="28.5" customHeight="1" thickBot="1" thickTop="1">
      <c r="A22" s="113"/>
      <c r="B22" s="113"/>
      <c r="C22" s="96" t="s">
        <v>838</v>
      </c>
      <c r="D22" s="97">
        <v>58419064</v>
      </c>
      <c r="E22" s="97"/>
      <c r="F22" s="97">
        <f>F23+F27+F32</f>
        <v>529025</v>
      </c>
      <c r="G22" s="97">
        <f t="shared" si="1"/>
        <v>58948089</v>
      </c>
    </row>
    <row r="23" spans="1:7" s="17" customFormat="1" ht="26.25" customHeight="1" thickTop="1">
      <c r="A23" s="229">
        <v>751</v>
      </c>
      <c r="B23" s="229"/>
      <c r="C23" s="229" t="s">
        <v>372</v>
      </c>
      <c r="D23" s="239">
        <v>850166</v>
      </c>
      <c r="E23" s="239"/>
      <c r="F23" s="239">
        <f>F24</f>
        <v>483820</v>
      </c>
      <c r="G23" s="239">
        <f t="shared" si="1"/>
        <v>1333986</v>
      </c>
    </row>
    <row r="24" spans="1:7" s="17" customFormat="1" ht="19.5" customHeight="1">
      <c r="A24" s="285"/>
      <c r="B24" s="223">
        <v>75107</v>
      </c>
      <c r="C24" s="286" t="s">
        <v>755</v>
      </c>
      <c r="D24" s="284">
        <v>315306</v>
      </c>
      <c r="E24" s="284"/>
      <c r="F24" s="284">
        <f>F25</f>
        <v>483820</v>
      </c>
      <c r="G24" s="284">
        <f t="shared" si="1"/>
        <v>799126</v>
      </c>
    </row>
    <row r="25" spans="1:7" s="17" customFormat="1" ht="27" customHeight="1">
      <c r="A25" s="884"/>
      <c r="B25" s="382"/>
      <c r="C25" s="885" t="s">
        <v>757</v>
      </c>
      <c r="D25" s="242">
        <v>315306</v>
      </c>
      <c r="E25" s="242"/>
      <c r="F25" s="242">
        <f>F26</f>
        <v>483820</v>
      </c>
      <c r="G25" s="242">
        <f t="shared" si="1"/>
        <v>799126</v>
      </c>
    </row>
    <row r="26" spans="1:7" s="17" customFormat="1" ht="27.75" customHeight="1" hidden="1">
      <c r="A26" s="188"/>
      <c r="B26" s="189"/>
      <c r="C26" s="245" t="s">
        <v>756</v>
      </c>
      <c r="D26" s="190">
        <v>315306</v>
      </c>
      <c r="E26" s="190"/>
      <c r="F26" s="190">
        <f>241900+241920</f>
        <v>483820</v>
      </c>
      <c r="G26" s="883">
        <f t="shared" si="1"/>
        <v>799126</v>
      </c>
    </row>
    <row r="27" spans="1:7" s="17" customFormat="1" ht="17.25" customHeight="1">
      <c r="A27" s="413">
        <v>851</v>
      </c>
      <c r="B27" s="229"/>
      <c r="C27" s="229" t="s">
        <v>877</v>
      </c>
      <c r="D27" s="239"/>
      <c r="E27" s="239"/>
      <c r="F27" s="239">
        <f>F28</f>
        <v>1605</v>
      </c>
      <c r="G27" s="239">
        <f aca="true" t="shared" si="2" ref="G27:G35">D27-E27+F27</f>
        <v>1605</v>
      </c>
    </row>
    <row r="28" spans="1:7" s="17" customFormat="1" ht="19.5" customHeight="1">
      <c r="A28" s="285"/>
      <c r="B28" s="223">
        <v>85195</v>
      </c>
      <c r="C28" s="286" t="s">
        <v>829</v>
      </c>
      <c r="D28" s="284"/>
      <c r="E28" s="284"/>
      <c r="F28" s="284">
        <f>F29</f>
        <v>1605</v>
      </c>
      <c r="G28" s="284">
        <f t="shared" si="2"/>
        <v>1605</v>
      </c>
    </row>
    <row r="29" spans="1:7" s="17" customFormat="1" ht="27" customHeight="1">
      <c r="A29" s="884"/>
      <c r="B29" s="382"/>
      <c r="C29" s="885" t="s">
        <v>519</v>
      </c>
      <c r="D29" s="242"/>
      <c r="E29" s="242"/>
      <c r="F29" s="242">
        <f>F30</f>
        <v>1605</v>
      </c>
      <c r="G29" s="242">
        <f t="shared" si="2"/>
        <v>1605</v>
      </c>
    </row>
    <row r="30" spans="1:7" s="17" customFormat="1" ht="26.25" customHeight="1" hidden="1">
      <c r="A30" s="188"/>
      <c r="B30" s="189"/>
      <c r="C30" s="245" t="s">
        <v>756</v>
      </c>
      <c r="D30" s="190"/>
      <c r="E30" s="190"/>
      <c r="F30" s="190">
        <v>1605</v>
      </c>
      <c r="G30" s="883">
        <f t="shared" si="2"/>
        <v>1605</v>
      </c>
    </row>
    <row r="31" ht="26.25" customHeight="1"/>
    <row r="32" spans="1:7" s="17" customFormat="1" ht="19.5" customHeight="1">
      <c r="A32" s="509">
        <v>852</v>
      </c>
      <c r="B32" s="509"/>
      <c r="C32" s="229" t="s">
        <v>746</v>
      </c>
      <c r="D32" s="629">
        <v>55966200</v>
      </c>
      <c r="E32" s="629"/>
      <c r="F32" s="629">
        <f>F33</f>
        <v>43600</v>
      </c>
      <c r="G32" s="753">
        <f t="shared" si="2"/>
        <v>56009800</v>
      </c>
    </row>
    <row r="33" spans="1:7" s="17" customFormat="1" ht="18" customHeight="1">
      <c r="A33" s="188"/>
      <c r="B33" s="223">
        <v>85278</v>
      </c>
      <c r="C33" s="286" t="s">
        <v>727</v>
      </c>
      <c r="D33" s="284">
        <v>82000</v>
      </c>
      <c r="E33" s="284"/>
      <c r="F33" s="284">
        <f>F34</f>
        <v>43600</v>
      </c>
      <c r="G33" s="754">
        <f t="shared" si="2"/>
        <v>125600</v>
      </c>
    </row>
    <row r="34" spans="1:7" s="17" customFormat="1" ht="18" customHeight="1">
      <c r="A34" s="188"/>
      <c r="B34" s="288"/>
      <c r="C34" s="885" t="s">
        <v>562</v>
      </c>
      <c r="D34" s="242">
        <v>82000</v>
      </c>
      <c r="E34" s="242"/>
      <c r="F34" s="242">
        <v>43600</v>
      </c>
      <c r="G34" s="242">
        <f t="shared" si="2"/>
        <v>125600</v>
      </c>
    </row>
    <row r="35" spans="1:7" s="17" customFormat="1" ht="26.25" customHeight="1" hidden="1">
      <c r="A35" s="188"/>
      <c r="B35" s="188"/>
      <c r="C35" s="245" t="s">
        <v>480</v>
      </c>
      <c r="D35" s="190">
        <v>82000</v>
      </c>
      <c r="E35" s="190"/>
      <c r="F35" s="190">
        <v>43600</v>
      </c>
      <c r="G35" s="190">
        <f t="shared" si="2"/>
        <v>125600</v>
      </c>
    </row>
    <row r="36" spans="1:7" s="17" customFormat="1" ht="28.5" customHeight="1" thickBot="1">
      <c r="A36" s="77"/>
      <c r="B36" s="77"/>
      <c r="C36" s="129" t="s">
        <v>870</v>
      </c>
      <c r="D36" s="125">
        <v>230810560</v>
      </c>
      <c r="E36" s="125"/>
      <c r="F36" s="125">
        <f>F37+F38+F39+F40+F45</f>
        <v>175986</v>
      </c>
      <c r="G36" s="125">
        <f>D36+F36-E36</f>
        <v>230986546</v>
      </c>
    </row>
    <row r="37" spans="1:7" s="17" customFormat="1" ht="19.5" customHeight="1" thickBot="1">
      <c r="A37" s="112"/>
      <c r="B37" s="112"/>
      <c r="C37" s="131" t="s">
        <v>835</v>
      </c>
      <c r="D37" s="217">
        <v>63095330</v>
      </c>
      <c r="E37" s="216"/>
      <c r="F37" s="216"/>
      <c r="G37" s="88">
        <f>D37+F37-E37</f>
        <v>63095330</v>
      </c>
    </row>
    <row r="38" spans="1:7" s="17" customFormat="1" ht="19.5" customHeight="1" thickBot="1" thickTop="1">
      <c r="A38" s="112"/>
      <c r="B38" s="112"/>
      <c r="C38" s="96" t="s">
        <v>836</v>
      </c>
      <c r="D38" s="88">
        <v>132639298</v>
      </c>
      <c r="E38" s="88"/>
      <c r="F38" s="88"/>
      <c r="G38" s="88">
        <f>D38+F38-E38</f>
        <v>132639298</v>
      </c>
    </row>
    <row r="39" spans="1:7" s="17" customFormat="1" ht="19.5" customHeight="1" thickBot="1" thickTop="1">
      <c r="A39" s="112"/>
      <c r="B39" s="112"/>
      <c r="C39" s="209" t="s">
        <v>837</v>
      </c>
      <c r="D39" s="210">
        <v>9178001</v>
      </c>
      <c r="E39" s="210"/>
      <c r="F39" s="210"/>
      <c r="G39" s="88">
        <f>D39+F39-E39</f>
        <v>9178001</v>
      </c>
    </row>
    <row r="40" spans="1:7" ht="28.5" customHeight="1" thickBot="1" thickTop="1">
      <c r="A40" s="113"/>
      <c r="B40" s="113"/>
      <c r="C40" s="96" t="s">
        <v>290</v>
      </c>
      <c r="D40" s="88">
        <v>4614613</v>
      </c>
      <c r="E40" s="88"/>
      <c r="F40" s="88">
        <f>F41</f>
        <v>24000</v>
      </c>
      <c r="G40" s="88">
        <f>D40+F40-E40</f>
        <v>4638613</v>
      </c>
    </row>
    <row r="41" spans="1:7" ht="22.5" customHeight="1" thickTop="1">
      <c r="A41" s="509">
        <v>754</v>
      </c>
      <c r="B41" s="509"/>
      <c r="C41" s="229" t="s">
        <v>724</v>
      </c>
      <c r="D41" s="629"/>
      <c r="E41" s="629"/>
      <c r="F41" s="629">
        <f>F42</f>
        <v>24000</v>
      </c>
      <c r="G41" s="753">
        <f>D41-E41+F41</f>
        <v>24000</v>
      </c>
    </row>
    <row r="42" spans="1:7" ht="22.5" customHeight="1">
      <c r="A42" s="204"/>
      <c r="B42" s="205">
        <v>75411</v>
      </c>
      <c r="C42" s="416" t="s">
        <v>489</v>
      </c>
      <c r="D42" s="751"/>
      <c r="E42" s="751"/>
      <c r="F42" s="752">
        <f>F43</f>
        <v>24000</v>
      </c>
      <c r="G42" s="752">
        <f>D42-E42+F42</f>
        <v>24000</v>
      </c>
    </row>
    <row r="43" spans="1:7" ht="25.5" customHeight="1">
      <c r="A43" s="112"/>
      <c r="B43" s="112"/>
      <c r="C43" s="886" t="s">
        <v>64</v>
      </c>
      <c r="D43" s="751"/>
      <c r="E43" s="751"/>
      <c r="F43" s="796">
        <f>F44</f>
        <v>24000</v>
      </c>
      <c r="G43" s="796">
        <f>D43-E43+F43</f>
        <v>24000</v>
      </c>
    </row>
    <row r="44" spans="1:7" ht="41.25" customHeight="1" hidden="1">
      <c r="A44" s="112"/>
      <c r="B44" s="112"/>
      <c r="C44" s="639" t="s">
        <v>63</v>
      </c>
      <c r="D44" s="750"/>
      <c r="E44" s="750"/>
      <c r="F44" s="455">
        <v>24000</v>
      </c>
      <c r="G44" s="455">
        <f>D44-E44+F44</f>
        <v>24000</v>
      </c>
    </row>
    <row r="45" spans="1:7" ht="29.25" customHeight="1" thickBot="1">
      <c r="A45" s="113"/>
      <c r="B45" s="113"/>
      <c r="C45" s="96" t="s">
        <v>839</v>
      </c>
      <c r="D45" s="88">
        <v>21283318</v>
      </c>
      <c r="E45" s="88"/>
      <c r="F45" s="88">
        <f>F46+F52</f>
        <v>151986</v>
      </c>
      <c r="G45" s="88">
        <f>D45+F45-E45</f>
        <v>21435304</v>
      </c>
    </row>
    <row r="46" spans="1:7" ht="18.75" customHeight="1" thickTop="1">
      <c r="A46" s="417">
        <v>754</v>
      </c>
      <c r="B46" s="211"/>
      <c r="C46" s="229" t="s">
        <v>724</v>
      </c>
      <c r="D46" s="268">
        <v>12853000</v>
      </c>
      <c r="E46" s="268"/>
      <c r="F46" s="268">
        <f>F47</f>
        <v>142000</v>
      </c>
      <c r="G46" s="239">
        <f aca="true" t="shared" si="3" ref="G46:G51">D46-E46+F46</f>
        <v>12995000</v>
      </c>
    </row>
    <row r="47" spans="1:7" ht="18" customHeight="1">
      <c r="A47" s="204"/>
      <c r="B47" s="205">
        <v>75411</v>
      </c>
      <c r="C47" s="416" t="s">
        <v>489</v>
      </c>
      <c r="D47" s="291">
        <v>12841000</v>
      </c>
      <c r="E47" s="291"/>
      <c r="F47" s="291">
        <f>F48+F50</f>
        <v>142000</v>
      </c>
      <c r="G47" s="240">
        <f t="shared" si="3"/>
        <v>12983000</v>
      </c>
    </row>
    <row r="48" spans="1:7" ht="27" customHeight="1">
      <c r="A48" s="204"/>
      <c r="B48" s="591"/>
      <c r="C48" s="593" t="s">
        <v>680</v>
      </c>
      <c r="D48" s="588">
        <v>12591000</v>
      </c>
      <c r="E48" s="588"/>
      <c r="F48" s="588">
        <f>F49</f>
        <v>42000</v>
      </c>
      <c r="G48" s="588">
        <f t="shared" si="3"/>
        <v>12633000</v>
      </c>
    </row>
    <row r="49" spans="1:7" ht="38.25" customHeight="1" hidden="1">
      <c r="A49" s="264"/>
      <c r="B49" s="594"/>
      <c r="C49" s="1303" t="s">
        <v>332</v>
      </c>
      <c r="D49" s="1304">
        <v>12591000</v>
      </c>
      <c r="E49" s="1304"/>
      <c r="F49" s="1304">
        <v>42000</v>
      </c>
      <c r="G49" s="668">
        <f t="shared" si="3"/>
        <v>12633000</v>
      </c>
    </row>
    <row r="50" spans="1:7" s="1306" customFormat="1" ht="26.25" customHeight="1">
      <c r="A50" s="264"/>
      <c r="B50" s="594"/>
      <c r="C50" s="1305" t="s">
        <v>481</v>
      </c>
      <c r="D50" s="788">
        <v>250000</v>
      </c>
      <c r="E50" s="788"/>
      <c r="F50" s="788">
        <f>F51</f>
        <v>100000</v>
      </c>
      <c r="G50" s="788">
        <f t="shared" si="3"/>
        <v>350000</v>
      </c>
    </row>
    <row r="51" spans="1:7" ht="0.75" customHeight="1" hidden="1">
      <c r="A51" s="264"/>
      <c r="B51" s="594"/>
      <c r="C51" s="639" t="s">
        <v>482</v>
      </c>
      <c r="D51" s="756">
        <v>250000</v>
      </c>
      <c r="E51" s="258"/>
      <c r="F51" s="756">
        <v>100000</v>
      </c>
      <c r="G51" s="190">
        <f t="shared" si="3"/>
        <v>350000</v>
      </c>
    </row>
    <row r="52" spans="1:7" ht="19.5" customHeight="1">
      <c r="A52" s="535">
        <v>853</v>
      </c>
      <c r="B52" s="368"/>
      <c r="C52" s="229" t="s">
        <v>752</v>
      </c>
      <c r="D52" s="268">
        <v>561154</v>
      </c>
      <c r="E52" s="268"/>
      <c r="F52" s="268">
        <f>F53</f>
        <v>9986</v>
      </c>
      <c r="G52" s="239">
        <f>D52+F52-E52</f>
        <v>571140</v>
      </c>
    </row>
    <row r="53" spans="1:7" ht="21.75" customHeight="1">
      <c r="A53" s="419"/>
      <c r="B53" s="205">
        <v>85334</v>
      </c>
      <c r="C53" s="416" t="s">
        <v>753</v>
      </c>
      <c r="D53" s="291">
        <v>35154</v>
      </c>
      <c r="E53" s="291"/>
      <c r="F53" s="291">
        <f>F54</f>
        <v>9986</v>
      </c>
      <c r="G53" s="240">
        <f>D53-E53+F53</f>
        <v>45140</v>
      </c>
    </row>
    <row r="54" spans="1:7" ht="20.25" customHeight="1">
      <c r="A54" s="421"/>
      <c r="B54" s="365"/>
      <c r="C54" s="290" t="s">
        <v>563</v>
      </c>
      <c r="D54" s="887">
        <v>35154</v>
      </c>
      <c r="E54" s="887"/>
      <c r="F54" s="887">
        <f>F55</f>
        <v>9986</v>
      </c>
      <c r="G54" s="242">
        <f>D54-E54+F54</f>
        <v>45140</v>
      </c>
    </row>
    <row r="55" spans="1:7" ht="37.5" customHeight="1" hidden="1">
      <c r="A55" s="421"/>
      <c r="B55" s="365"/>
      <c r="C55" s="420" t="s">
        <v>332</v>
      </c>
      <c r="D55" s="190">
        <v>35154</v>
      </c>
      <c r="E55" s="190"/>
      <c r="F55" s="190">
        <v>9986</v>
      </c>
      <c r="G55" s="190">
        <f>D55-E55+F55</f>
        <v>45140</v>
      </c>
    </row>
    <row r="56" ht="37.5" customHeight="1"/>
    <row r="57" ht="19.5" customHeight="1"/>
    <row r="58" ht="19.5" customHeight="1"/>
    <row r="59" ht="37.5" customHeight="1"/>
    <row r="60" spans="3:5" ht="12.75">
      <c r="C60" s="296" t="s">
        <v>24</v>
      </c>
      <c r="D60" s="296"/>
      <c r="E60" s="296" t="s">
        <v>22</v>
      </c>
    </row>
    <row r="61" spans="3:5" ht="12.75">
      <c r="C61" s="297" t="s">
        <v>25</v>
      </c>
      <c r="D61" s="296"/>
      <c r="E61" s="296" t="s">
        <v>26</v>
      </c>
    </row>
    <row r="62" spans="3:5" ht="12.75">
      <c r="C62" s="409" t="s">
        <v>23</v>
      </c>
      <c r="D62" s="231"/>
      <c r="E62" s="231" t="s">
        <v>27</v>
      </c>
    </row>
  </sheetData>
  <printOptions horizontalCentered="1"/>
  <pageMargins left="0.38" right="0.35" top="0.6692913385826772" bottom="0.5905511811023623" header="0.5118110236220472" footer="0.3937007874015748"/>
  <pageSetup firstPageNumber="6" useFirstPageNumber="1" horizontalDpi="300" verticalDpi="3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1"/>
  <dimension ref="A1:K316"/>
  <sheetViews>
    <sheetView zoomScale="90" zoomScaleNormal="90" zoomScaleSheetLayoutView="75" workbookViewId="0" topLeftCell="A6">
      <pane ySplit="1170" topLeftCell="BM219" activePane="bottomLeft" state="split"/>
      <selection pane="topLeft" activeCell="C6" sqref="C1:C16384"/>
      <selection pane="bottomLeft" activeCell="C230" sqref="C230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53.375" style="1" customWidth="1"/>
    <col min="4" max="7" width="20.75390625" style="1" customWidth="1"/>
    <col min="8" max="8" width="11.875" style="1" customWidth="1"/>
    <col min="9" max="9" width="12.375" style="1" customWidth="1"/>
    <col min="10" max="10" width="13.375" style="1" customWidth="1"/>
    <col min="11" max="11" width="11.00390625" style="1" customWidth="1"/>
    <col min="12" max="16384" width="9.125" style="1" customWidth="1"/>
  </cols>
  <sheetData>
    <row r="1" ht="18" customHeight="1">
      <c r="F1" s="1" t="s">
        <v>545</v>
      </c>
    </row>
    <row r="2" ht="18" customHeight="1">
      <c r="F2" s="1" t="s">
        <v>658</v>
      </c>
    </row>
    <row r="3" ht="18" customHeight="1">
      <c r="F3" s="1" t="s">
        <v>817</v>
      </c>
    </row>
    <row r="4" spans="3:6" ht="18" customHeight="1">
      <c r="C4" s="2" t="s">
        <v>860</v>
      </c>
      <c r="F4" s="1" t="s">
        <v>371</v>
      </c>
    </row>
    <row r="5" ht="12" customHeight="1" thickBot="1">
      <c r="G5" s="3" t="s">
        <v>819</v>
      </c>
    </row>
    <row r="6" spans="1:7" ht="78.75" customHeight="1" thickBot="1" thickTop="1">
      <c r="A6" s="4" t="s">
        <v>820</v>
      </c>
      <c r="B6" s="4" t="s">
        <v>821</v>
      </c>
      <c r="C6" s="5" t="s">
        <v>515</v>
      </c>
      <c r="D6" s="5" t="s">
        <v>857</v>
      </c>
      <c r="E6" s="5" t="s">
        <v>843</v>
      </c>
      <c r="F6" s="5" t="s">
        <v>833</v>
      </c>
      <c r="G6" s="5" t="s">
        <v>824</v>
      </c>
    </row>
    <row r="7" spans="1:7" ht="18.75" customHeight="1" thickBot="1" thickTop="1">
      <c r="A7" s="6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11" ht="24" customHeight="1" thickBot="1" thickTop="1">
      <c r="A8" s="112"/>
      <c r="B8" s="138"/>
      <c r="C8" s="147" t="s">
        <v>825</v>
      </c>
      <c r="D8" s="141">
        <f>791070081+160000</f>
        <v>791230081</v>
      </c>
      <c r="E8" s="141">
        <f>E10+E199+E203</f>
        <v>7660506</v>
      </c>
      <c r="F8" s="141">
        <f>F10+F199+F203</f>
        <v>7708445</v>
      </c>
      <c r="G8" s="141">
        <f>D8-E8+F8</f>
        <v>791278020</v>
      </c>
      <c r="H8" s="1399"/>
      <c r="I8" s="8"/>
      <c r="J8" s="8"/>
      <c r="K8" s="8"/>
    </row>
    <row r="9" spans="1:9" ht="19.5" customHeight="1">
      <c r="A9" s="77"/>
      <c r="B9" s="77"/>
      <c r="C9" s="77" t="s">
        <v>826</v>
      </c>
      <c r="D9" s="106"/>
      <c r="E9" s="106"/>
      <c r="F9" s="106"/>
      <c r="G9" s="106"/>
      <c r="I9" s="9"/>
    </row>
    <row r="10" spans="1:11" ht="17.25" customHeight="1" thickBot="1">
      <c r="A10" s="113"/>
      <c r="B10" s="113"/>
      <c r="C10" s="87" t="s">
        <v>827</v>
      </c>
      <c r="D10" s="218">
        <f>706103786+160000</f>
        <v>706263786</v>
      </c>
      <c r="E10" s="85">
        <f>E11+E33+E45+E49+E54+E121+E138+E147+E153+E194</f>
        <v>7660506</v>
      </c>
      <c r="F10" s="85">
        <f>F11+F33+F45+F49+F54+F121+F138+F147+F153+F194</f>
        <v>7003434</v>
      </c>
      <c r="G10" s="85">
        <f aca="true" t="shared" si="0" ref="G10:G48">D10-E10+F10</f>
        <v>705606714</v>
      </c>
      <c r="H10" s="8"/>
      <c r="I10" s="8"/>
      <c r="K10" s="8"/>
    </row>
    <row r="11" spans="1:11" ht="17.25" customHeight="1" thickTop="1">
      <c r="A11" s="412">
        <v>600</v>
      </c>
      <c r="B11" s="647"/>
      <c r="C11" s="413" t="s">
        <v>369</v>
      </c>
      <c r="D11" s="564">
        <f>63764724+160000</f>
        <v>63924724</v>
      </c>
      <c r="E11" s="551">
        <f>E12+E19+E26</f>
        <v>602910</v>
      </c>
      <c r="F11" s="551">
        <f>F12+F19+F26</f>
        <v>3522910</v>
      </c>
      <c r="G11" s="551">
        <f t="shared" si="0"/>
        <v>66844724</v>
      </c>
      <c r="H11" s="8"/>
      <c r="I11" s="8"/>
      <c r="J11" s="8"/>
      <c r="K11" s="8"/>
    </row>
    <row r="12" spans="1:11" ht="17.25" customHeight="1">
      <c r="A12" s="112"/>
      <c r="B12" s="193">
        <v>60015</v>
      </c>
      <c r="C12" s="193" t="s">
        <v>370</v>
      </c>
      <c r="D12" s="252">
        <f>38583000+160000</f>
        <v>38743000</v>
      </c>
      <c r="E12" s="552">
        <f>E13+E15+E17</f>
        <v>452910</v>
      </c>
      <c r="F12" s="552">
        <f>F13+F15+F17</f>
        <v>417040</v>
      </c>
      <c r="G12" s="552">
        <f t="shared" si="0"/>
        <v>38707130</v>
      </c>
      <c r="H12" s="8"/>
      <c r="I12" s="8"/>
      <c r="J12" s="8"/>
      <c r="K12" s="8"/>
    </row>
    <row r="13" spans="1:11" ht="17.25" customHeight="1">
      <c r="A13" s="112"/>
      <c r="B13" s="194"/>
      <c r="C13" s="496" t="s">
        <v>749</v>
      </c>
      <c r="D13" s="602">
        <v>7850000</v>
      </c>
      <c r="E13" s="543"/>
      <c r="F13" s="543">
        <f>F14</f>
        <v>400000</v>
      </c>
      <c r="G13" s="543">
        <f t="shared" si="0"/>
        <v>8250000</v>
      </c>
      <c r="H13" s="8"/>
      <c r="I13" s="8"/>
      <c r="K13" s="8"/>
    </row>
    <row r="14" spans="1:11" ht="17.25" customHeight="1" hidden="1">
      <c r="A14" s="112"/>
      <c r="B14" s="112"/>
      <c r="C14" s="1264" t="s">
        <v>742</v>
      </c>
      <c r="D14" s="1265">
        <v>7498000</v>
      </c>
      <c r="E14" s="1266"/>
      <c r="F14" s="1266">
        <v>400000</v>
      </c>
      <c r="G14" s="1266">
        <f t="shared" si="0"/>
        <v>7898000</v>
      </c>
      <c r="H14" s="8"/>
      <c r="I14" s="8"/>
      <c r="K14" s="8"/>
    </row>
    <row r="15" spans="1:11" ht="17.25" customHeight="1">
      <c r="A15" s="112"/>
      <c r="B15" s="112"/>
      <c r="C15" s="495" t="s">
        <v>596</v>
      </c>
      <c r="D15" s="1267">
        <v>2815940</v>
      </c>
      <c r="E15" s="1268">
        <f>E16</f>
        <v>452910</v>
      </c>
      <c r="F15" s="1268"/>
      <c r="G15" s="1268">
        <f t="shared" si="0"/>
        <v>2363030</v>
      </c>
      <c r="H15" s="8"/>
      <c r="I15" s="8"/>
      <c r="K15" s="8"/>
    </row>
    <row r="16" spans="1:11" ht="17.25" customHeight="1" hidden="1">
      <c r="A16" s="112"/>
      <c r="B16" s="112"/>
      <c r="C16" s="1264" t="s">
        <v>597</v>
      </c>
      <c r="D16" s="1265">
        <v>2815940</v>
      </c>
      <c r="E16" s="1266">
        <v>452910</v>
      </c>
      <c r="F16" s="1266"/>
      <c r="G16" s="1266">
        <f t="shared" si="0"/>
        <v>2363030</v>
      </c>
      <c r="H16" s="8"/>
      <c r="I16" s="8"/>
      <c r="K16" s="8"/>
    </row>
    <row r="17" spans="1:11" ht="17.25" customHeight="1">
      <c r="A17" s="112"/>
      <c r="B17" s="112"/>
      <c r="C17" s="1269" t="s">
        <v>495</v>
      </c>
      <c r="D17" s="1270">
        <f>27757060+160000</f>
        <v>27917060</v>
      </c>
      <c r="E17" s="1271"/>
      <c r="F17" s="1271">
        <v>17040</v>
      </c>
      <c r="G17" s="1271">
        <f t="shared" si="0"/>
        <v>27934100</v>
      </c>
      <c r="H17" s="8"/>
      <c r="I17" s="8"/>
      <c r="K17" s="8"/>
    </row>
    <row r="18" spans="1:11" ht="17.25" customHeight="1" hidden="1">
      <c r="A18" s="112"/>
      <c r="B18" s="112"/>
      <c r="C18" s="189" t="s">
        <v>670</v>
      </c>
      <c r="D18" s="440">
        <v>23357060</v>
      </c>
      <c r="E18" s="579"/>
      <c r="F18" s="579">
        <v>17040</v>
      </c>
      <c r="G18" s="579">
        <f t="shared" si="0"/>
        <v>23374100</v>
      </c>
      <c r="H18" s="8"/>
      <c r="I18" s="8"/>
      <c r="K18" s="8"/>
    </row>
    <row r="19" spans="1:11" ht="17.25" customHeight="1">
      <c r="A19" s="112"/>
      <c r="B19" s="203">
        <v>60016</v>
      </c>
      <c r="C19" s="193" t="s">
        <v>750</v>
      </c>
      <c r="D19" s="252">
        <v>6412000</v>
      </c>
      <c r="E19" s="552">
        <f>E20+E22+E25</f>
        <v>150000</v>
      </c>
      <c r="F19" s="552">
        <f>F20+F22+F25</f>
        <v>3000000</v>
      </c>
      <c r="G19" s="552">
        <f t="shared" si="0"/>
        <v>9262000</v>
      </c>
      <c r="H19" s="8"/>
      <c r="I19" s="8"/>
      <c r="K19" s="8"/>
    </row>
    <row r="20" spans="1:11" ht="17.25" customHeight="1">
      <c r="A20" s="112"/>
      <c r="B20" s="194"/>
      <c r="C20" s="496" t="s">
        <v>749</v>
      </c>
      <c r="D20" s="602">
        <v>2700000</v>
      </c>
      <c r="E20" s="543"/>
      <c r="F20" s="543">
        <f>F21</f>
        <v>80000</v>
      </c>
      <c r="G20" s="543">
        <f t="shared" si="0"/>
        <v>2780000</v>
      </c>
      <c r="H20" s="8"/>
      <c r="I20" s="8"/>
      <c r="K20" s="8"/>
    </row>
    <row r="21" spans="1:11" ht="17.25" customHeight="1" hidden="1">
      <c r="A21" s="112"/>
      <c r="B21" s="112"/>
      <c r="C21" s="1264" t="s">
        <v>742</v>
      </c>
      <c r="D21" s="1265">
        <v>2681000</v>
      </c>
      <c r="E21" s="1266"/>
      <c r="F21" s="1266">
        <v>80000</v>
      </c>
      <c r="G21" s="1266">
        <f t="shared" si="0"/>
        <v>2761000</v>
      </c>
      <c r="H21" s="8"/>
      <c r="I21" s="8"/>
      <c r="K21" s="8"/>
    </row>
    <row r="22" spans="1:11" ht="17.25" customHeight="1">
      <c r="A22" s="112"/>
      <c r="B22" s="112"/>
      <c r="C22" s="495" t="s">
        <v>511</v>
      </c>
      <c r="D22" s="1267">
        <v>950000</v>
      </c>
      <c r="E22" s="1268">
        <f>E24</f>
        <v>150000</v>
      </c>
      <c r="F22" s="1268"/>
      <c r="G22" s="1268">
        <f t="shared" si="0"/>
        <v>800000</v>
      </c>
      <c r="H22" s="8"/>
      <c r="I22" s="8"/>
      <c r="K22" s="8"/>
    </row>
    <row r="23" spans="1:11" ht="17.25" customHeight="1" hidden="1">
      <c r="A23" s="112"/>
      <c r="B23" s="112"/>
      <c r="C23" s="1264" t="s">
        <v>598</v>
      </c>
      <c r="D23" s="1265">
        <v>150000</v>
      </c>
      <c r="E23" s="1266">
        <v>150000</v>
      </c>
      <c r="F23" s="1266"/>
      <c r="G23" s="1266">
        <f t="shared" si="0"/>
        <v>0</v>
      </c>
      <c r="H23" s="8"/>
      <c r="I23" s="8"/>
      <c r="K23" s="8"/>
    </row>
    <row r="24" spans="1:11" ht="17.25" customHeight="1" hidden="1">
      <c r="A24" s="112"/>
      <c r="B24" s="112"/>
      <c r="C24" s="1269" t="s">
        <v>597</v>
      </c>
      <c r="D24" s="1277">
        <v>950000</v>
      </c>
      <c r="E24" s="1278">
        <v>150000</v>
      </c>
      <c r="F24" s="1278"/>
      <c r="G24" s="1278">
        <f t="shared" si="0"/>
        <v>800000</v>
      </c>
      <c r="H24" s="8"/>
      <c r="I24" s="8"/>
      <c r="K24" s="8"/>
    </row>
    <row r="25" spans="1:11" ht="17.25" customHeight="1">
      <c r="A25" s="112"/>
      <c r="B25" s="193"/>
      <c r="C25" s="201" t="s">
        <v>495</v>
      </c>
      <c r="D25" s="1270">
        <v>2762000</v>
      </c>
      <c r="E25" s="1271"/>
      <c r="F25" s="1271">
        <v>2920000</v>
      </c>
      <c r="G25" s="1271">
        <f t="shared" si="0"/>
        <v>5682000</v>
      </c>
      <c r="H25" s="8"/>
      <c r="I25" s="8"/>
      <c r="K25" s="8"/>
    </row>
    <row r="26" spans="1:11" ht="17.25" customHeight="1">
      <c r="A26" s="112"/>
      <c r="B26" s="113">
        <v>60017</v>
      </c>
      <c r="C26" s="193" t="s">
        <v>599</v>
      </c>
      <c r="D26" s="545">
        <v>430000</v>
      </c>
      <c r="E26" s="482"/>
      <c r="F26" s="158">
        <f>F27</f>
        <v>105870</v>
      </c>
      <c r="G26" s="158">
        <f t="shared" si="0"/>
        <v>535870</v>
      </c>
      <c r="H26" s="8"/>
      <c r="I26" s="8"/>
      <c r="K26" s="8"/>
    </row>
    <row r="27" spans="1:11" ht="17.25" customHeight="1">
      <c r="A27" s="112"/>
      <c r="B27" s="537"/>
      <c r="C27" s="446" t="s">
        <v>495</v>
      </c>
      <c r="D27" s="602">
        <v>130000</v>
      </c>
      <c r="E27" s="616"/>
      <c r="F27" s="543">
        <v>105870</v>
      </c>
      <c r="G27" s="543">
        <f t="shared" si="0"/>
        <v>235870</v>
      </c>
      <c r="H27" s="8"/>
      <c r="I27" s="8"/>
      <c r="K27" s="8"/>
    </row>
    <row r="28" spans="1:11" ht="17.25" customHeight="1" hidden="1">
      <c r="A28" s="549">
        <v>700</v>
      </c>
      <c r="B28" s="549"/>
      <c r="C28" s="550" t="s">
        <v>496</v>
      </c>
      <c r="D28" s="564">
        <v>14865586</v>
      </c>
      <c r="E28" s="551">
        <f>E29</f>
        <v>1800</v>
      </c>
      <c r="F28" s="551">
        <f>F29</f>
        <v>1800</v>
      </c>
      <c r="G28" s="605">
        <f t="shared" si="0"/>
        <v>14865586</v>
      </c>
      <c r="H28" s="8"/>
      <c r="I28" s="8"/>
      <c r="K28" s="8"/>
    </row>
    <row r="29" spans="1:11" ht="17.25" customHeight="1" hidden="1">
      <c r="A29" s="537"/>
      <c r="B29" s="113">
        <v>70005</v>
      </c>
      <c r="C29" s="203" t="s">
        <v>856</v>
      </c>
      <c r="D29" s="252">
        <v>2390586</v>
      </c>
      <c r="E29" s="552">
        <f>E30</f>
        <v>1800</v>
      </c>
      <c r="F29" s="552">
        <f>F30</f>
        <v>1800</v>
      </c>
      <c r="G29" s="553">
        <f t="shared" si="0"/>
        <v>2390586</v>
      </c>
      <c r="H29" s="8"/>
      <c r="I29" s="8"/>
      <c r="K29" s="8"/>
    </row>
    <row r="30" spans="1:11" ht="26.25" customHeight="1" hidden="1">
      <c r="A30" s="112"/>
      <c r="B30" s="112"/>
      <c r="C30" s="424" t="s">
        <v>740</v>
      </c>
      <c r="D30" s="442">
        <v>387512</v>
      </c>
      <c r="E30" s="106">
        <f>E32</f>
        <v>1800</v>
      </c>
      <c r="F30" s="106">
        <f>F31</f>
        <v>1800</v>
      </c>
      <c r="G30" s="543">
        <f t="shared" si="0"/>
        <v>387512</v>
      </c>
      <c r="H30" s="8"/>
      <c r="I30" s="8"/>
      <c r="K30" s="8"/>
    </row>
    <row r="31" spans="1:11" ht="17.25" customHeight="1" hidden="1">
      <c r="A31" s="112"/>
      <c r="B31" s="112"/>
      <c r="C31" s="546" t="s">
        <v>741</v>
      </c>
      <c r="D31" s="378">
        <v>6200</v>
      </c>
      <c r="E31" s="547"/>
      <c r="F31" s="547">
        <v>1800</v>
      </c>
      <c r="G31" s="579">
        <f t="shared" si="0"/>
        <v>8000</v>
      </c>
      <c r="H31" s="8"/>
      <c r="I31" s="8"/>
      <c r="K31" s="8"/>
    </row>
    <row r="32" spans="1:11" ht="17.25" customHeight="1" hidden="1">
      <c r="A32" s="113"/>
      <c r="B32" s="113"/>
      <c r="C32" s="397" t="s">
        <v>742</v>
      </c>
      <c r="D32" s="253">
        <v>237800</v>
      </c>
      <c r="E32" s="548">
        <v>1800</v>
      </c>
      <c r="F32" s="548"/>
      <c r="G32" s="547">
        <f t="shared" si="0"/>
        <v>236000</v>
      </c>
      <c r="H32" s="8"/>
      <c r="I32" s="8"/>
      <c r="K32" s="8"/>
    </row>
    <row r="33" spans="1:11" ht="17.25" customHeight="1">
      <c r="A33" s="447">
        <v>750</v>
      </c>
      <c r="B33" s="447"/>
      <c r="C33" s="447" t="s">
        <v>505</v>
      </c>
      <c r="D33" s="390">
        <v>54092637</v>
      </c>
      <c r="E33" s="863">
        <f>E34+E38+E43</f>
        <v>72637</v>
      </c>
      <c r="F33" s="863">
        <f>F34+F38+F43</f>
        <v>172637</v>
      </c>
      <c r="G33" s="863">
        <f t="shared" si="0"/>
        <v>54192637</v>
      </c>
      <c r="H33" s="8"/>
      <c r="I33" s="8"/>
      <c r="K33" s="8"/>
    </row>
    <row r="34" spans="1:11" ht="17.25" customHeight="1">
      <c r="A34" s="1010"/>
      <c r="B34" s="113">
        <v>75022</v>
      </c>
      <c r="C34" s="203" t="s">
        <v>682</v>
      </c>
      <c r="D34" s="252">
        <v>1409000</v>
      </c>
      <c r="E34" s="1272"/>
      <c r="F34" s="1272"/>
      <c r="G34" s="1272">
        <f>D34-E34+F34</f>
        <v>1409000</v>
      </c>
      <c r="H34" s="8"/>
      <c r="I34" s="8"/>
      <c r="K34" s="8"/>
    </row>
    <row r="35" spans="1:11" ht="17.25" customHeight="1">
      <c r="A35" s="1010"/>
      <c r="B35" s="112"/>
      <c r="C35" s="496" t="s">
        <v>683</v>
      </c>
      <c r="D35" s="602">
        <v>1000000</v>
      </c>
      <c r="E35" s="922"/>
      <c r="F35" s="922"/>
      <c r="G35" s="1187">
        <f>D35-E35+F35</f>
        <v>1000000</v>
      </c>
      <c r="H35" s="8"/>
      <c r="I35" s="8"/>
      <c r="K35" s="8"/>
    </row>
    <row r="36" spans="1:11" ht="17.25" customHeight="1">
      <c r="A36" s="1010"/>
      <c r="B36" s="112"/>
      <c r="C36" s="1300" t="s">
        <v>542</v>
      </c>
      <c r="D36" s="1274">
        <v>1000</v>
      </c>
      <c r="E36" s="1397"/>
      <c r="F36" s="1397">
        <v>2000</v>
      </c>
      <c r="G36" s="1397">
        <f>D36-E36+F36</f>
        <v>3000</v>
      </c>
      <c r="H36" s="8"/>
      <c r="I36" s="8"/>
      <c r="K36" s="8"/>
    </row>
    <row r="37" spans="1:11" ht="17.25" customHeight="1">
      <c r="A37" s="191"/>
      <c r="B37" s="191"/>
      <c r="C37" s="903" t="s">
        <v>543</v>
      </c>
      <c r="D37" s="848"/>
      <c r="E37" s="1290"/>
      <c r="F37" s="1290">
        <v>60000</v>
      </c>
      <c r="G37" s="1398">
        <f>D37-E37+F37</f>
        <v>60000</v>
      </c>
      <c r="H37" s="8"/>
      <c r="I37" s="8"/>
      <c r="K37" s="8"/>
    </row>
    <row r="38" spans="1:11" ht="17.25" customHeight="1">
      <c r="A38" s="191"/>
      <c r="B38" s="203">
        <v>75023</v>
      </c>
      <c r="C38" s="203" t="s">
        <v>506</v>
      </c>
      <c r="D38" s="252">
        <v>50004088</v>
      </c>
      <c r="E38" s="552">
        <f>E39+E41+E42</f>
        <v>72637</v>
      </c>
      <c r="F38" s="552">
        <f>F39+F41+F42</f>
        <v>72637</v>
      </c>
      <c r="G38" s="552">
        <f t="shared" si="0"/>
        <v>50004088</v>
      </c>
      <c r="H38" s="8"/>
      <c r="I38" s="8"/>
      <c r="K38" s="8"/>
    </row>
    <row r="39" spans="1:11" ht="17.25" customHeight="1">
      <c r="A39" s="191"/>
      <c r="B39" s="191"/>
      <c r="C39" s="496" t="s">
        <v>828</v>
      </c>
      <c r="D39" s="602">
        <v>10080045</v>
      </c>
      <c r="E39" s="543"/>
      <c r="F39" s="543">
        <v>69337</v>
      </c>
      <c r="G39" s="543">
        <f t="shared" si="0"/>
        <v>10149382</v>
      </c>
      <c r="H39" s="8"/>
      <c r="I39" s="8"/>
      <c r="K39" s="8"/>
    </row>
    <row r="40" spans="1:11" ht="16.5" customHeight="1">
      <c r="A40" s="191"/>
      <c r="B40" s="191"/>
      <c r="C40" s="901" t="s">
        <v>544</v>
      </c>
      <c r="D40" s="1274">
        <v>266190</v>
      </c>
      <c r="E40" s="990">
        <v>3300</v>
      </c>
      <c r="F40" s="990"/>
      <c r="G40" s="990">
        <f t="shared" si="0"/>
        <v>262890</v>
      </c>
      <c r="H40" s="8"/>
      <c r="I40" s="8"/>
      <c r="K40" s="8"/>
    </row>
    <row r="41" spans="1:11" ht="16.5" customHeight="1">
      <c r="A41" s="191"/>
      <c r="B41" s="191"/>
      <c r="C41" s="1347" t="s">
        <v>921</v>
      </c>
      <c r="D41" s="1282">
        <v>5765683</v>
      </c>
      <c r="E41" s="1283">
        <v>72637</v>
      </c>
      <c r="F41" s="1348"/>
      <c r="G41" s="1283">
        <f>D41-E41+F41</f>
        <v>5693046</v>
      </c>
      <c r="H41" s="8"/>
      <c r="I41" s="8"/>
      <c r="K41" s="8"/>
    </row>
    <row r="42" spans="1:11" ht="19.5" customHeight="1">
      <c r="A42" s="201"/>
      <c r="B42" s="201"/>
      <c r="C42" s="201" t="s">
        <v>495</v>
      </c>
      <c r="D42" s="737">
        <v>2733810</v>
      </c>
      <c r="E42" s="1275"/>
      <c r="F42" s="1275">
        <v>3300</v>
      </c>
      <c r="G42" s="1275">
        <f t="shared" si="0"/>
        <v>2737110</v>
      </c>
      <c r="H42" s="8"/>
      <c r="I42" s="8"/>
      <c r="K42" s="8"/>
    </row>
    <row r="43" spans="1:11" ht="17.25" customHeight="1">
      <c r="A43" s="191"/>
      <c r="B43" s="203">
        <v>75075</v>
      </c>
      <c r="C43" s="193" t="s">
        <v>349</v>
      </c>
      <c r="D43" s="361">
        <v>1496223</v>
      </c>
      <c r="E43" s="604"/>
      <c r="F43" s="604">
        <f>F44</f>
        <v>100000</v>
      </c>
      <c r="G43" s="604">
        <f t="shared" si="0"/>
        <v>1596223</v>
      </c>
      <c r="H43" s="8"/>
      <c r="I43" s="8"/>
      <c r="K43" s="8"/>
    </row>
    <row r="44" spans="1:11" ht="17.25" customHeight="1">
      <c r="A44" s="201"/>
      <c r="B44" s="193"/>
      <c r="C44" s="201" t="s">
        <v>350</v>
      </c>
      <c r="D44" s="391">
        <v>888759</v>
      </c>
      <c r="E44" s="625"/>
      <c r="F44" s="625">
        <v>100000</v>
      </c>
      <c r="G44" s="625">
        <f t="shared" si="0"/>
        <v>988759</v>
      </c>
      <c r="H44" s="8"/>
      <c r="I44" s="8"/>
      <c r="K44" s="8"/>
    </row>
    <row r="45" spans="1:11" ht="17.25" customHeight="1">
      <c r="A45" s="368">
        <v>754</v>
      </c>
      <c r="B45" s="412"/>
      <c r="C45" s="413" t="s">
        <v>724</v>
      </c>
      <c r="D45" s="390">
        <v>5818000</v>
      </c>
      <c r="E45" s="863">
        <f>E46</f>
        <v>1700</v>
      </c>
      <c r="F45" s="863">
        <f>F46</f>
        <v>1700</v>
      </c>
      <c r="G45" s="863">
        <f t="shared" si="0"/>
        <v>5818000</v>
      </c>
      <c r="H45" s="8"/>
      <c r="I45" s="8"/>
      <c r="K45" s="8"/>
    </row>
    <row r="46" spans="1:11" ht="17.25" customHeight="1">
      <c r="A46" s="191"/>
      <c r="B46" s="193">
        <v>75416</v>
      </c>
      <c r="C46" s="193" t="s">
        <v>593</v>
      </c>
      <c r="D46" s="361">
        <v>4675000</v>
      </c>
      <c r="E46" s="604">
        <f>E47+E48</f>
        <v>1700</v>
      </c>
      <c r="F46" s="604">
        <f>F47+F48</f>
        <v>1700</v>
      </c>
      <c r="G46" s="604">
        <f t="shared" si="0"/>
        <v>4675000</v>
      </c>
      <c r="H46" s="8"/>
      <c r="I46" s="8"/>
      <c r="K46" s="8"/>
    </row>
    <row r="47" spans="1:11" ht="17.25" customHeight="1">
      <c r="A47" s="191"/>
      <c r="B47" s="191"/>
      <c r="C47" s="496" t="s">
        <v>828</v>
      </c>
      <c r="D47" s="602">
        <v>753000</v>
      </c>
      <c r="E47" s="543">
        <v>1700</v>
      </c>
      <c r="F47" s="543"/>
      <c r="G47" s="543">
        <f t="shared" si="0"/>
        <v>751300</v>
      </c>
      <c r="H47" s="8"/>
      <c r="I47" s="8"/>
      <c r="K47" s="8"/>
    </row>
    <row r="48" spans="1:11" ht="17.25" customHeight="1">
      <c r="A48" s="191"/>
      <c r="B48" s="191"/>
      <c r="C48" s="1276" t="s">
        <v>495</v>
      </c>
      <c r="D48" s="1270">
        <v>170000</v>
      </c>
      <c r="E48" s="1271"/>
      <c r="F48" s="1271">
        <v>1700</v>
      </c>
      <c r="G48" s="1271">
        <f t="shared" si="0"/>
        <v>171700</v>
      </c>
      <c r="H48" s="8"/>
      <c r="I48" s="8"/>
      <c r="K48" s="8"/>
    </row>
    <row r="49" spans="1:11" ht="18.75" customHeight="1">
      <c r="A49" s="368">
        <v>758</v>
      </c>
      <c r="B49" s="412"/>
      <c r="C49" s="238" t="s">
        <v>286</v>
      </c>
      <c r="D49" s="244">
        <v>8602571</v>
      </c>
      <c r="E49" s="605">
        <f>E50</f>
        <v>3020000</v>
      </c>
      <c r="F49" s="605"/>
      <c r="G49" s="605">
        <f aca="true" t="shared" si="1" ref="G49:G73">D49-E49+F49</f>
        <v>5582571</v>
      </c>
      <c r="H49" s="8"/>
      <c r="I49" s="8"/>
      <c r="K49" s="8"/>
    </row>
    <row r="50" spans="1:11" ht="18.75" customHeight="1">
      <c r="A50" s="191"/>
      <c r="B50" s="193">
        <v>75818</v>
      </c>
      <c r="C50" s="193" t="s">
        <v>287</v>
      </c>
      <c r="D50" s="361">
        <v>5941027</v>
      </c>
      <c r="E50" s="604">
        <f>E51+E52</f>
        <v>3020000</v>
      </c>
      <c r="F50" s="604"/>
      <c r="G50" s="604">
        <f t="shared" si="1"/>
        <v>2921027</v>
      </c>
      <c r="H50" s="8"/>
      <c r="I50" s="8"/>
      <c r="K50" s="8"/>
    </row>
    <row r="51" spans="1:11" ht="18.75" customHeight="1">
      <c r="A51" s="191"/>
      <c r="B51" s="191"/>
      <c r="C51" s="496" t="s">
        <v>288</v>
      </c>
      <c r="D51" s="602">
        <v>1041912</v>
      </c>
      <c r="E51" s="543">
        <v>100000</v>
      </c>
      <c r="F51" s="543"/>
      <c r="G51" s="543">
        <f t="shared" si="1"/>
        <v>941912</v>
      </c>
      <c r="H51" s="8"/>
      <c r="I51" s="8"/>
      <c r="K51" s="8"/>
    </row>
    <row r="52" spans="1:11" ht="26.25" customHeight="1">
      <c r="A52" s="191"/>
      <c r="B52" s="191"/>
      <c r="C52" s="511" t="s">
        <v>216</v>
      </c>
      <c r="D52" s="1267">
        <v>4779115</v>
      </c>
      <c r="E52" s="1268">
        <v>2920000</v>
      </c>
      <c r="F52" s="1268"/>
      <c r="G52" s="1268">
        <f t="shared" si="1"/>
        <v>1859115</v>
      </c>
      <c r="H52" s="8"/>
      <c r="I52" s="8"/>
      <c r="K52" s="8"/>
    </row>
    <row r="53" spans="1:11" ht="18" customHeight="1">
      <c r="A53" s="191"/>
      <c r="B53" s="191"/>
      <c r="C53" s="10" t="s">
        <v>546</v>
      </c>
      <c r="D53" s="440">
        <v>4500000</v>
      </c>
      <c r="E53" s="579">
        <v>2920000</v>
      </c>
      <c r="F53" s="579"/>
      <c r="G53" s="579">
        <f t="shared" si="1"/>
        <v>1580000</v>
      </c>
      <c r="H53" s="8"/>
      <c r="I53" s="8"/>
      <c r="K53" s="8"/>
    </row>
    <row r="54" spans="1:11" ht="18.75" customHeight="1">
      <c r="A54" s="368">
        <v>801</v>
      </c>
      <c r="B54" s="412"/>
      <c r="C54" s="238" t="s">
        <v>730</v>
      </c>
      <c r="D54" s="244">
        <v>324827928</v>
      </c>
      <c r="E54" s="605">
        <f>E55+E63+E67+E71+E75+E79+E85+E89+E91+E96+E100+E104+E110+E114+E118</f>
        <v>1889721</v>
      </c>
      <c r="F54" s="605">
        <f>F55+F63+F67+F71+F75+F79+F85+F89+F91+F96+F100+F104+F110+F114+F118</f>
        <v>1889721</v>
      </c>
      <c r="G54" s="605">
        <f t="shared" si="1"/>
        <v>324827928</v>
      </c>
      <c r="H54" s="8"/>
      <c r="I54" s="8"/>
      <c r="K54" s="8"/>
    </row>
    <row r="55" spans="1:11" ht="18.75" customHeight="1">
      <c r="A55" s="191"/>
      <c r="B55" s="193">
        <v>80101</v>
      </c>
      <c r="C55" s="193" t="s">
        <v>499</v>
      </c>
      <c r="D55" s="361">
        <v>91028125</v>
      </c>
      <c r="E55" s="604">
        <f>E56+E57+E59+E60+E62</f>
        <v>679270</v>
      </c>
      <c r="F55" s="604">
        <f>F56+F57+F59+F60+F62</f>
        <v>407476</v>
      </c>
      <c r="G55" s="604">
        <f t="shared" si="1"/>
        <v>90756331</v>
      </c>
      <c r="H55" s="8"/>
      <c r="I55" s="8"/>
      <c r="K55" s="8"/>
    </row>
    <row r="56" spans="1:11" ht="18.75" customHeight="1">
      <c r="A56" s="191"/>
      <c r="B56" s="191"/>
      <c r="C56" s="215" t="s">
        <v>747</v>
      </c>
      <c r="D56" s="1273">
        <v>56458406</v>
      </c>
      <c r="E56" s="632">
        <v>251517</v>
      </c>
      <c r="F56" s="632"/>
      <c r="G56" s="632">
        <f t="shared" si="1"/>
        <v>56206889</v>
      </c>
      <c r="H56" s="8"/>
      <c r="I56" s="8"/>
      <c r="K56" s="8"/>
    </row>
    <row r="57" spans="1:11" ht="21" customHeight="1">
      <c r="A57" s="191"/>
      <c r="B57" s="191"/>
      <c r="C57" s="511" t="s">
        <v>828</v>
      </c>
      <c r="D57" s="1267">
        <v>12011138</v>
      </c>
      <c r="E57" s="1268"/>
      <c r="F57" s="1268">
        <v>330591</v>
      </c>
      <c r="G57" s="1268">
        <f t="shared" si="1"/>
        <v>12341729</v>
      </c>
      <c r="H57" s="8"/>
      <c r="I57" s="8"/>
      <c r="K57" s="8"/>
    </row>
    <row r="58" spans="1:11" ht="17.25" customHeight="1">
      <c r="A58" s="191"/>
      <c r="B58" s="191"/>
      <c r="C58" s="901" t="s">
        <v>544</v>
      </c>
      <c r="D58" s="1274">
        <v>995141</v>
      </c>
      <c r="E58" s="990"/>
      <c r="F58" s="990">
        <v>259600</v>
      </c>
      <c r="G58" s="990">
        <f>D58-E58+F58</f>
        <v>1254741</v>
      </c>
      <c r="H58" s="8"/>
      <c r="I58" s="8"/>
      <c r="K58" s="8"/>
    </row>
    <row r="59" spans="1:11" ht="18" customHeight="1">
      <c r="A59" s="191"/>
      <c r="B59" s="191"/>
      <c r="C59" s="473" t="s">
        <v>921</v>
      </c>
      <c r="D59" s="452">
        <v>10835830</v>
      </c>
      <c r="E59" s="631"/>
      <c r="F59" s="631">
        <v>76885</v>
      </c>
      <c r="G59" s="631">
        <f t="shared" si="1"/>
        <v>10912715</v>
      </c>
      <c r="H59" s="8"/>
      <c r="I59" s="8"/>
      <c r="K59" s="8"/>
    </row>
    <row r="60" spans="1:11" ht="18" customHeight="1">
      <c r="A60" s="191"/>
      <c r="B60" s="191"/>
      <c r="C60" s="511" t="s">
        <v>922</v>
      </c>
      <c r="D60" s="1267">
        <v>382597</v>
      </c>
      <c r="E60" s="1268">
        <v>6553</v>
      </c>
      <c r="F60" s="1268"/>
      <c r="G60" s="1268">
        <f t="shared" si="1"/>
        <v>376044</v>
      </c>
      <c r="H60" s="8"/>
      <c r="I60" s="8"/>
      <c r="K60" s="8"/>
    </row>
    <row r="61" spans="1:11" ht="18" customHeight="1">
      <c r="A61" s="191"/>
      <c r="B61" s="191"/>
      <c r="C61" s="901" t="s">
        <v>542</v>
      </c>
      <c r="D61" s="1274">
        <v>306364</v>
      </c>
      <c r="E61" s="990">
        <v>10831</v>
      </c>
      <c r="F61" s="990"/>
      <c r="G61" s="990">
        <f t="shared" si="1"/>
        <v>295533</v>
      </c>
      <c r="H61" s="8"/>
      <c r="I61" s="8"/>
      <c r="K61" s="8"/>
    </row>
    <row r="62" spans="1:11" ht="18" customHeight="1">
      <c r="A62" s="191"/>
      <c r="B62" s="191"/>
      <c r="C62" s="473" t="s">
        <v>495</v>
      </c>
      <c r="D62" s="452">
        <v>10139649</v>
      </c>
      <c r="E62" s="631">
        <v>421200</v>
      </c>
      <c r="F62" s="631"/>
      <c r="G62" s="631">
        <f t="shared" si="1"/>
        <v>9718449</v>
      </c>
      <c r="H62" s="8"/>
      <c r="I62" s="8"/>
      <c r="K62" s="8"/>
    </row>
    <row r="63" spans="1:11" ht="18.75" customHeight="1">
      <c r="A63" s="191"/>
      <c r="B63" s="203">
        <v>80102</v>
      </c>
      <c r="C63" s="203" t="s">
        <v>446</v>
      </c>
      <c r="D63" s="252">
        <v>5859950</v>
      </c>
      <c r="E63" s="552"/>
      <c r="F63" s="552">
        <f>F64+F65+F66</f>
        <v>102495</v>
      </c>
      <c r="G63" s="552">
        <f t="shared" si="1"/>
        <v>5962445</v>
      </c>
      <c r="H63" s="8"/>
      <c r="I63" s="8"/>
      <c r="K63" s="8"/>
    </row>
    <row r="64" spans="1:11" ht="18.75" customHeight="1">
      <c r="A64" s="191"/>
      <c r="B64" s="191"/>
      <c r="C64" s="195" t="s">
        <v>747</v>
      </c>
      <c r="D64" s="602">
        <v>4505180</v>
      </c>
      <c r="E64" s="543"/>
      <c r="F64" s="543">
        <v>77700</v>
      </c>
      <c r="G64" s="543">
        <f t="shared" si="1"/>
        <v>4582880</v>
      </c>
      <c r="H64" s="8"/>
      <c r="I64" s="8"/>
      <c r="K64" s="8"/>
    </row>
    <row r="65" spans="1:11" ht="18.75" customHeight="1">
      <c r="A65" s="191"/>
      <c r="B65" s="191"/>
      <c r="C65" s="980" t="s">
        <v>828</v>
      </c>
      <c r="D65" s="1277">
        <v>490000</v>
      </c>
      <c r="E65" s="1278"/>
      <c r="F65" s="1278">
        <v>12916</v>
      </c>
      <c r="G65" s="1278">
        <f t="shared" si="1"/>
        <v>502916</v>
      </c>
      <c r="H65" s="8"/>
      <c r="I65" s="8"/>
      <c r="K65" s="8"/>
    </row>
    <row r="66" spans="1:11" ht="18.75" customHeight="1">
      <c r="A66" s="191"/>
      <c r="B66" s="191"/>
      <c r="C66" s="1279" t="s">
        <v>921</v>
      </c>
      <c r="D66" s="1270">
        <v>864770</v>
      </c>
      <c r="E66" s="1271"/>
      <c r="F66" s="1271">
        <v>11879</v>
      </c>
      <c r="G66" s="1271">
        <f t="shared" si="1"/>
        <v>876649</v>
      </c>
      <c r="H66" s="8"/>
      <c r="I66" s="8"/>
      <c r="K66" s="8"/>
    </row>
    <row r="67" spans="1:11" ht="18.75" customHeight="1">
      <c r="A67" s="191"/>
      <c r="B67" s="203">
        <v>80103</v>
      </c>
      <c r="C67" s="203" t="s">
        <v>923</v>
      </c>
      <c r="D67" s="252">
        <v>1585480</v>
      </c>
      <c r="E67" s="552">
        <f>E68</f>
        <v>7668</v>
      </c>
      <c r="F67" s="552">
        <f>F69+F70</f>
        <v>11343</v>
      </c>
      <c r="G67" s="552">
        <f t="shared" si="1"/>
        <v>1589155</v>
      </c>
      <c r="H67" s="8"/>
      <c r="I67" s="8"/>
      <c r="K67" s="8"/>
    </row>
    <row r="68" spans="1:11" ht="18.75" customHeight="1">
      <c r="A68" s="191"/>
      <c r="B68" s="191"/>
      <c r="C68" s="829" t="s">
        <v>747</v>
      </c>
      <c r="D68" s="602">
        <v>1190970</v>
      </c>
      <c r="E68" s="543">
        <v>7668</v>
      </c>
      <c r="F68" s="543"/>
      <c r="G68" s="543">
        <f t="shared" si="1"/>
        <v>1183302</v>
      </c>
      <c r="H68" s="8"/>
      <c r="I68" s="8"/>
      <c r="K68" s="8"/>
    </row>
    <row r="69" spans="1:11" ht="18.75" customHeight="1">
      <c r="A69" s="191"/>
      <c r="B69" s="191"/>
      <c r="C69" s="446" t="s">
        <v>828</v>
      </c>
      <c r="D69" s="452">
        <v>162200</v>
      </c>
      <c r="E69" s="631"/>
      <c r="F69" s="631">
        <v>5378</v>
      </c>
      <c r="G69" s="631">
        <f t="shared" si="1"/>
        <v>167578</v>
      </c>
      <c r="H69" s="8"/>
      <c r="I69" s="8"/>
      <c r="K69" s="8"/>
    </row>
    <row r="70" spans="1:11" ht="18.75" customHeight="1">
      <c r="A70" s="191"/>
      <c r="B70" s="191"/>
      <c r="C70" s="1279" t="s">
        <v>921</v>
      </c>
      <c r="D70" s="1270">
        <v>232310</v>
      </c>
      <c r="E70" s="1271"/>
      <c r="F70" s="1271">
        <v>5965</v>
      </c>
      <c r="G70" s="1271">
        <f t="shared" si="1"/>
        <v>238275</v>
      </c>
      <c r="H70" s="8"/>
      <c r="I70" s="8"/>
      <c r="K70" s="8"/>
    </row>
    <row r="71" spans="1:11" ht="18.75" customHeight="1">
      <c r="A71" s="191"/>
      <c r="B71" s="203">
        <v>80104</v>
      </c>
      <c r="C71" s="203" t="s">
        <v>12</v>
      </c>
      <c r="D71" s="252">
        <v>46699011</v>
      </c>
      <c r="E71" s="552">
        <f>E74</f>
        <v>317620</v>
      </c>
      <c r="F71" s="552">
        <f>F72</f>
        <v>317620</v>
      </c>
      <c r="G71" s="552">
        <f t="shared" si="1"/>
        <v>46699011</v>
      </c>
      <c r="H71" s="8"/>
      <c r="I71" s="8"/>
      <c r="K71" s="8"/>
    </row>
    <row r="72" spans="1:11" ht="18.75" customHeight="1">
      <c r="A72" s="191"/>
      <c r="B72" s="191"/>
      <c r="C72" s="829" t="s">
        <v>828</v>
      </c>
      <c r="D72" s="602">
        <v>6301779</v>
      </c>
      <c r="E72" s="543"/>
      <c r="F72" s="543">
        <v>317620</v>
      </c>
      <c r="G72" s="543">
        <f t="shared" si="1"/>
        <v>6619399</v>
      </c>
      <c r="H72" s="8"/>
      <c r="I72" s="8"/>
      <c r="K72" s="8"/>
    </row>
    <row r="73" spans="1:11" ht="18.75" customHeight="1">
      <c r="A73" s="191"/>
      <c r="B73" s="191"/>
      <c r="C73" s="1300" t="s">
        <v>544</v>
      </c>
      <c r="D73" s="1274">
        <v>248034</v>
      </c>
      <c r="E73" s="990"/>
      <c r="F73" s="990">
        <f>317620-3451</f>
        <v>314169</v>
      </c>
      <c r="G73" s="990">
        <f t="shared" si="1"/>
        <v>562203</v>
      </c>
      <c r="H73" s="8"/>
      <c r="I73" s="8"/>
      <c r="K73" s="8"/>
    </row>
    <row r="74" spans="1:11" ht="18.75" customHeight="1">
      <c r="A74" s="201"/>
      <c r="B74" s="201"/>
      <c r="C74" s="960" t="s">
        <v>495</v>
      </c>
      <c r="D74" s="737">
        <v>781232</v>
      </c>
      <c r="E74" s="1275">
        <v>317620</v>
      </c>
      <c r="F74" s="1275"/>
      <c r="G74" s="1275">
        <f aca="true" t="shared" si="2" ref="G74:G98">D74-E74+F74</f>
        <v>463612</v>
      </c>
      <c r="H74" s="8"/>
      <c r="I74" s="8"/>
      <c r="K74" s="8"/>
    </row>
    <row r="75" spans="1:11" ht="18.75" customHeight="1">
      <c r="A75" s="191"/>
      <c r="B75" s="193">
        <v>80105</v>
      </c>
      <c r="C75" s="193" t="s">
        <v>447</v>
      </c>
      <c r="D75" s="361">
        <v>1468200</v>
      </c>
      <c r="E75" s="604">
        <f>E77</f>
        <v>581</v>
      </c>
      <c r="F75" s="604">
        <f>F76+F77+F78</f>
        <v>4492</v>
      </c>
      <c r="G75" s="604">
        <f t="shared" si="2"/>
        <v>1472111</v>
      </c>
      <c r="H75" s="8"/>
      <c r="I75" s="8"/>
      <c r="K75" s="8"/>
    </row>
    <row r="76" spans="1:11" ht="18.75" customHeight="1">
      <c r="A76" s="191"/>
      <c r="B76" s="191"/>
      <c r="C76" s="829" t="s">
        <v>747</v>
      </c>
      <c r="D76" s="602">
        <v>1118200</v>
      </c>
      <c r="E76" s="543"/>
      <c r="F76" s="543">
        <v>2202</v>
      </c>
      <c r="G76" s="543">
        <f t="shared" si="2"/>
        <v>1120402</v>
      </c>
      <c r="H76" s="8"/>
      <c r="I76" s="8"/>
      <c r="K76" s="8"/>
    </row>
    <row r="77" spans="1:11" ht="18.75" customHeight="1">
      <c r="A77" s="191"/>
      <c r="B77" s="191"/>
      <c r="C77" s="495" t="s">
        <v>828</v>
      </c>
      <c r="D77" s="1267">
        <v>150000</v>
      </c>
      <c r="E77" s="1268">
        <v>581</v>
      </c>
      <c r="F77" s="1268"/>
      <c r="G77" s="1268">
        <f t="shared" si="2"/>
        <v>149419</v>
      </c>
      <c r="H77" s="8"/>
      <c r="I77" s="8"/>
      <c r="K77" s="8"/>
    </row>
    <row r="78" spans="1:11" ht="18.75" customHeight="1">
      <c r="A78" s="191"/>
      <c r="B78" s="201"/>
      <c r="C78" s="960" t="s">
        <v>921</v>
      </c>
      <c r="D78" s="737">
        <v>200000</v>
      </c>
      <c r="E78" s="1275"/>
      <c r="F78" s="1275">
        <v>2290</v>
      </c>
      <c r="G78" s="1275">
        <f t="shared" si="2"/>
        <v>202290</v>
      </c>
      <c r="H78" s="8"/>
      <c r="I78" s="8"/>
      <c r="K78" s="8"/>
    </row>
    <row r="79" spans="1:11" ht="18.75" customHeight="1">
      <c r="A79" s="191"/>
      <c r="B79" s="193">
        <v>80110</v>
      </c>
      <c r="C79" s="193" t="s">
        <v>502</v>
      </c>
      <c r="D79" s="361">
        <v>50664583</v>
      </c>
      <c r="E79" s="604">
        <f>E80+E81+E83+E84</f>
        <v>158010</v>
      </c>
      <c r="F79" s="604">
        <f>F80+F81+F83+F84</f>
        <v>377128</v>
      </c>
      <c r="G79" s="604">
        <f t="shared" si="2"/>
        <v>50883701</v>
      </c>
      <c r="H79" s="8"/>
      <c r="I79" s="8"/>
      <c r="K79" s="8"/>
    </row>
    <row r="80" spans="1:11" ht="18.75" customHeight="1">
      <c r="A80" s="191"/>
      <c r="B80" s="191"/>
      <c r="C80" s="829" t="s">
        <v>747</v>
      </c>
      <c r="D80" s="602">
        <v>33137514</v>
      </c>
      <c r="E80" s="543"/>
      <c r="F80" s="543">
        <v>205478</v>
      </c>
      <c r="G80" s="543">
        <f t="shared" si="2"/>
        <v>33342992</v>
      </c>
      <c r="H80" s="8"/>
      <c r="I80" s="8"/>
      <c r="K80" s="8"/>
    </row>
    <row r="81" spans="1:11" ht="18.75" customHeight="1">
      <c r="A81" s="191"/>
      <c r="B81" s="191"/>
      <c r="C81" s="446" t="s">
        <v>828</v>
      </c>
      <c r="D81" s="452">
        <v>6639486</v>
      </c>
      <c r="E81" s="631"/>
      <c r="F81" s="631">
        <v>171650</v>
      </c>
      <c r="G81" s="631">
        <f t="shared" si="2"/>
        <v>6811136</v>
      </c>
      <c r="H81" s="8"/>
      <c r="I81" s="8"/>
      <c r="K81" s="8"/>
    </row>
    <row r="82" spans="1:11" ht="18.75" customHeight="1">
      <c r="A82" s="191"/>
      <c r="B82" s="191"/>
      <c r="C82" s="1280" t="s">
        <v>544</v>
      </c>
      <c r="D82" s="1274">
        <v>818534</v>
      </c>
      <c r="E82" s="990"/>
      <c r="F82" s="990">
        <f>116000-1390</f>
        <v>114610</v>
      </c>
      <c r="G82" s="990">
        <f t="shared" si="2"/>
        <v>933144</v>
      </c>
      <c r="H82" s="8"/>
      <c r="I82" s="8"/>
      <c r="K82" s="8"/>
    </row>
    <row r="83" spans="1:11" ht="18.75" customHeight="1">
      <c r="A83" s="191"/>
      <c r="B83" s="191"/>
      <c r="C83" s="1281" t="s">
        <v>921</v>
      </c>
      <c r="D83" s="1282">
        <v>6398200</v>
      </c>
      <c r="E83" s="1283">
        <v>42010</v>
      </c>
      <c r="F83" s="1283"/>
      <c r="G83" s="1283">
        <f t="shared" si="2"/>
        <v>6356190</v>
      </c>
      <c r="H83" s="8"/>
      <c r="I83" s="8"/>
      <c r="K83" s="8"/>
    </row>
    <row r="84" spans="1:11" ht="18.75" customHeight="1">
      <c r="A84" s="191"/>
      <c r="B84" s="191"/>
      <c r="C84" s="1269" t="s">
        <v>495</v>
      </c>
      <c r="D84" s="1270">
        <v>1677438</v>
      </c>
      <c r="E84" s="1271">
        <v>116000</v>
      </c>
      <c r="F84" s="1271"/>
      <c r="G84" s="1271">
        <f t="shared" si="2"/>
        <v>1561438</v>
      </c>
      <c r="H84" s="8"/>
      <c r="I84" s="8"/>
      <c r="K84" s="8"/>
    </row>
    <row r="85" spans="1:11" ht="18.75" customHeight="1">
      <c r="A85" s="191"/>
      <c r="B85" s="203">
        <v>80111</v>
      </c>
      <c r="C85" s="203" t="s">
        <v>605</v>
      </c>
      <c r="D85" s="252">
        <v>4091000</v>
      </c>
      <c r="E85" s="552">
        <f>E88</f>
        <v>4000</v>
      </c>
      <c r="F85" s="552">
        <f>F86+F87+F88</f>
        <v>114948</v>
      </c>
      <c r="G85" s="552">
        <f t="shared" si="2"/>
        <v>4201948</v>
      </c>
      <c r="H85" s="8"/>
      <c r="I85" s="8"/>
      <c r="K85" s="8"/>
    </row>
    <row r="86" spans="1:11" ht="18.75" customHeight="1">
      <c r="A86" s="191"/>
      <c r="B86" s="191"/>
      <c r="C86" s="829" t="s">
        <v>747</v>
      </c>
      <c r="D86" s="602">
        <v>3135300</v>
      </c>
      <c r="E86" s="543"/>
      <c r="F86" s="543">
        <v>92200</v>
      </c>
      <c r="G86" s="543">
        <f t="shared" si="2"/>
        <v>3227500</v>
      </c>
      <c r="H86" s="8"/>
      <c r="I86" s="8"/>
      <c r="K86" s="8"/>
    </row>
    <row r="87" spans="1:11" ht="18.75" customHeight="1">
      <c r="A87" s="191"/>
      <c r="B87" s="191"/>
      <c r="C87" s="446" t="s">
        <v>828</v>
      </c>
      <c r="D87" s="452">
        <v>320000</v>
      </c>
      <c r="E87" s="631"/>
      <c r="F87" s="631">
        <v>22748</v>
      </c>
      <c r="G87" s="631">
        <f t="shared" si="2"/>
        <v>342748</v>
      </c>
      <c r="H87" s="8"/>
      <c r="I87" s="8"/>
      <c r="K87" s="8"/>
    </row>
    <row r="88" spans="1:11" ht="18.75" customHeight="1">
      <c r="A88" s="191"/>
      <c r="B88" s="191"/>
      <c r="C88" s="1279" t="s">
        <v>921</v>
      </c>
      <c r="D88" s="1270">
        <v>635700</v>
      </c>
      <c r="E88" s="1271">
        <v>4000</v>
      </c>
      <c r="F88" s="1271"/>
      <c r="G88" s="1271">
        <f t="shared" si="2"/>
        <v>631700</v>
      </c>
      <c r="H88" s="8"/>
      <c r="I88" s="8"/>
      <c r="K88" s="8"/>
    </row>
    <row r="89" spans="1:11" ht="18.75" customHeight="1">
      <c r="A89" s="191"/>
      <c r="B89" s="203">
        <v>80113</v>
      </c>
      <c r="C89" s="193" t="s">
        <v>924</v>
      </c>
      <c r="D89" s="361">
        <v>535372</v>
      </c>
      <c r="E89" s="604"/>
      <c r="F89" s="604">
        <f>F90</f>
        <v>12039</v>
      </c>
      <c r="G89" s="604">
        <f t="shared" si="2"/>
        <v>547411</v>
      </c>
      <c r="H89" s="8"/>
      <c r="I89" s="8"/>
      <c r="K89" s="8"/>
    </row>
    <row r="90" spans="1:11" ht="18.75" customHeight="1">
      <c r="A90" s="191"/>
      <c r="B90" s="973"/>
      <c r="C90" s="973" t="s">
        <v>925</v>
      </c>
      <c r="D90" s="391">
        <v>535372</v>
      </c>
      <c r="E90" s="625"/>
      <c r="F90" s="625">
        <v>12039</v>
      </c>
      <c r="G90" s="625">
        <f t="shared" si="2"/>
        <v>547411</v>
      </c>
      <c r="H90" s="8"/>
      <c r="I90" s="8"/>
      <c r="K90" s="8"/>
    </row>
    <row r="91" spans="1:11" ht="18.75" customHeight="1">
      <c r="A91" s="191"/>
      <c r="B91" s="203">
        <v>80120</v>
      </c>
      <c r="C91" s="203" t="s">
        <v>500</v>
      </c>
      <c r="D91" s="252">
        <v>46093648</v>
      </c>
      <c r="E91" s="552"/>
      <c r="F91" s="552">
        <f>F92+F93+F95</f>
        <v>499550</v>
      </c>
      <c r="G91" s="552">
        <f t="shared" si="2"/>
        <v>46593198</v>
      </c>
      <c r="H91" s="8"/>
      <c r="I91" s="8"/>
      <c r="K91" s="8"/>
    </row>
    <row r="92" spans="1:11" ht="18.75" customHeight="1">
      <c r="A92" s="191"/>
      <c r="B92" s="191"/>
      <c r="C92" s="829" t="s">
        <v>747</v>
      </c>
      <c r="D92" s="602">
        <v>30523738</v>
      </c>
      <c r="E92" s="543"/>
      <c r="F92" s="543">
        <v>198180</v>
      </c>
      <c r="G92" s="543">
        <f t="shared" si="2"/>
        <v>30721918</v>
      </c>
      <c r="H92" s="8"/>
      <c r="I92" s="8"/>
      <c r="K92" s="8"/>
    </row>
    <row r="93" spans="1:11" ht="18.75" customHeight="1">
      <c r="A93" s="191"/>
      <c r="B93" s="191"/>
      <c r="C93" s="446" t="s">
        <v>828</v>
      </c>
      <c r="D93" s="452">
        <v>4983751</v>
      </c>
      <c r="E93" s="631"/>
      <c r="F93" s="631">
        <v>141150</v>
      </c>
      <c r="G93" s="631">
        <f t="shared" si="2"/>
        <v>5124901</v>
      </c>
      <c r="H93" s="8"/>
      <c r="I93" s="8"/>
      <c r="K93" s="8"/>
    </row>
    <row r="94" spans="1:11" ht="18.75" customHeight="1">
      <c r="A94" s="191"/>
      <c r="B94" s="191"/>
      <c r="C94" s="1284" t="s">
        <v>544</v>
      </c>
      <c r="D94" s="1285">
        <v>320126</v>
      </c>
      <c r="E94" s="1286"/>
      <c r="F94" s="1286">
        <v>80000</v>
      </c>
      <c r="G94" s="1286">
        <f t="shared" si="2"/>
        <v>400126</v>
      </c>
      <c r="H94" s="8"/>
      <c r="I94" s="8"/>
      <c r="K94" s="8"/>
    </row>
    <row r="95" spans="1:11" ht="18.75" customHeight="1">
      <c r="A95" s="191"/>
      <c r="B95" s="201"/>
      <c r="C95" s="1287" t="s">
        <v>921</v>
      </c>
      <c r="D95" s="1288">
        <v>5733550</v>
      </c>
      <c r="E95" s="1289"/>
      <c r="F95" s="1289">
        <v>160220</v>
      </c>
      <c r="G95" s="1289">
        <f t="shared" si="2"/>
        <v>5893770</v>
      </c>
      <c r="H95" s="8"/>
      <c r="I95" s="8"/>
      <c r="K95" s="8"/>
    </row>
    <row r="96" spans="1:11" ht="18.75" customHeight="1">
      <c r="A96" s="864"/>
      <c r="B96" s="203">
        <v>80121</v>
      </c>
      <c r="C96" s="203" t="s">
        <v>606</v>
      </c>
      <c r="D96" s="252">
        <v>1322000</v>
      </c>
      <c r="E96" s="552">
        <f>E97+E98+E99</f>
        <v>272512</v>
      </c>
      <c r="F96" s="552"/>
      <c r="G96" s="552">
        <f t="shared" si="2"/>
        <v>1049488</v>
      </c>
      <c r="H96" s="8"/>
      <c r="I96" s="8"/>
      <c r="K96" s="8"/>
    </row>
    <row r="97" spans="1:11" ht="18.75" customHeight="1">
      <c r="A97" s="191"/>
      <c r="B97" s="191"/>
      <c r="C97" s="829" t="s">
        <v>747</v>
      </c>
      <c r="D97" s="602">
        <v>1015400</v>
      </c>
      <c r="E97" s="543">
        <v>221239</v>
      </c>
      <c r="F97" s="543"/>
      <c r="G97" s="543">
        <f t="shared" si="2"/>
        <v>794161</v>
      </c>
      <c r="H97" s="8"/>
      <c r="I97" s="8"/>
      <c r="K97" s="8"/>
    </row>
    <row r="98" spans="1:11" ht="18.75" customHeight="1">
      <c r="A98" s="191"/>
      <c r="B98" s="191"/>
      <c r="C98" s="446" t="s">
        <v>828</v>
      </c>
      <c r="D98" s="452">
        <v>110000</v>
      </c>
      <c r="E98" s="631">
        <v>16443</v>
      </c>
      <c r="F98" s="631"/>
      <c r="G98" s="631">
        <f t="shared" si="2"/>
        <v>93557</v>
      </c>
      <c r="H98" s="8"/>
      <c r="I98" s="8"/>
      <c r="K98" s="8"/>
    </row>
    <row r="99" spans="1:11" ht="18.75" customHeight="1">
      <c r="A99" s="191"/>
      <c r="B99" s="191"/>
      <c r="C99" s="1279" t="s">
        <v>921</v>
      </c>
      <c r="D99" s="1270">
        <v>196600</v>
      </c>
      <c r="E99" s="1271">
        <v>34830</v>
      </c>
      <c r="F99" s="1271"/>
      <c r="G99" s="1271">
        <f>D99-E99+F99</f>
        <v>161770</v>
      </c>
      <c r="H99" s="8"/>
      <c r="I99" s="8"/>
      <c r="K99" s="8"/>
    </row>
    <row r="100" spans="1:11" ht="18.75" customHeight="1">
      <c r="A100" s="191"/>
      <c r="B100" s="203">
        <v>80123</v>
      </c>
      <c r="C100" s="203" t="s">
        <v>926</v>
      </c>
      <c r="D100" s="252">
        <v>8353776</v>
      </c>
      <c r="E100" s="552">
        <f>E101</f>
        <v>20160</v>
      </c>
      <c r="F100" s="552">
        <f>F102+F103</f>
        <v>15160</v>
      </c>
      <c r="G100" s="552">
        <f>D100-E100+F100</f>
        <v>8348776</v>
      </c>
      <c r="H100" s="8"/>
      <c r="I100" s="8"/>
      <c r="K100" s="8"/>
    </row>
    <row r="101" spans="1:11" ht="18.75" customHeight="1">
      <c r="A101" s="191"/>
      <c r="B101" s="191"/>
      <c r="C101" s="829" t="s">
        <v>747</v>
      </c>
      <c r="D101" s="602">
        <v>6150853</v>
      </c>
      <c r="E101" s="543">
        <v>20160</v>
      </c>
      <c r="F101" s="543"/>
      <c r="G101" s="543">
        <f>D101-E101+F101</f>
        <v>6130693</v>
      </c>
      <c r="H101" s="8"/>
      <c r="I101" s="8"/>
      <c r="K101" s="8"/>
    </row>
    <row r="102" spans="1:11" ht="18.75" customHeight="1">
      <c r="A102" s="191"/>
      <c r="B102" s="191"/>
      <c r="C102" s="446" t="s">
        <v>828</v>
      </c>
      <c r="D102" s="452">
        <v>618500</v>
      </c>
      <c r="E102" s="631"/>
      <c r="F102" s="631">
        <v>10310</v>
      </c>
      <c r="G102" s="631">
        <f>D102-E102+F102</f>
        <v>628810</v>
      </c>
      <c r="H102" s="8"/>
      <c r="I102" s="8"/>
      <c r="K102" s="8"/>
    </row>
    <row r="103" spans="1:11" ht="18.75" customHeight="1">
      <c r="A103" s="191"/>
      <c r="B103" s="191"/>
      <c r="C103" s="1279" t="s">
        <v>921</v>
      </c>
      <c r="D103" s="1270">
        <v>1184402</v>
      </c>
      <c r="E103" s="1271"/>
      <c r="F103" s="1271">
        <v>4850</v>
      </c>
      <c r="G103" s="1271">
        <f>D103-E103+F103</f>
        <v>1189252</v>
      </c>
      <c r="H103" s="8"/>
      <c r="I103" s="8"/>
      <c r="K103" s="8"/>
    </row>
    <row r="104" spans="1:11" ht="21" customHeight="1">
      <c r="A104" s="191"/>
      <c r="B104" s="203">
        <v>80130</v>
      </c>
      <c r="C104" s="203" t="s">
        <v>14</v>
      </c>
      <c r="D104" s="252">
        <v>45082736</v>
      </c>
      <c r="E104" s="552">
        <f>E105+E106+E108+E109</f>
        <v>300660</v>
      </c>
      <c r="F104" s="552">
        <f>F105+F106+F108+F109</f>
        <v>27470</v>
      </c>
      <c r="G104" s="552">
        <f aca="true" t="shared" si="3" ref="G104:G109">D104-E104+F104</f>
        <v>44809546</v>
      </c>
      <c r="H104" s="8"/>
      <c r="I104" s="8"/>
      <c r="K104" s="8"/>
    </row>
    <row r="105" spans="1:11" ht="18.75" customHeight="1">
      <c r="A105" s="201"/>
      <c r="B105" s="193"/>
      <c r="C105" s="1276" t="s">
        <v>747</v>
      </c>
      <c r="D105" s="391">
        <v>26280167</v>
      </c>
      <c r="E105" s="625">
        <v>300660</v>
      </c>
      <c r="F105" s="625"/>
      <c r="G105" s="625">
        <f t="shared" si="3"/>
        <v>25979507</v>
      </c>
      <c r="H105" s="8"/>
      <c r="I105" s="8"/>
      <c r="K105" s="8"/>
    </row>
    <row r="106" spans="1:11" ht="18.75" customHeight="1">
      <c r="A106" s="191"/>
      <c r="B106" s="191"/>
      <c r="C106" s="424" t="s">
        <v>828</v>
      </c>
      <c r="D106" s="442">
        <v>5353490</v>
      </c>
      <c r="E106" s="106"/>
      <c r="F106" s="106">
        <v>5080</v>
      </c>
      <c r="G106" s="106">
        <f t="shared" si="3"/>
        <v>5358570</v>
      </c>
      <c r="H106" s="8"/>
      <c r="I106" s="8"/>
      <c r="K106" s="8"/>
    </row>
    <row r="107" spans="1:11" ht="19.5" customHeight="1">
      <c r="A107" s="191"/>
      <c r="B107" s="191"/>
      <c r="C107" s="901" t="s">
        <v>544</v>
      </c>
      <c r="D107" s="1274">
        <v>496832</v>
      </c>
      <c r="E107" s="990"/>
      <c r="F107" s="990">
        <v>75000</v>
      </c>
      <c r="G107" s="990">
        <f t="shared" si="3"/>
        <v>571832</v>
      </c>
      <c r="H107" s="8"/>
      <c r="I107" s="8"/>
      <c r="K107" s="8"/>
    </row>
    <row r="108" spans="1:11" ht="18.75" customHeight="1">
      <c r="A108" s="191"/>
      <c r="B108" s="191"/>
      <c r="C108" s="1281" t="s">
        <v>921</v>
      </c>
      <c r="D108" s="1282">
        <v>5018172</v>
      </c>
      <c r="E108" s="1283"/>
      <c r="F108" s="1283">
        <v>15790</v>
      </c>
      <c r="G108" s="1283">
        <f t="shared" si="3"/>
        <v>5033962</v>
      </c>
      <c r="H108" s="8"/>
      <c r="I108" s="8"/>
      <c r="K108" s="8"/>
    </row>
    <row r="109" spans="1:11" ht="18.75" customHeight="1">
      <c r="A109" s="191"/>
      <c r="B109" s="201"/>
      <c r="C109" s="1269" t="s">
        <v>495</v>
      </c>
      <c r="D109" s="1270">
        <v>3404000</v>
      </c>
      <c r="E109" s="1271"/>
      <c r="F109" s="1271">
        <v>6600</v>
      </c>
      <c r="G109" s="1271">
        <f t="shared" si="3"/>
        <v>3410600</v>
      </c>
      <c r="H109" s="8"/>
      <c r="I109" s="8"/>
      <c r="K109" s="8"/>
    </row>
    <row r="110" spans="1:11" ht="18.75" customHeight="1">
      <c r="A110" s="191"/>
      <c r="B110" s="203">
        <v>80134</v>
      </c>
      <c r="C110" s="203" t="s">
        <v>607</v>
      </c>
      <c r="D110" s="252">
        <v>4487400</v>
      </c>
      <c r="E110" s="552">
        <f>E111+E112+E113</f>
        <v>69470</v>
      </c>
      <c r="F110" s="552"/>
      <c r="G110" s="552">
        <f aca="true" t="shared" si="4" ref="G110:G116">D110-E110+F110</f>
        <v>4417930</v>
      </c>
      <c r="H110" s="8"/>
      <c r="I110" s="8"/>
      <c r="K110" s="8"/>
    </row>
    <row r="111" spans="1:11" ht="18.75" customHeight="1">
      <c r="A111" s="191"/>
      <c r="B111" s="191"/>
      <c r="C111" s="829" t="s">
        <v>747</v>
      </c>
      <c r="D111" s="602">
        <v>3399500</v>
      </c>
      <c r="E111" s="543">
        <v>44200</v>
      </c>
      <c r="F111" s="543"/>
      <c r="G111" s="543">
        <f t="shared" si="4"/>
        <v>3355300</v>
      </c>
      <c r="H111" s="8"/>
      <c r="I111" s="8"/>
      <c r="K111" s="8"/>
    </row>
    <row r="112" spans="1:11" ht="18.75" customHeight="1">
      <c r="A112" s="191"/>
      <c r="B112" s="191"/>
      <c r="C112" s="446" t="s">
        <v>828</v>
      </c>
      <c r="D112" s="452">
        <v>430000</v>
      </c>
      <c r="E112" s="631">
        <v>5000</v>
      </c>
      <c r="F112" s="631"/>
      <c r="G112" s="631">
        <f t="shared" si="4"/>
        <v>425000</v>
      </c>
      <c r="H112" s="8"/>
      <c r="I112" s="8"/>
      <c r="K112" s="8"/>
    </row>
    <row r="113" spans="1:11" ht="18.75" customHeight="1">
      <c r="A113" s="191"/>
      <c r="B113" s="191"/>
      <c r="C113" s="1279" t="s">
        <v>921</v>
      </c>
      <c r="D113" s="1270">
        <v>657900</v>
      </c>
      <c r="E113" s="1271">
        <v>20270</v>
      </c>
      <c r="F113" s="1271"/>
      <c r="G113" s="1271">
        <f t="shared" si="4"/>
        <v>637630</v>
      </c>
      <c r="H113" s="8"/>
      <c r="I113" s="8"/>
      <c r="K113" s="8"/>
    </row>
    <row r="114" spans="1:11" ht="27" customHeight="1">
      <c r="A114" s="191"/>
      <c r="B114" s="203">
        <v>80140</v>
      </c>
      <c r="C114" s="223" t="s">
        <v>398</v>
      </c>
      <c r="D114" s="252">
        <v>9673115</v>
      </c>
      <c r="E114" s="552">
        <f>E115+E116+E117</f>
        <v>59770</v>
      </c>
      <c r="F114" s="552"/>
      <c r="G114" s="552">
        <f t="shared" si="4"/>
        <v>9613345</v>
      </c>
      <c r="H114" s="8"/>
      <c r="I114" s="8"/>
      <c r="K114" s="8"/>
    </row>
    <row r="115" spans="1:11" ht="18.75" customHeight="1">
      <c r="A115" s="191"/>
      <c r="B115" s="191"/>
      <c r="C115" s="829" t="s">
        <v>747</v>
      </c>
      <c r="D115" s="602">
        <v>6828400</v>
      </c>
      <c r="E115" s="543">
        <v>16770</v>
      </c>
      <c r="F115" s="543"/>
      <c r="G115" s="543">
        <f t="shared" si="4"/>
        <v>6811630</v>
      </c>
      <c r="H115" s="8"/>
      <c r="I115" s="8"/>
      <c r="K115" s="8"/>
    </row>
    <row r="116" spans="1:11" ht="18.75" customHeight="1">
      <c r="A116" s="191"/>
      <c r="B116" s="191"/>
      <c r="C116" s="446" t="s">
        <v>828</v>
      </c>
      <c r="D116" s="452">
        <v>1407619</v>
      </c>
      <c r="E116" s="631">
        <v>3000</v>
      </c>
      <c r="F116" s="631"/>
      <c r="G116" s="631">
        <f t="shared" si="4"/>
        <v>1404619</v>
      </c>
      <c r="H116" s="8"/>
      <c r="I116" s="8"/>
      <c r="K116" s="8"/>
    </row>
    <row r="117" spans="1:11" ht="18.75" customHeight="1">
      <c r="A117" s="191"/>
      <c r="B117" s="191"/>
      <c r="C117" s="1279" t="s">
        <v>921</v>
      </c>
      <c r="D117" s="1270">
        <v>1344446</v>
      </c>
      <c r="E117" s="1271">
        <v>40000</v>
      </c>
      <c r="F117" s="1271"/>
      <c r="G117" s="1271">
        <f aca="true" t="shared" si="5" ref="G117:G132">D117-E117+F117</f>
        <v>1304446</v>
      </c>
      <c r="H117" s="8"/>
      <c r="I117" s="8"/>
      <c r="K117" s="8"/>
    </row>
    <row r="118" spans="1:11" ht="18.75" customHeight="1">
      <c r="A118" s="191"/>
      <c r="B118" s="203">
        <v>80146</v>
      </c>
      <c r="C118" s="203" t="s">
        <v>927</v>
      </c>
      <c r="D118" s="361">
        <v>1500000</v>
      </c>
      <c r="E118" s="604"/>
      <c r="F118" s="604"/>
      <c r="G118" s="552">
        <f t="shared" si="5"/>
        <v>1500000</v>
      </c>
      <c r="H118" s="8"/>
      <c r="I118" s="8"/>
      <c r="K118" s="8"/>
    </row>
    <row r="119" spans="1:11" ht="18.75" customHeight="1">
      <c r="A119" s="191"/>
      <c r="B119" s="191"/>
      <c r="C119" s="511" t="s">
        <v>928</v>
      </c>
      <c r="D119" s="602">
        <v>1500000</v>
      </c>
      <c r="E119" s="543"/>
      <c r="F119" s="543"/>
      <c r="G119" s="543">
        <f t="shared" si="5"/>
        <v>1500000</v>
      </c>
      <c r="H119" s="8"/>
      <c r="I119" s="8"/>
      <c r="K119" s="8"/>
    </row>
    <row r="120" spans="1:11" ht="18.75" customHeight="1">
      <c r="A120" s="191"/>
      <c r="B120" s="191"/>
      <c r="C120" s="189" t="s">
        <v>542</v>
      </c>
      <c r="D120" s="440">
        <v>600840</v>
      </c>
      <c r="E120" s="579">
        <v>4820</v>
      </c>
      <c r="F120" s="579"/>
      <c r="G120" s="579">
        <f t="shared" si="5"/>
        <v>596020</v>
      </c>
      <c r="H120" s="8"/>
      <c r="I120" s="8"/>
      <c r="K120" s="8"/>
    </row>
    <row r="121" spans="1:11" ht="18.75" customHeight="1">
      <c r="A121" s="412">
        <v>851</v>
      </c>
      <c r="B121" s="412"/>
      <c r="C121" s="412" t="s">
        <v>877</v>
      </c>
      <c r="D121" s="244">
        <v>9910000</v>
      </c>
      <c r="E121" s="605"/>
      <c r="F121" s="605"/>
      <c r="G121" s="863">
        <f t="shared" si="5"/>
        <v>9910000</v>
      </c>
      <c r="H121" s="8"/>
      <c r="I121" s="8"/>
      <c r="K121" s="8"/>
    </row>
    <row r="122" spans="1:11" s="13" customFormat="1" ht="18.75" customHeight="1">
      <c r="A122" s="567"/>
      <c r="B122" s="203">
        <v>85121</v>
      </c>
      <c r="C122" s="203" t="s">
        <v>485</v>
      </c>
      <c r="D122" s="763">
        <v>4455000</v>
      </c>
      <c r="E122" s="604"/>
      <c r="F122" s="604"/>
      <c r="G122" s="552">
        <f t="shared" si="5"/>
        <v>4455000</v>
      </c>
      <c r="H122" s="14"/>
      <c r="I122" s="14"/>
      <c r="K122" s="14"/>
    </row>
    <row r="123" spans="1:11" s="13" customFormat="1" ht="29.25" customHeight="1">
      <c r="A123" s="567"/>
      <c r="B123" s="762"/>
      <c r="C123" s="195" t="s">
        <v>512</v>
      </c>
      <c r="D123" s="602">
        <v>2955000</v>
      </c>
      <c r="E123" s="543"/>
      <c r="F123" s="543"/>
      <c r="G123" s="543">
        <f t="shared" si="5"/>
        <v>2955000</v>
      </c>
      <c r="H123" s="14"/>
      <c r="I123" s="14"/>
      <c r="K123" s="14"/>
    </row>
    <row r="124" spans="1:11" s="13" customFormat="1" ht="18.75" customHeight="1">
      <c r="A124" s="567"/>
      <c r="B124" s="567"/>
      <c r="C124" s="10" t="s">
        <v>542</v>
      </c>
      <c r="D124" s="440"/>
      <c r="E124" s="579"/>
      <c r="F124" s="579">
        <v>20000</v>
      </c>
      <c r="G124" s="579">
        <f t="shared" si="5"/>
        <v>20000</v>
      </c>
      <c r="H124" s="14"/>
      <c r="I124" s="14"/>
      <c r="K124" s="14"/>
    </row>
    <row r="125" spans="1:11" ht="18.75" customHeight="1">
      <c r="A125" s="580"/>
      <c r="B125" s="203">
        <v>85149</v>
      </c>
      <c r="C125" s="203" t="s">
        <v>453</v>
      </c>
      <c r="D125" s="361">
        <v>100000</v>
      </c>
      <c r="E125" s="604"/>
      <c r="F125" s="604"/>
      <c r="G125" s="552">
        <f t="shared" si="5"/>
        <v>100000</v>
      </c>
      <c r="H125" s="8"/>
      <c r="I125" s="8"/>
      <c r="K125" s="8"/>
    </row>
    <row r="126" spans="1:11" ht="18.75" customHeight="1">
      <c r="A126" s="580"/>
      <c r="B126" s="191"/>
      <c r="C126" s="195" t="s">
        <v>454</v>
      </c>
      <c r="D126" s="602">
        <v>100000</v>
      </c>
      <c r="E126" s="543"/>
      <c r="F126" s="543"/>
      <c r="G126" s="543">
        <f t="shared" si="5"/>
        <v>100000</v>
      </c>
      <c r="H126" s="8"/>
      <c r="I126" s="8"/>
      <c r="K126" s="8"/>
    </row>
    <row r="127" spans="1:11" ht="18.75" customHeight="1">
      <c r="A127" s="580"/>
      <c r="B127" s="580"/>
      <c r="C127" s="10" t="s">
        <v>542</v>
      </c>
      <c r="D127" s="440"/>
      <c r="E127" s="579"/>
      <c r="F127" s="579">
        <v>5332</v>
      </c>
      <c r="G127" s="579">
        <f t="shared" si="5"/>
        <v>5332</v>
      </c>
      <c r="H127" s="8"/>
      <c r="I127" s="8"/>
      <c r="K127" s="8"/>
    </row>
    <row r="128" spans="1:11" ht="18.75" customHeight="1">
      <c r="A128" s="580"/>
      <c r="B128" s="203">
        <v>85153</v>
      </c>
      <c r="C128" s="203" t="s">
        <v>450</v>
      </c>
      <c r="D128" s="361">
        <v>110000</v>
      </c>
      <c r="E128" s="604"/>
      <c r="F128" s="604"/>
      <c r="G128" s="552">
        <f t="shared" si="5"/>
        <v>110000</v>
      </c>
      <c r="H128" s="8"/>
      <c r="I128" s="8"/>
      <c r="K128" s="8"/>
    </row>
    <row r="129" spans="1:11" ht="28.5" customHeight="1">
      <c r="A129" s="580"/>
      <c r="B129" s="580"/>
      <c r="C129" s="195" t="s">
        <v>451</v>
      </c>
      <c r="D129" s="602">
        <v>110000</v>
      </c>
      <c r="E129" s="543"/>
      <c r="F129" s="543"/>
      <c r="G129" s="543">
        <f t="shared" si="5"/>
        <v>110000</v>
      </c>
      <c r="H129" s="8"/>
      <c r="I129" s="8"/>
      <c r="K129" s="8"/>
    </row>
    <row r="130" spans="1:11" ht="18.75" customHeight="1">
      <c r="A130" s="580"/>
      <c r="B130" s="580"/>
      <c r="C130" s="10" t="s">
        <v>542</v>
      </c>
      <c r="D130" s="440">
        <v>12090</v>
      </c>
      <c r="E130" s="579"/>
      <c r="F130" s="579">
        <v>500</v>
      </c>
      <c r="G130" s="579">
        <f t="shared" si="5"/>
        <v>12590</v>
      </c>
      <c r="H130" s="8"/>
      <c r="I130" s="8"/>
      <c r="K130" s="8"/>
    </row>
    <row r="131" spans="1:11" ht="18.75" customHeight="1">
      <c r="A131" s="580"/>
      <c r="B131" s="203">
        <v>85154</v>
      </c>
      <c r="C131" s="203" t="s">
        <v>878</v>
      </c>
      <c r="D131" s="361">
        <v>4800000</v>
      </c>
      <c r="E131" s="604"/>
      <c r="F131" s="604"/>
      <c r="G131" s="552">
        <f t="shared" si="5"/>
        <v>4800000</v>
      </c>
      <c r="H131" s="8"/>
      <c r="I131" s="8"/>
      <c r="K131" s="8"/>
    </row>
    <row r="132" spans="1:11" ht="26.25" customHeight="1">
      <c r="A132" s="191"/>
      <c r="B132" s="191"/>
      <c r="C132" s="195" t="s">
        <v>513</v>
      </c>
      <c r="D132" s="1273">
        <v>4800000</v>
      </c>
      <c r="E132" s="632"/>
      <c r="F132" s="632"/>
      <c r="G132" s="632">
        <f t="shared" si="5"/>
        <v>4800000</v>
      </c>
      <c r="H132" s="8"/>
      <c r="I132" s="8"/>
      <c r="K132" s="8"/>
    </row>
    <row r="133" spans="1:11" ht="19.5" customHeight="1">
      <c r="A133" s="191"/>
      <c r="B133" s="191"/>
      <c r="C133" s="660" t="s">
        <v>542</v>
      </c>
      <c r="D133" s="1274">
        <v>704258</v>
      </c>
      <c r="E133" s="990"/>
      <c r="F133" s="990">
        <f>24304-51</f>
        <v>24253</v>
      </c>
      <c r="G133" s="990">
        <f>D133-E133+F133</f>
        <v>728511</v>
      </c>
      <c r="H133" s="8"/>
      <c r="I133" s="8"/>
      <c r="K133" s="8"/>
    </row>
    <row r="134" spans="1:11" ht="19.5" customHeight="1">
      <c r="A134" s="201"/>
      <c r="B134" s="201"/>
      <c r="C134" s="10" t="s">
        <v>543</v>
      </c>
      <c r="D134" s="848">
        <v>1065000</v>
      </c>
      <c r="E134" s="1290"/>
      <c r="F134" s="1290">
        <v>30000</v>
      </c>
      <c r="G134" s="1290">
        <f>D134-E134+F134</f>
        <v>1095000</v>
      </c>
      <c r="H134" s="8"/>
      <c r="I134" s="8"/>
      <c r="K134" s="8"/>
    </row>
    <row r="135" spans="1:11" ht="21" customHeight="1">
      <c r="A135" s="191"/>
      <c r="B135" s="193">
        <v>85195</v>
      </c>
      <c r="C135" s="193" t="s">
        <v>829</v>
      </c>
      <c r="D135" s="361">
        <v>445000</v>
      </c>
      <c r="E135" s="604"/>
      <c r="F135" s="604"/>
      <c r="G135" s="604">
        <f aca="true" t="shared" si="6" ref="G135:G144">D135-E135+F135</f>
        <v>445000</v>
      </c>
      <c r="H135" s="8"/>
      <c r="I135" s="8"/>
      <c r="K135" s="8"/>
    </row>
    <row r="136" spans="1:11" ht="28.5" customHeight="1">
      <c r="A136" s="191"/>
      <c r="B136" s="191"/>
      <c r="C136" s="195" t="s">
        <v>547</v>
      </c>
      <c r="D136" s="602">
        <v>425000</v>
      </c>
      <c r="E136" s="543"/>
      <c r="F136" s="543"/>
      <c r="G136" s="543">
        <f t="shared" si="6"/>
        <v>425000</v>
      </c>
      <c r="H136" s="8"/>
      <c r="I136" s="8"/>
      <c r="K136" s="8"/>
    </row>
    <row r="137" spans="1:11" ht="18.75" customHeight="1">
      <c r="A137" s="201"/>
      <c r="B137" s="201"/>
      <c r="C137" s="10" t="s">
        <v>542</v>
      </c>
      <c r="D137" s="440">
        <v>6120</v>
      </c>
      <c r="E137" s="402"/>
      <c r="F137" s="402">
        <f>7920-371</f>
        <v>7549</v>
      </c>
      <c r="G137" s="402">
        <f t="shared" si="6"/>
        <v>13669</v>
      </c>
      <c r="H137" s="8"/>
      <c r="I137" s="8"/>
      <c r="K137" s="8"/>
    </row>
    <row r="138" spans="1:7" ht="20.25" customHeight="1">
      <c r="A138" s="412">
        <v>852</v>
      </c>
      <c r="B138" s="412"/>
      <c r="C138" s="412" t="s">
        <v>746</v>
      </c>
      <c r="D138" s="390">
        <v>87638430</v>
      </c>
      <c r="E138" s="650">
        <f>E139+E143+E145</f>
        <v>1101700</v>
      </c>
      <c r="F138" s="650">
        <f>F139+F143+F145</f>
        <v>444628</v>
      </c>
      <c r="G138" s="650">
        <f t="shared" si="6"/>
        <v>86981358</v>
      </c>
    </row>
    <row r="139" spans="1:7" ht="19.5" customHeight="1">
      <c r="A139" s="580"/>
      <c r="B139" s="193">
        <v>85202</v>
      </c>
      <c r="C139" s="193" t="s">
        <v>497</v>
      </c>
      <c r="D139" s="582">
        <v>15089892</v>
      </c>
      <c r="E139" s="582">
        <f>E140</f>
        <v>1700</v>
      </c>
      <c r="F139" s="582">
        <f>F142</f>
        <v>1700</v>
      </c>
      <c r="G139" s="582">
        <f t="shared" si="6"/>
        <v>15089892</v>
      </c>
    </row>
    <row r="140" spans="1:7" ht="19.5" customHeight="1">
      <c r="A140" s="580"/>
      <c r="B140" s="583"/>
      <c r="C140" s="496" t="s">
        <v>828</v>
      </c>
      <c r="D140" s="602">
        <v>3745400</v>
      </c>
      <c r="E140" s="578">
        <v>1700</v>
      </c>
      <c r="F140" s="578"/>
      <c r="G140" s="578">
        <f t="shared" si="6"/>
        <v>3743700</v>
      </c>
    </row>
    <row r="141" spans="1:7" ht="19.5" customHeight="1">
      <c r="A141" s="580"/>
      <c r="B141" s="580"/>
      <c r="C141" s="660" t="s">
        <v>544</v>
      </c>
      <c r="D141" s="846">
        <v>60000</v>
      </c>
      <c r="E141" s="847">
        <v>12700</v>
      </c>
      <c r="F141" s="847"/>
      <c r="G141" s="847">
        <f t="shared" si="6"/>
        <v>47300</v>
      </c>
    </row>
    <row r="142" spans="1:7" ht="19.5" customHeight="1">
      <c r="A142" s="580"/>
      <c r="B142" s="580"/>
      <c r="C142" s="191" t="s">
        <v>495</v>
      </c>
      <c r="D142" s="442">
        <v>1747292</v>
      </c>
      <c r="E142" s="965"/>
      <c r="F142" s="965">
        <v>1700</v>
      </c>
      <c r="G142" s="965">
        <f t="shared" si="6"/>
        <v>1748992</v>
      </c>
    </row>
    <row r="143" spans="1:7" ht="28.5" customHeight="1">
      <c r="A143" s="580"/>
      <c r="B143" s="203">
        <v>85214</v>
      </c>
      <c r="C143" s="223" t="s">
        <v>595</v>
      </c>
      <c r="D143" s="1291">
        <v>9500000</v>
      </c>
      <c r="E143" s="1291">
        <f>E144</f>
        <v>1100000</v>
      </c>
      <c r="F143" s="1291"/>
      <c r="G143" s="1291">
        <f t="shared" si="6"/>
        <v>8400000</v>
      </c>
    </row>
    <row r="144" spans="1:7" ht="19.5" customHeight="1">
      <c r="A144" s="580"/>
      <c r="B144" s="191"/>
      <c r="C144" s="496" t="s">
        <v>591</v>
      </c>
      <c r="D144" s="642">
        <v>9500000</v>
      </c>
      <c r="E144" s="642">
        <v>1100000</v>
      </c>
      <c r="F144" s="642"/>
      <c r="G144" s="642">
        <f t="shared" si="6"/>
        <v>8400000</v>
      </c>
    </row>
    <row r="145" spans="1:7" ht="19.5" customHeight="1">
      <c r="A145" s="191"/>
      <c r="B145" s="203">
        <v>85295</v>
      </c>
      <c r="C145" s="203" t="s">
        <v>829</v>
      </c>
      <c r="D145" s="252">
        <v>2321470</v>
      </c>
      <c r="E145" s="252"/>
      <c r="F145" s="252">
        <f>F146</f>
        <v>442928</v>
      </c>
      <c r="G145" s="252">
        <f>D145+F145-E145</f>
        <v>2764398</v>
      </c>
    </row>
    <row r="146" spans="1:7" ht="19.5" customHeight="1">
      <c r="A146" s="191"/>
      <c r="B146" s="191"/>
      <c r="C146" s="511" t="s">
        <v>937</v>
      </c>
      <c r="D146" s="269">
        <v>1506470</v>
      </c>
      <c r="E146" s="269"/>
      <c r="F146" s="269">
        <v>442928</v>
      </c>
      <c r="G146" s="269">
        <f>D146+F146-E146</f>
        <v>1949398</v>
      </c>
    </row>
    <row r="147" spans="1:7" ht="18" customHeight="1">
      <c r="A147" s="412">
        <v>853</v>
      </c>
      <c r="B147" s="412"/>
      <c r="C147" s="412" t="s">
        <v>752</v>
      </c>
      <c r="D147" s="390">
        <v>8419900</v>
      </c>
      <c r="E147" s="650">
        <f>E148</f>
        <v>17400</v>
      </c>
      <c r="F147" s="650">
        <f>F148</f>
        <v>17400</v>
      </c>
      <c r="G147" s="650">
        <f aca="true" t="shared" si="7" ref="G147:G152">D147-E147+F147</f>
        <v>8419900</v>
      </c>
    </row>
    <row r="148" spans="1:7" ht="17.25" customHeight="1">
      <c r="A148" s="360"/>
      <c r="B148" s="203">
        <v>85333</v>
      </c>
      <c r="C148" s="203" t="s">
        <v>668</v>
      </c>
      <c r="D148" s="252">
        <v>3673900</v>
      </c>
      <c r="E148" s="687">
        <f>E150</f>
        <v>17400</v>
      </c>
      <c r="F148" s="687">
        <f>F149+F152</f>
        <v>17400</v>
      </c>
      <c r="G148" s="687">
        <f t="shared" si="7"/>
        <v>3673900</v>
      </c>
    </row>
    <row r="149" spans="1:7" ht="19.5" customHeight="1">
      <c r="A149" s="243"/>
      <c r="B149" s="243"/>
      <c r="C149" s="496" t="s">
        <v>564</v>
      </c>
      <c r="D149" s="602">
        <v>2016198</v>
      </c>
      <c r="E149" s="578"/>
      <c r="F149" s="578">
        <v>9600</v>
      </c>
      <c r="G149" s="578">
        <f t="shared" si="7"/>
        <v>2025798</v>
      </c>
    </row>
    <row r="150" spans="1:7" ht="19.5" customHeight="1">
      <c r="A150" s="89"/>
      <c r="B150" s="89"/>
      <c r="C150" s="446" t="s">
        <v>828</v>
      </c>
      <c r="D150" s="452">
        <v>611821</v>
      </c>
      <c r="E150" s="850">
        <v>17400</v>
      </c>
      <c r="F150" s="850"/>
      <c r="G150" s="850">
        <f t="shared" si="7"/>
        <v>594421</v>
      </c>
    </row>
    <row r="151" spans="1:7" ht="16.5" customHeight="1">
      <c r="A151" s="89"/>
      <c r="B151" s="89"/>
      <c r="C151" s="901" t="s">
        <v>544</v>
      </c>
      <c r="D151" s="1274">
        <v>38321</v>
      </c>
      <c r="E151" s="401">
        <f>3500+4300</f>
        <v>7800</v>
      </c>
      <c r="F151" s="401"/>
      <c r="G151" s="401">
        <f t="shared" si="7"/>
        <v>30521</v>
      </c>
    </row>
    <row r="152" spans="1:7" ht="19.5" customHeight="1">
      <c r="A152" s="89"/>
      <c r="B152" s="89"/>
      <c r="C152" s="446" t="s">
        <v>495</v>
      </c>
      <c r="D152" s="452">
        <v>439679</v>
      </c>
      <c r="E152" s="850"/>
      <c r="F152" s="850">
        <v>7800</v>
      </c>
      <c r="G152" s="850">
        <f t="shared" si="7"/>
        <v>447479</v>
      </c>
    </row>
    <row r="153" spans="1:7" ht="17.25" customHeight="1">
      <c r="A153" s="412">
        <v>854</v>
      </c>
      <c r="B153" s="412"/>
      <c r="C153" s="412" t="s">
        <v>503</v>
      </c>
      <c r="D153" s="390">
        <v>39276000</v>
      </c>
      <c r="E153" s="650">
        <f>E154+E159+E165+E169+E174+E179+E182+E184+E186+E189</f>
        <v>695438</v>
      </c>
      <c r="F153" s="650">
        <f>F154+F159+F165+F169+F174+F179+F182+F184+F186+F189</f>
        <v>695438</v>
      </c>
      <c r="G153" s="650">
        <f aca="true" t="shared" si="8" ref="G153:G167">D153-E153+F153</f>
        <v>39276000</v>
      </c>
    </row>
    <row r="154" spans="1:7" s="739" customFormat="1" ht="19.5" customHeight="1">
      <c r="A154" s="580"/>
      <c r="B154" s="477">
        <v>85401</v>
      </c>
      <c r="C154" s="429" t="s">
        <v>929</v>
      </c>
      <c r="D154" s="856">
        <v>6947158</v>
      </c>
      <c r="E154" s="857">
        <f>E155+E156+E158</f>
        <v>3423</v>
      </c>
      <c r="F154" s="857">
        <f>F155+F156+F158</f>
        <v>148718</v>
      </c>
      <c r="G154" s="738">
        <f t="shared" si="8"/>
        <v>7092453</v>
      </c>
    </row>
    <row r="155" spans="1:7" s="739" customFormat="1" ht="19.5" customHeight="1">
      <c r="A155" s="580"/>
      <c r="B155" s="592"/>
      <c r="C155" s="496" t="s">
        <v>747</v>
      </c>
      <c r="D155" s="602">
        <v>5489326</v>
      </c>
      <c r="E155" s="578"/>
      <c r="F155" s="578">
        <v>116623</v>
      </c>
      <c r="G155" s="578">
        <f t="shared" si="8"/>
        <v>5605949</v>
      </c>
    </row>
    <row r="156" spans="1:7" s="739" customFormat="1" ht="17.25" customHeight="1">
      <c r="A156" s="580"/>
      <c r="B156" s="592"/>
      <c r="C156" s="495" t="s">
        <v>828</v>
      </c>
      <c r="D156" s="1267">
        <v>399786</v>
      </c>
      <c r="E156" s="851"/>
      <c r="F156" s="851">
        <v>32095</v>
      </c>
      <c r="G156" s="851">
        <f t="shared" si="8"/>
        <v>431881</v>
      </c>
    </row>
    <row r="157" spans="1:7" s="739" customFormat="1" ht="19.5" customHeight="1">
      <c r="A157" s="580"/>
      <c r="B157" s="592"/>
      <c r="C157" s="901" t="s">
        <v>544</v>
      </c>
      <c r="D157" s="1274"/>
      <c r="E157" s="401"/>
      <c r="F157" s="401">
        <v>7900</v>
      </c>
      <c r="G157" s="401">
        <f t="shared" si="8"/>
        <v>7900</v>
      </c>
    </row>
    <row r="158" spans="1:7" s="739" customFormat="1" ht="19.5" customHeight="1">
      <c r="A158" s="580"/>
      <c r="B158" s="592"/>
      <c r="C158" s="201" t="s">
        <v>921</v>
      </c>
      <c r="D158" s="737">
        <v>1058046</v>
      </c>
      <c r="E158" s="1123">
        <v>3423</v>
      </c>
      <c r="F158" s="1123"/>
      <c r="G158" s="1123">
        <f t="shared" si="8"/>
        <v>1054623</v>
      </c>
    </row>
    <row r="159" spans="1:7" ht="19.5" customHeight="1">
      <c r="A159" s="89"/>
      <c r="B159" s="203">
        <v>85403</v>
      </c>
      <c r="C159" s="203" t="s">
        <v>15</v>
      </c>
      <c r="D159" s="252">
        <v>8087793</v>
      </c>
      <c r="E159" s="687">
        <f>E160+E161+E163+E164</f>
        <v>25985</v>
      </c>
      <c r="F159" s="687">
        <f>F160+F161+F163+F164</f>
        <v>286872</v>
      </c>
      <c r="G159" s="687">
        <f t="shared" si="8"/>
        <v>8348680</v>
      </c>
    </row>
    <row r="160" spans="1:7" ht="19.5" customHeight="1">
      <c r="A160" s="89"/>
      <c r="B160" s="243"/>
      <c r="C160" s="496" t="s">
        <v>747</v>
      </c>
      <c r="D160" s="602">
        <v>5009900</v>
      </c>
      <c r="E160" s="578"/>
      <c r="F160" s="578">
        <v>217704</v>
      </c>
      <c r="G160" s="578">
        <f t="shared" si="8"/>
        <v>5227604</v>
      </c>
    </row>
    <row r="161" spans="1:7" ht="19.5" customHeight="1">
      <c r="A161" s="89"/>
      <c r="B161" s="89"/>
      <c r="C161" s="495" t="s">
        <v>828</v>
      </c>
      <c r="D161" s="452">
        <v>1480698</v>
      </c>
      <c r="E161" s="850"/>
      <c r="F161" s="850">
        <v>29681</v>
      </c>
      <c r="G161" s="850">
        <f t="shared" si="8"/>
        <v>1510379</v>
      </c>
    </row>
    <row r="162" spans="1:7" ht="19.5" customHeight="1">
      <c r="A162" s="89"/>
      <c r="B162" s="89"/>
      <c r="C162" s="901" t="s">
        <v>544</v>
      </c>
      <c r="D162" s="1285">
        <v>365698</v>
      </c>
      <c r="E162" s="1292"/>
      <c r="F162" s="1292">
        <v>11333</v>
      </c>
      <c r="G162" s="1292">
        <f t="shared" si="8"/>
        <v>377031</v>
      </c>
    </row>
    <row r="163" spans="1:7" ht="19.5" customHeight="1">
      <c r="A163" s="89"/>
      <c r="B163" s="243"/>
      <c r="C163" s="1281" t="s">
        <v>921</v>
      </c>
      <c r="D163" s="1282">
        <v>980780</v>
      </c>
      <c r="E163" s="1294"/>
      <c r="F163" s="1294">
        <v>39487</v>
      </c>
      <c r="G163" s="1294">
        <f t="shared" si="8"/>
        <v>1020267</v>
      </c>
    </row>
    <row r="164" spans="1:7" ht="18.75" customHeight="1">
      <c r="A164" s="90"/>
      <c r="B164" s="205"/>
      <c r="C164" s="1269" t="s">
        <v>495</v>
      </c>
      <c r="D164" s="1270">
        <v>25985</v>
      </c>
      <c r="E164" s="1293">
        <v>25985</v>
      </c>
      <c r="F164" s="1293"/>
      <c r="G164" s="1293">
        <f t="shared" si="8"/>
        <v>0</v>
      </c>
    </row>
    <row r="165" spans="1:7" ht="30" customHeight="1">
      <c r="A165" s="89"/>
      <c r="B165" s="193">
        <v>85406</v>
      </c>
      <c r="C165" s="429" t="s">
        <v>930</v>
      </c>
      <c r="D165" s="361">
        <v>5771847</v>
      </c>
      <c r="E165" s="604">
        <f>E166+E167+E168</f>
        <v>446324</v>
      </c>
      <c r="F165" s="604">
        <f>F166+F167+F168</f>
        <v>250</v>
      </c>
      <c r="G165" s="604">
        <f t="shared" si="8"/>
        <v>5325773</v>
      </c>
    </row>
    <row r="166" spans="1:7" ht="19.5" customHeight="1">
      <c r="A166" s="89"/>
      <c r="B166" s="191"/>
      <c r="C166" s="829" t="s">
        <v>747</v>
      </c>
      <c r="D166" s="602">
        <v>4368200</v>
      </c>
      <c r="E166" s="543">
        <v>412380</v>
      </c>
      <c r="F166" s="543"/>
      <c r="G166" s="543">
        <f t="shared" si="8"/>
        <v>3955820</v>
      </c>
    </row>
    <row r="167" spans="1:7" ht="19.5" customHeight="1">
      <c r="A167" s="89"/>
      <c r="B167" s="191"/>
      <c r="C167" s="446" t="s">
        <v>828</v>
      </c>
      <c r="D167" s="452">
        <v>582917</v>
      </c>
      <c r="E167" s="631"/>
      <c r="F167" s="631">
        <v>250</v>
      </c>
      <c r="G167" s="631">
        <f t="shared" si="8"/>
        <v>583167</v>
      </c>
    </row>
    <row r="168" spans="1:7" ht="19.5" customHeight="1">
      <c r="A168" s="89"/>
      <c r="B168" s="191"/>
      <c r="C168" s="1279" t="s">
        <v>921</v>
      </c>
      <c r="D168" s="1270">
        <v>820730</v>
      </c>
      <c r="E168" s="1271">
        <v>33944</v>
      </c>
      <c r="F168" s="1271"/>
      <c r="G168" s="1271">
        <f aca="true" t="shared" si="9" ref="G168:G182">D168-E168+F168</f>
        <v>786786</v>
      </c>
    </row>
    <row r="169" spans="1:7" ht="19.5" customHeight="1">
      <c r="A169" s="89"/>
      <c r="B169" s="203">
        <v>85407</v>
      </c>
      <c r="C169" s="223" t="s">
        <v>931</v>
      </c>
      <c r="D169" s="252">
        <v>2419000</v>
      </c>
      <c r="E169" s="552">
        <f>E170+E171+E173</f>
        <v>99380</v>
      </c>
      <c r="F169" s="552">
        <f>F170+F171+F173</f>
        <v>11305</v>
      </c>
      <c r="G169" s="552">
        <f t="shared" si="9"/>
        <v>2330925</v>
      </c>
    </row>
    <row r="170" spans="1:7" ht="19.5" customHeight="1">
      <c r="A170" s="89"/>
      <c r="B170" s="191"/>
      <c r="C170" s="829" t="s">
        <v>747</v>
      </c>
      <c r="D170" s="602">
        <v>1747281</v>
      </c>
      <c r="E170" s="543">
        <v>77700</v>
      </c>
      <c r="F170" s="543"/>
      <c r="G170" s="543">
        <f t="shared" si="9"/>
        <v>1669581</v>
      </c>
    </row>
    <row r="171" spans="1:7" ht="19.5" customHeight="1">
      <c r="A171" s="89"/>
      <c r="B171" s="191"/>
      <c r="C171" s="495" t="s">
        <v>828</v>
      </c>
      <c r="D171" s="452">
        <v>333519</v>
      </c>
      <c r="E171" s="631"/>
      <c r="F171" s="631">
        <v>11305</v>
      </c>
      <c r="G171" s="631">
        <f t="shared" si="9"/>
        <v>344824</v>
      </c>
    </row>
    <row r="172" spans="1:7" ht="18.75" customHeight="1">
      <c r="A172" s="89"/>
      <c r="B172" s="191"/>
      <c r="C172" s="901" t="s">
        <v>544</v>
      </c>
      <c r="D172" s="1274">
        <v>5000</v>
      </c>
      <c r="E172" s="990"/>
      <c r="F172" s="990">
        <v>17305</v>
      </c>
      <c r="G172" s="990">
        <f t="shared" si="9"/>
        <v>22305</v>
      </c>
    </row>
    <row r="173" spans="1:7" ht="18.75" customHeight="1">
      <c r="A173" s="89"/>
      <c r="B173" s="193"/>
      <c r="C173" s="381" t="s">
        <v>921</v>
      </c>
      <c r="D173" s="737">
        <v>338200</v>
      </c>
      <c r="E173" s="1275">
        <v>21680</v>
      </c>
      <c r="F173" s="1275"/>
      <c r="G173" s="1275">
        <f t="shared" si="9"/>
        <v>316520</v>
      </c>
    </row>
    <row r="174" spans="1:7" ht="19.5" customHeight="1">
      <c r="A174" s="89"/>
      <c r="B174" s="203">
        <v>85410</v>
      </c>
      <c r="C174" s="223" t="s">
        <v>932</v>
      </c>
      <c r="D174" s="252">
        <v>6923225</v>
      </c>
      <c r="E174" s="552"/>
      <c r="F174" s="552">
        <f>F175+F176+F178</f>
        <v>136956</v>
      </c>
      <c r="G174" s="552">
        <f t="shared" si="9"/>
        <v>7060181</v>
      </c>
    </row>
    <row r="175" spans="1:7" ht="19.5" customHeight="1">
      <c r="A175" s="89"/>
      <c r="B175" s="191"/>
      <c r="C175" s="829" t="s">
        <v>747</v>
      </c>
      <c r="D175" s="602">
        <v>4022800</v>
      </c>
      <c r="E175" s="543"/>
      <c r="F175" s="543">
        <v>116521</v>
      </c>
      <c r="G175" s="543">
        <f t="shared" si="9"/>
        <v>4139321</v>
      </c>
    </row>
    <row r="176" spans="1:7" ht="19.5" customHeight="1">
      <c r="A176" s="89"/>
      <c r="B176" s="191"/>
      <c r="C176" s="495" t="s">
        <v>828</v>
      </c>
      <c r="D176" s="452">
        <v>1533317</v>
      </c>
      <c r="E176" s="631"/>
      <c r="F176" s="631">
        <v>8345</v>
      </c>
      <c r="G176" s="631">
        <f t="shared" si="9"/>
        <v>1541662</v>
      </c>
    </row>
    <row r="177" spans="1:7" ht="19.5" customHeight="1">
      <c r="A177" s="89"/>
      <c r="B177" s="191"/>
      <c r="C177" s="901" t="s">
        <v>544</v>
      </c>
      <c r="D177" s="1274">
        <v>193317</v>
      </c>
      <c r="E177" s="990">
        <v>2653</v>
      </c>
      <c r="F177" s="990"/>
      <c r="G177" s="990">
        <f t="shared" si="9"/>
        <v>190664</v>
      </c>
    </row>
    <row r="178" spans="1:7" ht="19.5" customHeight="1">
      <c r="A178" s="89"/>
      <c r="B178" s="193"/>
      <c r="C178" s="381" t="s">
        <v>921</v>
      </c>
      <c r="D178" s="737">
        <v>783800</v>
      </c>
      <c r="E178" s="1275"/>
      <c r="F178" s="1275">
        <v>12090</v>
      </c>
      <c r="G178" s="1275">
        <f t="shared" si="9"/>
        <v>795890</v>
      </c>
    </row>
    <row r="179" spans="1:7" ht="19.5" customHeight="1">
      <c r="A179" s="89"/>
      <c r="B179" s="203">
        <v>85415</v>
      </c>
      <c r="C179" s="203" t="s">
        <v>933</v>
      </c>
      <c r="D179" s="252">
        <v>1938630</v>
      </c>
      <c r="E179" s="687">
        <f>E180+E181</f>
        <v>120326</v>
      </c>
      <c r="F179" s="687"/>
      <c r="G179" s="687">
        <f t="shared" si="9"/>
        <v>1818304</v>
      </c>
    </row>
    <row r="180" spans="1:7" ht="19.5" customHeight="1">
      <c r="A180" s="89"/>
      <c r="B180" s="191"/>
      <c r="C180" s="194" t="s">
        <v>608</v>
      </c>
      <c r="D180" s="1273">
        <v>450000</v>
      </c>
      <c r="E180" s="1000">
        <v>57326</v>
      </c>
      <c r="F180" s="1000"/>
      <c r="G180" s="1000">
        <f t="shared" si="9"/>
        <v>392674</v>
      </c>
    </row>
    <row r="181" spans="1:7" ht="19.5" customHeight="1">
      <c r="A181" s="89"/>
      <c r="B181" s="89"/>
      <c r="C181" s="1276" t="s">
        <v>934</v>
      </c>
      <c r="D181" s="1270">
        <v>263418</v>
      </c>
      <c r="E181" s="1293">
        <v>63000</v>
      </c>
      <c r="F181" s="1293"/>
      <c r="G181" s="1293">
        <f t="shared" si="9"/>
        <v>200418</v>
      </c>
    </row>
    <row r="182" spans="1:7" ht="19.5" customHeight="1">
      <c r="A182" s="89"/>
      <c r="B182" s="203">
        <v>85417</v>
      </c>
      <c r="C182" s="193" t="s">
        <v>448</v>
      </c>
      <c r="D182" s="361">
        <v>260200</v>
      </c>
      <c r="E182" s="853"/>
      <c r="F182" s="853">
        <f>F183</f>
        <v>5000</v>
      </c>
      <c r="G182" s="853">
        <f t="shared" si="9"/>
        <v>265200</v>
      </c>
    </row>
    <row r="183" spans="1:7" ht="19.5" customHeight="1">
      <c r="A183" s="89"/>
      <c r="B183" s="397"/>
      <c r="C183" s="973" t="s">
        <v>828</v>
      </c>
      <c r="D183" s="391">
        <v>62000</v>
      </c>
      <c r="E183" s="905"/>
      <c r="F183" s="905">
        <v>5000</v>
      </c>
      <c r="G183" s="905">
        <f aca="true" t="shared" si="10" ref="G183:G192">D183-E183+F183</f>
        <v>67000</v>
      </c>
    </row>
    <row r="184" spans="1:7" ht="19.5" customHeight="1">
      <c r="A184" s="89"/>
      <c r="B184" s="193">
        <v>85421</v>
      </c>
      <c r="C184" s="193" t="s">
        <v>449</v>
      </c>
      <c r="D184" s="361">
        <v>522000</v>
      </c>
      <c r="E184" s="402"/>
      <c r="F184" s="853">
        <f>F185</f>
        <v>1000</v>
      </c>
      <c r="G184" s="853">
        <f t="shared" si="10"/>
        <v>523000</v>
      </c>
    </row>
    <row r="185" spans="1:7" ht="19.5" customHeight="1">
      <c r="A185" s="89"/>
      <c r="B185" s="397"/>
      <c r="C185" s="973" t="s">
        <v>921</v>
      </c>
      <c r="D185" s="602">
        <v>75400</v>
      </c>
      <c r="E185" s="578"/>
      <c r="F185" s="578">
        <v>1000</v>
      </c>
      <c r="G185" s="578">
        <f t="shared" si="10"/>
        <v>76400</v>
      </c>
    </row>
    <row r="186" spans="1:7" ht="19.5" customHeight="1">
      <c r="A186" s="89"/>
      <c r="B186" s="193">
        <v>85446</v>
      </c>
      <c r="C186" s="193" t="s">
        <v>927</v>
      </c>
      <c r="D186" s="252">
        <v>150000</v>
      </c>
      <c r="E186" s="687"/>
      <c r="F186" s="687"/>
      <c r="G186" s="687">
        <f t="shared" si="10"/>
        <v>150000</v>
      </c>
    </row>
    <row r="187" spans="1:7" ht="19.5" customHeight="1">
      <c r="A187" s="89"/>
      <c r="B187" s="191"/>
      <c r="C187" s="496" t="s">
        <v>928</v>
      </c>
      <c r="D187" s="602">
        <v>150000</v>
      </c>
      <c r="E187" s="578"/>
      <c r="F187" s="578"/>
      <c r="G187" s="578">
        <f t="shared" si="10"/>
        <v>150000</v>
      </c>
    </row>
    <row r="188" spans="1:7" ht="19.5" customHeight="1">
      <c r="A188" s="89"/>
      <c r="B188" s="89"/>
      <c r="C188" s="189" t="s">
        <v>542</v>
      </c>
      <c r="D188" s="440">
        <v>61048</v>
      </c>
      <c r="E188" s="402">
        <v>800</v>
      </c>
      <c r="F188" s="402"/>
      <c r="G188" s="402">
        <f t="shared" si="10"/>
        <v>60248</v>
      </c>
    </row>
    <row r="189" spans="1:7" ht="19.5" customHeight="1">
      <c r="A189" s="89"/>
      <c r="B189" s="203">
        <v>85495</v>
      </c>
      <c r="C189" s="193" t="s">
        <v>829</v>
      </c>
      <c r="D189" s="252">
        <v>6073147</v>
      </c>
      <c r="E189" s="687"/>
      <c r="F189" s="687">
        <f>F190</f>
        <v>105337</v>
      </c>
      <c r="G189" s="687">
        <f t="shared" si="10"/>
        <v>6178484</v>
      </c>
    </row>
    <row r="190" spans="1:7" ht="19.5" customHeight="1">
      <c r="A190" s="89"/>
      <c r="B190" s="191"/>
      <c r="C190" s="971" t="s">
        <v>652</v>
      </c>
      <c r="D190" s="854">
        <v>5873897</v>
      </c>
      <c r="E190" s="855"/>
      <c r="F190" s="855">
        <f>F191+F192+F193</f>
        <v>105337</v>
      </c>
      <c r="G190" s="855">
        <f t="shared" si="10"/>
        <v>5979234</v>
      </c>
    </row>
    <row r="191" spans="1:7" ht="19.5" customHeight="1">
      <c r="A191" s="89"/>
      <c r="B191" s="510"/>
      <c r="C191" s="1297" t="s">
        <v>747</v>
      </c>
      <c r="D191" s="442">
        <v>3728438</v>
      </c>
      <c r="E191" s="965"/>
      <c r="F191" s="965">
        <v>72543</v>
      </c>
      <c r="G191" s="965">
        <f t="shared" si="10"/>
        <v>3800981</v>
      </c>
    </row>
    <row r="192" spans="1:7" ht="19.5" customHeight="1">
      <c r="A192" s="89"/>
      <c r="B192" s="89"/>
      <c r="C192" s="495" t="s">
        <v>828</v>
      </c>
      <c r="D192" s="1298">
        <v>1408469</v>
      </c>
      <c r="E192" s="1299"/>
      <c r="F192" s="1299">
        <v>10670</v>
      </c>
      <c r="G192" s="1299">
        <f t="shared" si="10"/>
        <v>1419139</v>
      </c>
    </row>
    <row r="193" spans="1:7" ht="19.5" customHeight="1">
      <c r="A193" s="90"/>
      <c r="B193" s="90"/>
      <c r="C193" s="201" t="s">
        <v>921</v>
      </c>
      <c r="D193" s="737">
        <v>711790</v>
      </c>
      <c r="E193" s="1123"/>
      <c r="F193" s="1123">
        <v>22124</v>
      </c>
      <c r="G193" s="1123">
        <f aca="true" t="shared" si="11" ref="G193:G203">D193-E193+F193</f>
        <v>733914</v>
      </c>
    </row>
    <row r="194" spans="1:7" ht="19.5" customHeight="1">
      <c r="A194" s="412">
        <v>900</v>
      </c>
      <c r="B194" s="412"/>
      <c r="C194" s="412" t="s">
        <v>751</v>
      </c>
      <c r="D194" s="390">
        <v>45516000</v>
      </c>
      <c r="E194" s="650">
        <f>E195</f>
        <v>259000</v>
      </c>
      <c r="F194" s="650">
        <f>F195</f>
        <v>259000</v>
      </c>
      <c r="G194" s="650">
        <f t="shared" si="11"/>
        <v>45516000</v>
      </c>
    </row>
    <row r="195" spans="1:7" ht="18" customHeight="1">
      <c r="A195" s="89"/>
      <c r="B195" s="193">
        <v>90015</v>
      </c>
      <c r="C195" s="193" t="s">
        <v>600</v>
      </c>
      <c r="D195" s="601">
        <v>7460000</v>
      </c>
      <c r="E195" s="651">
        <f>E196+E197+E198</f>
        <v>259000</v>
      </c>
      <c r="F195" s="651">
        <f>F196+F197+F198</f>
        <v>259000</v>
      </c>
      <c r="G195" s="651">
        <f t="shared" si="11"/>
        <v>7460000</v>
      </c>
    </row>
    <row r="196" spans="1:7" ht="19.5" customHeight="1">
      <c r="A196" s="89"/>
      <c r="B196" s="243"/>
      <c r="C196" s="496" t="s">
        <v>601</v>
      </c>
      <c r="D196" s="602">
        <v>4534000</v>
      </c>
      <c r="E196" s="578">
        <v>233000</v>
      </c>
      <c r="F196" s="578"/>
      <c r="G196" s="578">
        <f>D196-E196+F196</f>
        <v>4301000</v>
      </c>
    </row>
    <row r="197" spans="1:7" ht="18" customHeight="1">
      <c r="A197" s="89"/>
      <c r="B197" s="243"/>
      <c r="C197" s="446" t="s">
        <v>602</v>
      </c>
      <c r="D197" s="452">
        <v>2850000</v>
      </c>
      <c r="E197" s="850"/>
      <c r="F197" s="850">
        <v>259000</v>
      </c>
      <c r="G197" s="850">
        <f>D197-E197+F197</f>
        <v>3109000</v>
      </c>
    </row>
    <row r="198" spans="1:7" ht="19.5" customHeight="1">
      <c r="A198" s="89"/>
      <c r="B198" s="191"/>
      <c r="C198" s="201" t="s">
        <v>495</v>
      </c>
      <c r="D198" s="1296">
        <v>76000</v>
      </c>
      <c r="E198" s="1145">
        <v>26000</v>
      </c>
      <c r="F198" s="1145"/>
      <c r="G198" s="1123">
        <f t="shared" si="11"/>
        <v>50000</v>
      </c>
    </row>
    <row r="199" spans="1:7" ht="25.5" customHeight="1" thickBot="1">
      <c r="A199" s="89"/>
      <c r="B199" s="89"/>
      <c r="C199" s="96" t="s">
        <v>650</v>
      </c>
      <c r="D199" s="88">
        <v>5263913</v>
      </c>
      <c r="E199" s="88"/>
      <c r="F199" s="88">
        <f>F200</f>
        <v>24000</v>
      </c>
      <c r="G199" s="118">
        <f t="shared" si="11"/>
        <v>5287913</v>
      </c>
    </row>
    <row r="200" spans="1:7" ht="18" customHeight="1" thickTop="1">
      <c r="A200" s="509">
        <v>754</v>
      </c>
      <c r="B200" s="509"/>
      <c r="C200" s="229" t="s">
        <v>724</v>
      </c>
      <c r="D200" s="248"/>
      <c r="E200" s="248"/>
      <c r="F200" s="248">
        <f>F201</f>
        <v>24000</v>
      </c>
      <c r="G200" s="248">
        <f t="shared" si="11"/>
        <v>24000</v>
      </c>
    </row>
    <row r="201" spans="1:7" ht="18" customHeight="1">
      <c r="A201" s="204"/>
      <c r="B201" s="205">
        <v>75411</v>
      </c>
      <c r="C201" s="416" t="s">
        <v>489</v>
      </c>
      <c r="D201" s="253"/>
      <c r="E201" s="572"/>
      <c r="F201" s="687">
        <f>F202</f>
        <v>24000</v>
      </c>
      <c r="G201" s="832">
        <f t="shared" si="11"/>
        <v>24000</v>
      </c>
    </row>
    <row r="202" spans="1:7" ht="15" customHeight="1">
      <c r="A202" s="89"/>
      <c r="B202" s="89"/>
      <c r="C202" s="973" t="s">
        <v>495</v>
      </c>
      <c r="D202" s="253"/>
      <c r="E202" s="572"/>
      <c r="F202" s="905">
        <v>24000</v>
      </c>
      <c r="G202" s="905">
        <f t="shared" si="11"/>
        <v>24000</v>
      </c>
    </row>
    <row r="203" spans="1:11" ht="23.25" customHeight="1" thickBot="1">
      <c r="A203" s="122"/>
      <c r="B203" s="121"/>
      <c r="C203" s="148" t="s">
        <v>802</v>
      </c>
      <c r="D203" s="140">
        <v>79702382</v>
      </c>
      <c r="E203" s="140"/>
      <c r="F203" s="140">
        <f>F204+F215</f>
        <v>681011</v>
      </c>
      <c r="G203" s="140">
        <f t="shared" si="11"/>
        <v>80383393</v>
      </c>
      <c r="H203" s="8"/>
      <c r="I203" s="8"/>
      <c r="K203" s="8"/>
    </row>
    <row r="204" spans="1:11" ht="18" customHeight="1" thickBot="1">
      <c r="A204" s="86"/>
      <c r="B204" s="86"/>
      <c r="C204" s="130" t="s">
        <v>830</v>
      </c>
      <c r="D204" s="126">
        <v>58419064</v>
      </c>
      <c r="E204" s="126"/>
      <c r="F204" s="126">
        <f>F205+F208+F212</f>
        <v>529025</v>
      </c>
      <c r="G204" s="844">
        <f>D204+F204-E204</f>
        <v>58948089</v>
      </c>
      <c r="H204" s="8"/>
      <c r="I204" s="8"/>
      <c r="K204" s="8"/>
    </row>
    <row r="205" spans="1:11" s="11" customFormat="1" ht="28.5" customHeight="1" thickTop="1">
      <c r="A205" s="229">
        <v>751</v>
      </c>
      <c r="B205" s="229"/>
      <c r="C205" s="229" t="s">
        <v>754</v>
      </c>
      <c r="D205" s="248">
        <v>850166</v>
      </c>
      <c r="E205" s="248"/>
      <c r="F205" s="248">
        <f>F206</f>
        <v>483820</v>
      </c>
      <c r="G205" s="248">
        <f>D205+F205-E205</f>
        <v>1333986</v>
      </c>
      <c r="H205" s="12"/>
      <c r="I205" s="12"/>
      <c r="K205" s="12"/>
    </row>
    <row r="206" spans="1:11" s="11" customFormat="1" ht="18.75" customHeight="1">
      <c r="A206" s="285"/>
      <c r="B206" s="223">
        <v>75107</v>
      </c>
      <c r="C206" s="286" t="s">
        <v>490</v>
      </c>
      <c r="D206" s="240">
        <v>315306</v>
      </c>
      <c r="E206" s="240"/>
      <c r="F206" s="240">
        <f>F207</f>
        <v>483820</v>
      </c>
      <c r="G206" s="240">
        <f>D206+F206-E206</f>
        <v>799126</v>
      </c>
      <c r="H206" s="12"/>
      <c r="I206" s="12"/>
      <c r="K206" s="12"/>
    </row>
    <row r="207" spans="1:11" s="11" customFormat="1" ht="18.75" customHeight="1">
      <c r="A207" s="191"/>
      <c r="B207" s="194"/>
      <c r="C207" s="215" t="s">
        <v>330</v>
      </c>
      <c r="D207" s="1263">
        <v>315306</v>
      </c>
      <c r="E207" s="1263"/>
      <c r="F207" s="1263">
        <v>483820</v>
      </c>
      <c r="G207" s="1263">
        <f>D207+F207-E207</f>
        <v>799126</v>
      </c>
      <c r="H207" s="12"/>
      <c r="I207" s="12"/>
      <c r="K207" s="12"/>
    </row>
    <row r="208" spans="1:11" s="11" customFormat="1" ht="18.75" customHeight="1">
      <c r="A208" s="413">
        <v>851</v>
      </c>
      <c r="B208" s="509"/>
      <c r="C208" s="509" t="s">
        <v>877</v>
      </c>
      <c r="D208" s="628"/>
      <c r="E208" s="628"/>
      <c r="F208" s="369">
        <f>F209</f>
        <v>1605</v>
      </c>
      <c r="G208" s="839">
        <f aca="true" t="shared" si="12" ref="G208:G220">D208-E208+F208</f>
        <v>1605</v>
      </c>
      <c r="H208" s="12"/>
      <c r="I208" s="12"/>
      <c r="K208" s="12"/>
    </row>
    <row r="209" spans="1:11" s="11" customFormat="1" ht="18.75" customHeight="1">
      <c r="A209" s="285"/>
      <c r="B209" s="223">
        <v>85195</v>
      </c>
      <c r="C209" s="286" t="s">
        <v>829</v>
      </c>
      <c r="D209" s="627"/>
      <c r="E209" s="627"/>
      <c r="F209" s="838">
        <f>F210</f>
        <v>1605</v>
      </c>
      <c r="G209" s="837">
        <f t="shared" si="12"/>
        <v>1605</v>
      </c>
      <c r="H209" s="12"/>
      <c r="I209" s="12"/>
      <c r="K209" s="12"/>
    </row>
    <row r="210" spans="1:11" s="11" customFormat="1" ht="18.75" customHeight="1">
      <c r="A210" s="287"/>
      <c r="B210" s="288"/>
      <c r="C210" s="230" t="s">
        <v>648</v>
      </c>
      <c r="D210" s="499"/>
      <c r="E210" s="499"/>
      <c r="F210" s="269">
        <v>1605</v>
      </c>
      <c r="G210" s="269">
        <f t="shared" si="12"/>
        <v>1605</v>
      </c>
      <c r="H210" s="12"/>
      <c r="I210" s="12"/>
      <c r="K210" s="12"/>
    </row>
    <row r="211" spans="1:11" s="11" customFormat="1" ht="18.75" customHeight="1">
      <c r="A211" s="191"/>
      <c r="B211" s="191"/>
      <c r="C211" s="189" t="s">
        <v>542</v>
      </c>
      <c r="D211" s="275"/>
      <c r="E211" s="275"/>
      <c r="F211" s="275">
        <v>1341</v>
      </c>
      <c r="G211" s="275">
        <f t="shared" si="12"/>
        <v>1341</v>
      </c>
      <c r="H211" s="12"/>
      <c r="I211" s="12"/>
      <c r="K211" s="12"/>
    </row>
    <row r="212" spans="1:11" s="11" customFormat="1" ht="18.75" customHeight="1">
      <c r="A212" s="412">
        <v>852</v>
      </c>
      <c r="B212" s="412"/>
      <c r="C212" s="412" t="s">
        <v>746</v>
      </c>
      <c r="D212" s="369">
        <v>55966200</v>
      </c>
      <c r="E212" s="369"/>
      <c r="F212" s="369">
        <f>F213</f>
        <v>43600</v>
      </c>
      <c r="G212" s="369">
        <f t="shared" si="12"/>
        <v>56009800</v>
      </c>
      <c r="H212" s="12"/>
      <c r="I212" s="12"/>
      <c r="K212" s="12"/>
    </row>
    <row r="213" spans="1:11" s="11" customFormat="1" ht="18.75" customHeight="1">
      <c r="A213" s="191"/>
      <c r="B213" s="203">
        <v>85278</v>
      </c>
      <c r="C213" s="383" t="s">
        <v>727</v>
      </c>
      <c r="D213" s="414">
        <v>82000</v>
      </c>
      <c r="E213" s="414"/>
      <c r="F213" s="414">
        <v>43600</v>
      </c>
      <c r="G213" s="432">
        <f t="shared" si="12"/>
        <v>125600</v>
      </c>
      <c r="H213" s="12"/>
      <c r="I213" s="12"/>
      <c r="K213" s="12"/>
    </row>
    <row r="214" spans="1:11" s="11" customFormat="1" ht="18.75" customHeight="1">
      <c r="A214" s="191"/>
      <c r="B214" s="191"/>
      <c r="C214" s="973" t="s">
        <v>728</v>
      </c>
      <c r="D214" s="1396">
        <v>82000</v>
      </c>
      <c r="E214" s="1396"/>
      <c r="F214" s="1396">
        <v>43600</v>
      </c>
      <c r="G214" s="1396">
        <f t="shared" si="12"/>
        <v>125600</v>
      </c>
      <c r="H214" s="12"/>
      <c r="I214" s="12"/>
      <c r="K214" s="12"/>
    </row>
    <row r="215" spans="1:7" ht="27" customHeight="1" thickBot="1">
      <c r="A215" s="201"/>
      <c r="B215" s="201"/>
      <c r="C215" s="97" t="s">
        <v>831</v>
      </c>
      <c r="D215" s="97">
        <v>21283318</v>
      </c>
      <c r="E215" s="97"/>
      <c r="F215" s="97">
        <f>F216+F220</f>
        <v>151986</v>
      </c>
      <c r="G215" s="97">
        <f t="shared" si="12"/>
        <v>21435304</v>
      </c>
    </row>
    <row r="216" spans="1:7" ht="18" customHeight="1" thickTop="1">
      <c r="A216" s="211">
        <v>754</v>
      </c>
      <c r="B216" s="192"/>
      <c r="C216" s="238" t="s">
        <v>724</v>
      </c>
      <c r="D216" s="98">
        <v>12853000</v>
      </c>
      <c r="E216" s="98"/>
      <c r="F216" s="98">
        <f>F217</f>
        <v>142000</v>
      </c>
      <c r="G216" s="98">
        <f t="shared" si="12"/>
        <v>12995000</v>
      </c>
    </row>
    <row r="217" spans="1:7" ht="16.5" customHeight="1">
      <c r="A217" s="191"/>
      <c r="B217" s="193">
        <v>75411</v>
      </c>
      <c r="C217" s="481" t="s">
        <v>489</v>
      </c>
      <c r="D217" s="596">
        <v>12841000</v>
      </c>
      <c r="E217" s="92"/>
      <c r="F217" s="596">
        <f>F218+F219</f>
        <v>142000</v>
      </c>
      <c r="G217" s="596">
        <f t="shared" si="12"/>
        <v>12983000</v>
      </c>
    </row>
    <row r="218" spans="1:7" ht="16.5" customHeight="1">
      <c r="A218" s="191"/>
      <c r="B218" s="191"/>
      <c r="C218" s="384" t="s">
        <v>828</v>
      </c>
      <c r="D218" s="521">
        <v>3007700</v>
      </c>
      <c r="E218" s="595"/>
      <c r="F218" s="521">
        <v>42000</v>
      </c>
      <c r="G218" s="521">
        <f t="shared" si="12"/>
        <v>3049700</v>
      </c>
    </row>
    <row r="219" spans="1:7" ht="16.5" customHeight="1">
      <c r="A219" s="191"/>
      <c r="B219" s="191"/>
      <c r="C219" s="1295" t="s">
        <v>495</v>
      </c>
      <c r="D219" s="809">
        <v>250000</v>
      </c>
      <c r="E219" s="809"/>
      <c r="F219" s="809">
        <v>100000</v>
      </c>
      <c r="G219" s="809">
        <f t="shared" si="12"/>
        <v>350000</v>
      </c>
    </row>
    <row r="220" spans="1:11" s="11" customFormat="1" ht="19.5" customHeight="1">
      <c r="A220" s="563">
        <v>853</v>
      </c>
      <c r="B220" s="412"/>
      <c r="C220" s="192" t="s">
        <v>752</v>
      </c>
      <c r="D220" s="248">
        <v>561154</v>
      </c>
      <c r="E220" s="248"/>
      <c r="F220" s="248">
        <f>F221</f>
        <v>9986</v>
      </c>
      <c r="G220" s="248">
        <f t="shared" si="12"/>
        <v>571140</v>
      </c>
      <c r="H220" s="12"/>
      <c r="I220" s="12"/>
      <c r="K220" s="12"/>
    </row>
    <row r="221" spans="1:11" ht="19.5" customHeight="1">
      <c r="A221" s="194"/>
      <c r="B221" s="203">
        <v>85334</v>
      </c>
      <c r="C221" s="383" t="s">
        <v>753</v>
      </c>
      <c r="D221" s="196">
        <v>35154</v>
      </c>
      <c r="E221" s="196"/>
      <c r="F221" s="196">
        <f>F222</f>
        <v>9986</v>
      </c>
      <c r="G221" s="196">
        <f>D221+F221-E221</f>
        <v>45140</v>
      </c>
      <c r="H221" s="8"/>
      <c r="I221" s="8"/>
      <c r="K221" s="8"/>
    </row>
    <row r="222" spans="1:11" ht="18.75" customHeight="1">
      <c r="A222" s="201"/>
      <c r="B222" s="201"/>
      <c r="C222" s="201" t="s">
        <v>331</v>
      </c>
      <c r="D222" s="242">
        <v>35154</v>
      </c>
      <c r="E222" s="242"/>
      <c r="F222" s="242">
        <v>9986</v>
      </c>
      <c r="G222" s="242">
        <f>D222+F222-E222</f>
        <v>45140</v>
      </c>
      <c r="H222" s="8"/>
      <c r="I222" s="8"/>
      <c r="K222" s="8"/>
    </row>
    <row r="223" ht="19.5" customHeight="1"/>
    <row r="224" ht="18" customHeight="1"/>
    <row r="225" spans="2:4" ht="19.5" customHeight="1">
      <c r="B225" s="296" t="s">
        <v>24</v>
      </c>
      <c r="C225" s="296"/>
      <c r="D225" s="296" t="s">
        <v>22</v>
      </c>
    </row>
    <row r="226" spans="2:11" ht="21" customHeight="1">
      <c r="B226" s="297" t="s">
        <v>25</v>
      </c>
      <c r="C226" s="296"/>
      <c r="D226" s="296" t="s">
        <v>26</v>
      </c>
      <c r="H226" s="8"/>
      <c r="I226" s="8"/>
      <c r="K226" s="8"/>
    </row>
    <row r="227" spans="2:11" ht="21" customHeight="1">
      <c r="B227" s="409" t="s">
        <v>23</v>
      </c>
      <c r="C227" s="231"/>
      <c r="D227" s="231" t="s">
        <v>27</v>
      </c>
      <c r="H227" s="8"/>
      <c r="I227" s="8"/>
      <c r="K227" s="8"/>
    </row>
    <row r="228" ht="37.5" customHeight="1"/>
    <row r="229" ht="19.5" customHeight="1"/>
    <row r="230" ht="19.5" customHeight="1"/>
    <row r="231" ht="18" customHeight="1"/>
    <row r="232" ht="19.5" customHeight="1"/>
    <row r="233" spans="8:11" ht="21" customHeight="1">
      <c r="H233" s="8"/>
      <c r="I233" s="8"/>
      <c r="K233" s="8"/>
    </row>
    <row r="234" ht="18" customHeight="1"/>
    <row r="235" ht="26.25" customHeight="1"/>
    <row r="236" spans="1:11" s="11" customFormat="1" ht="18.75" customHeight="1">
      <c r="A236" s="1"/>
      <c r="B236" s="1"/>
      <c r="C236" s="1"/>
      <c r="D236" s="1"/>
      <c r="E236" s="1"/>
      <c r="F236" s="1"/>
      <c r="G236" s="1"/>
      <c r="H236" s="12"/>
      <c r="I236" s="12"/>
      <c r="K236" s="12"/>
    </row>
    <row r="237" spans="1:11" s="11" customFormat="1" ht="18.75" customHeight="1">
      <c r="A237" s="1"/>
      <c r="B237" s="1"/>
      <c r="C237" s="1"/>
      <c r="D237" s="1"/>
      <c r="E237" s="1"/>
      <c r="F237" s="1"/>
      <c r="G237" s="1"/>
      <c r="H237" s="12"/>
      <c r="I237" s="12"/>
      <c r="K237" s="12"/>
    </row>
    <row r="238" spans="8:11" ht="21" customHeight="1">
      <c r="H238" s="8"/>
      <c r="I238" s="8"/>
      <c r="K238" s="8"/>
    </row>
    <row r="239" ht="18" customHeight="1"/>
    <row r="240" ht="19.5" customHeight="1"/>
    <row r="241" ht="18" customHeight="1"/>
    <row r="242" ht="19.5" customHeight="1"/>
    <row r="243" spans="8:11" ht="21" customHeight="1">
      <c r="H243" s="8"/>
      <c r="I243" s="8"/>
      <c r="K243" s="8"/>
    </row>
    <row r="244" ht="18" customHeight="1"/>
    <row r="245" ht="19.5" customHeight="1"/>
    <row r="246" spans="8:11" ht="21" customHeight="1">
      <c r="H246" s="8"/>
      <c r="I246" s="8"/>
      <c r="K246" s="8"/>
    </row>
    <row r="247" spans="1:11" s="13" customFormat="1" ht="18.75" customHeight="1">
      <c r="A247" s="1"/>
      <c r="B247" s="1"/>
      <c r="C247" s="1"/>
      <c r="D247" s="1"/>
      <c r="E247" s="1"/>
      <c r="F247" s="1"/>
      <c r="G247" s="1"/>
      <c r="H247" s="14"/>
      <c r="I247" s="14"/>
      <c r="K247" s="14"/>
    </row>
    <row r="248" spans="1:11" s="11" customFormat="1" ht="27.75" customHeight="1">
      <c r="A248" s="1"/>
      <c r="B248" s="1"/>
      <c r="C248" s="1"/>
      <c r="D248" s="1"/>
      <c r="E248" s="1"/>
      <c r="F248" s="1"/>
      <c r="G248" s="1"/>
      <c r="H248" s="12"/>
      <c r="I248" s="12"/>
      <c r="K248" s="12"/>
    </row>
    <row r="249" spans="1:11" s="11" customFormat="1" ht="27.75" customHeight="1">
      <c r="A249" s="1"/>
      <c r="B249" s="1"/>
      <c r="C249" s="1"/>
      <c r="D249" s="1"/>
      <c r="E249" s="1"/>
      <c r="F249" s="1"/>
      <c r="G249" s="1"/>
      <c r="H249" s="12"/>
      <c r="I249" s="12"/>
      <c r="K249" s="12"/>
    </row>
    <row r="250" spans="1:11" s="11" customFormat="1" ht="19.5" customHeight="1">
      <c r="A250" s="1"/>
      <c r="B250" s="1"/>
      <c r="C250" s="1"/>
      <c r="D250" s="1"/>
      <c r="E250" s="1"/>
      <c r="F250" s="1"/>
      <c r="G250" s="1"/>
      <c r="H250" s="12"/>
      <c r="I250" s="12"/>
      <c r="K250" s="12"/>
    </row>
    <row r="251" spans="1:11" s="11" customFormat="1" ht="18.75" customHeight="1">
      <c r="A251" s="1"/>
      <c r="B251" s="1"/>
      <c r="C251" s="1"/>
      <c r="D251" s="1"/>
      <c r="E251" s="1"/>
      <c r="F251" s="1"/>
      <c r="G251" s="1"/>
      <c r="H251" s="12"/>
      <c r="I251" s="12"/>
      <c r="K251" s="12"/>
    </row>
    <row r="252" ht="21" customHeight="1"/>
    <row r="253" spans="8:11" ht="21" customHeight="1">
      <c r="H253" s="8"/>
      <c r="I253" s="8"/>
      <c r="K253" s="8"/>
    </row>
    <row r="254" spans="1:11" s="13" customFormat="1" ht="25.5" customHeight="1">
      <c r="A254" s="1"/>
      <c r="B254" s="1"/>
      <c r="C254" s="1"/>
      <c r="D254" s="1"/>
      <c r="E254" s="1"/>
      <c r="F254" s="1"/>
      <c r="G254" s="1"/>
      <c r="H254" s="14"/>
      <c r="I254" s="14"/>
      <c r="K254" s="14"/>
    </row>
    <row r="255" spans="1:11" s="11" customFormat="1" ht="18.75" customHeight="1">
      <c r="A255" s="1"/>
      <c r="B255" s="1"/>
      <c r="C255" s="1"/>
      <c r="D255" s="1"/>
      <c r="E255" s="1"/>
      <c r="F255" s="1"/>
      <c r="G255" s="1"/>
      <c r="H255" s="12"/>
      <c r="I255" s="12"/>
      <c r="K255" s="12"/>
    </row>
    <row r="256" ht="21" customHeight="1"/>
    <row r="257" ht="30" customHeight="1"/>
    <row r="258" ht="49.5" customHeight="1"/>
    <row r="259" ht="27.75" customHeight="1"/>
    <row r="260" ht="18" customHeight="1"/>
    <row r="261" spans="1:11" s="13" customFormat="1" ht="18.75" customHeight="1">
      <c r="A261" s="1"/>
      <c r="B261" s="1"/>
      <c r="C261" s="1"/>
      <c r="D261" s="1"/>
      <c r="E261" s="1"/>
      <c r="F261" s="1"/>
      <c r="G261" s="1"/>
      <c r="H261" s="14"/>
      <c r="I261" s="14"/>
      <c r="K261" s="14"/>
    </row>
    <row r="262" spans="1:11" s="11" customFormat="1" ht="18.75" customHeight="1">
      <c r="A262" s="1"/>
      <c r="B262" s="1"/>
      <c r="C262" s="1"/>
      <c r="D262" s="1"/>
      <c r="E262" s="1"/>
      <c r="F262" s="1"/>
      <c r="G262" s="1"/>
      <c r="H262" s="12"/>
      <c r="I262" s="12"/>
      <c r="K262" s="12"/>
    </row>
    <row r="263" spans="1:11" s="11" customFormat="1" ht="18.75" customHeight="1">
      <c r="A263" s="1"/>
      <c r="B263" s="1"/>
      <c r="C263" s="1"/>
      <c r="D263" s="1"/>
      <c r="E263" s="1"/>
      <c r="F263" s="1"/>
      <c r="G263" s="1"/>
      <c r="H263" s="12"/>
      <c r="I263" s="12"/>
      <c r="K263" s="12"/>
    </row>
    <row r="264" spans="8:11" ht="21" customHeight="1">
      <c r="H264" s="8"/>
      <c r="I264" s="8"/>
      <c r="K264" s="8"/>
    </row>
    <row r="265" spans="8:11" ht="21" customHeight="1">
      <c r="H265" s="8"/>
      <c r="I265" s="8"/>
      <c r="K265" s="8"/>
    </row>
    <row r="266" ht="18.75" customHeight="1"/>
    <row r="267" ht="18.75" customHeight="1"/>
    <row r="268" spans="8:11" ht="21" customHeight="1">
      <c r="H268" s="8"/>
      <c r="I268" s="8"/>
      <c r="K268" s="8"/>
    </row>
    <row r="269" ht="18.75" customHeight="1"/>
    <row r="270" ht="19.5" customHeight="1"/>
    <row r="271" ht="19.5" customHeight="1"/>
    <row r="272" ht="19.5" customHeight="1"/>
    <row r="273" ht="18.75" customHeight="1"/>
    <row r="274" ht="18.75" customHeight="1"/>
    <row r="275" ht="28.5" customHeight="1"/>
    <row r="276" spans="1:8" s="16" customFormat="1" ht="18.75" customHeight="1">
      <c r="A276" s="1"/>
      <c r="B276" s="1"/>
      <c r="C276" s="1"/>
      <c r="D276" s="1"/>
      <c r="E276" s="1"/>
      <c r="F276" s="1"/>
      <c r="G276" s="1"/>
      <c r="H276" s="272"/>
    </row>
    <row r="277" spans="1:8" s="16" customFormat="1" ht="18.75" customHeight="1">
      <c r="A277" s="1"/>
      <c r="B277" s="1"/>
      <c r="C277" s="1"/>
      <c r="D277" s="1"/>
      <c r="E277" s="1"/>
      <c r="F277" s="1"/>
      <c r="G277" s="1"/>
      <c r="H277" s="272"/>
    </row>
    <row r="278" spans="1:8" s="16" customFormat="1" ht="18.75" customHeight="1">
      <c r="A278" s="1"/>
      <c r="B278" s="1"/>
      <c r="C278" s="1"/>
      <c r="D278" s="1"/>
      <c r="E278" s="1"/>
      <c r="F278" s="1"/>
      <c r="G278" s="1"/>
      <c r="H278" s="272"/>
    </row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spans="1:8" s="16" customFormat="1" ht="19.5" customHeight="1">
      <c r="A287" s="1"/>
      <c r="B287" s="1"/>
      <c r="C287" s="1"/>
      <c r="D287" s="1"/>
      <c r="E287" s="1"/>
      <c r="F287" s="1"/>
      <c r="G287" s="1"/>
      <c r="H287" s="15"/>
    </row>
    <row r="288" spans="1:8" s="16" customFormat="1" ht="18.75" customHeight="1">
      <c r="A288" s="1"/>
      <c r="B288" s="1"/>
      <c r="C288" s="1"/>
      <c r="D288" s="1"/>
      <c r="E288" s="1"/>
      <c r="F288" s="1"/>
      <c r="G288" s="1"/>
      <c r="H288" s="272"/>
    </row>
    <row r="289" spans="1:8" s="16" customFormat="1" ht="18.75" customHeight="1">
      <c r="A289" s="1"/>
      <c r="B289" s="1"/>
      <c r="C289" s="1"/>
      <c r="D289" s="1"/>
      <c r="E289" s="1"/>
      <c r="F289" s="1"/>
      <c r="G289" s="1"/>
      <c r="H289" s="272"/>
    </row>
    <row r="290" spans="1:8" s="16" customFormat="1" ht="18.75" customHeight="1">
      <c r="A290" s="1"/>
      <c r="B290" s="1"/>
      <c r="C290" s="1"/>
      <c r="D290" s="1"/>
      <c r="E290" s="1"/>
      <c r="F290" s="1"/>
      <c r="G290" s="1"/>
      <c r="H290" s="272"/>
    </row>
    <row r="291" ht="19.5" customHeight="1"/>
    <row r="292" ht="18.75" customHeight="1"/>
    <row r="293" spans="1:8" s="16" customFormat="1" ht="18.75" customHeight="1">
      <c r="A293" s="1"/>
      <c r="B293" s="1"/>
      <c r="C293" s="1"/>
      <c r="D293" s="1"/>
      <c r="E293" s="1"/>
      <c r="F293" s="1"/>
      <c r="G293" s="1"/>
      <c r="H293" s="272"/>
    </row>
    <row r="294" ht="18.75" customHeight="1"/>
    <row r="295" spans="1:8" s="16" customFormat="1" ht="18.75" customHeight="1">
      <c r="A295" s="1"/>
      <c r="B295" s="1"/>
      <c r="C295" s="1"/>
      <c r="D295" s="1"/>
      <c r="E295" s="1"/>
      <c r="F295" s="1"/>
      <c r="G295" s="1"/>
      <c r="H295" s="272"/>
    </row>
    <row r="296" spans="1:8" s="16" customFormat="1" ht="27" customHeight="1">
      <c r="A296" s="1"/>
      <c r="B296" s="1"/>
      <c r="C296" s="1"/>
      <c r="D296" s="1"/>
      <c r="E296" s="1"/>
      <c r="F296" s="1"/>
      <c r="G296" s="1"/>
      <c r="H296" s="272"/>
    </row>
    <row r="297" spans="1:8" s="16" customFormat="1" ht="18.75" customHeight="1">
      <c r="A297" s="1"/>
      <c r="B297" s="1"/>
      <c r="C297" s="1"/>
      <c r="D297" s="1"/>
      <c r="E297" s="1"/>
      <c r="F297" s="1"/>
      <c r="G297" s="1"/>
      <c r="H297" s="272"/>
    </row>
    <row r="298" spans="1:8" s="16" customFormat="1" ht="19.5" customHeight="1">
      <c r="A298" s="1"/>
      <c r="B298" s="1"/>
      <c r="C298" s="1"/>
      <c r="D298" s="1"/>
      <c r="E298" s="1"/>
      <c r="F298" s="1"/>
      <c r="G298" s="1"/>
      <c r="H298" s="272"/>
    </row>
    <row r="299" ht="19.5" customHeight="1"/>
    <row r="300" ht="19.5" customHeight="1"/>
    <row r="301" ht="19.5" customHeight="1"/>
    <row r="302" ht="19.5" customHeight="1"/>
    <row r="303" ht="19.5" customHeight="1"/>
    <row r="304" spans="1:8" s="16" customFormat="1" ht="18.75" customHeight="1">
      <c r="A304" s="1"/>
      <c r="B304" s="1"/>
      <c r="C304" s="1"/>
      <c r="D304" s="1"/>
      <c r="E304" s="1"/>
      <c r="F304" s="1"/>
      <c r="G304" s="1"/>
      <c r="H304" s="272"/>
    </row>
    <row r="305" spans="1:8" s="16" customFormat="1" ht="19.5" customHeight="1">
      <c r="A305" s="1"/>
      <c r="B305" s="1"/>
      <c r="C305" s="1"/>
      <c r="D305" s="1"/>
      <c r="E305" s="1"/>
      <c r="F305" s="1"/>
      <c r="G305" s="1"/>
      <c r="H305" s="272"/>
    </row>
    <row r="306" ht="19.5" customHeight="1"/>
    <row r="307" ht="18.75" customHeight="1"/>
    <row r="308" ht="18" customHeight="1"/>
    <row r="309" ht="28.5" customHeight="1"/>
    <row r="310" ht="20.25" customHeight="1"/>
    <row r="311" ht="18" customHeight="1"/>
    <row r="312" ht="19.5" customHeight="1"/>
    <row r="313" ht="20.25" customHeight="1"/>
    <row r="314" ht="20.25" customHeight="1"/>
    <row r="315" ht="20.25" customHeight="1"/>
    <row r="316" spans="1:7" s="16" customFormat="1" ht="27" customHeight="1">
      <c r="A316" s="1"/>
      <c r="B316" s="1"/>
      <c r="C316" s="1"/>
      <c r="D316" s="1"/>
      <c r="E316" s="1"/>
      <c r="F316" s="1"/>
      <c r="G316" s="1"/>
    </row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27.75" customHeight="1"/>
    <row r="337" ht="20.25" customHeight="1"/>
    <row r="338" ht="20.25" customHeight="1"/>
    <row r="339" ht="19.5" customHeight="1"/>
    <row r="340" ht="25.5" customHeight="1"/>
    <row r="341" ht="26.25" customHeight="1"/>
    <row r="342" ht="19.5" customHeight="1"/>
    <row r="343" ht="18.75" customHeight="1"/>
    <row r="344" ht="18" customHeight="1"/>
    <row r="345" ht="19.5" customHeight="1"/>
    <row r="346" ht="19.5" customHeight="1"/>
    <row r="347" ht="20.25" customHeight="1"/>
    <row r="348" ht="19.5" customHeight="1"/>
    <row r="349" ht="19.5" customHeight="1"/>
    <row r="350" ht="20.25" customHeight="1"/>
    <row r="351" ht="18" customHeight="1"/>
    <row r="352" ht="19.5" customHeight="1"/>
    <row r="353" ht="19.5" customHeight="1"/>
  </sheetData>
  <printOptions horizontalCentered="1"/>
  <pageMargins left="0.3937007874015748" right="0.3937007874015748" top="0.61" bottom="0.47" header="0.5118110236220472" footer="0.31496062992125984"/>
  <pageSetup firstPageNumber="8" useFirstPageNumber="1" horizontalDpi="300" verticalDpi="300" orientation="landscape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41"/>
  <dimension ref="A1:K48"/>
  <sheetViews>
    <sheetView zoomScale="90" zoomScaleNormal="90" zoomScaleSheetLayoutView="75" workbookViewId="0" topLeftCell="A8">
      <pane ySplit="1065" topLeftCell="BM40" activePane="bottomLeft" state="split"/>
      <selection pane="topLeft" activeCell="C8" sqref="C8"/>
      <selection pane="bottomLeft" activeCell="C51" sqref="C51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5.375" style="1" customWidth="1"/>
    <col min="4" max="9" width="15.75390625" style="1" customWidth="1"/>
    <col min="11" max="11" width="11.75390625" style="0" customWidth="1"/>
  </cols>
  <sheetData>
    <row r="1" spans="2:8" ht="13.5" customHeight="1">
      <c r="B1" s="26"/>
      <c r="C1" s="27"/>
      <c r="D1" s="27"/>
      <c r="G1" s="410" t="s">
        <v>387</v>
      </c>
      <c r="H1" s="28"/>
    </row>
    <row r="2" spans="1:7" ht="13.5" customHeight="1">
      <c r="A2" s="107" t="s">
        <v>796</v>
      </c>
      <c r="B2" s="107"/>
      <c r="C2" s="107"/>
      <c r="D2" s="29"/>
      <c r="G2" s="1" t="s">
        <v>658</v>
      </c>
    </row>
    <row r="3" spans="1:7" ht="13.5" customHeight="1">
      <c r="A3" s="107" t="s">
        <v>875</v>
      </c>
      <c r="C3" s="111"/>
      <c r="D3" s="30"/>
      <c r="G3" s="1" t="s">
        <v>817</v>
      </c>
    </row>
    <row r="4" spans="1:7" ht="13.5" customHeight="1">
      <c r="A4" s="107" t="s">
        <v>863</v>
      </c>
      <c r="C4" s="111"/>
      <c r="D4" s="30"/>
      <c r="G4" s="1" t="s">
        <v>371</v>
      </c>
    </row>
    <row r="5" spans="1:9" ht="12" customHeight="1">
      <c r="A5" s="31"/>
      <c r="B5" s="31"/>
      <c r="C5" s="31"/>
      <c r="D5" s="31"/>
      <c r="E5" s="32"/>
      <c r="F5" s="32"/>
      <c r="G5" s="32"/>
      <c r="H5" s="32"/>
      <c r="I5" s="32"/>
    </row>
    <row r="6" spans="5:9" ht="12" customHeight="1" thickBot="1">
      <c r="E6" s="33"/>
      <c r="F6" s="33"/>
      <c r="G6" s="33"/>
      <c r="H6" s="33"/>
      <c r="I6" s="3" t="s">
        <v>819</v>
      </c>
    </row>
    <row r="7" spans="1:9" ht="15" customHeight="1" thickTop="1">
      <c r="A7" s="34"/>
      <c r="B7" s="34"/>
      <c r="C7" s="35" t="s">
        <v>842</v>
      </c>
      <c r="D7" s="1441" t="s">
        <v>854</v>
      </c>
      <c r="E7" s="1438" t="s">
        <v>799</v>
      </c>
      <c r="F7" s="99"/>
      <c r="G7" s="1441" t="s">
        <v>855</v>
      </c>
      <c r="H7" s="1438" t="s">
        <v>799</v>
      </c>
      <c r="I7" s="1438" t="s">
        <v>797</v>
      </c>
    </row>
    <row r="8" spans="1:9" ht="83.25" customHeight="1" thickBot="1">
      <c r="A8" s="94" t="s">
        <v>840</v>
      </c>
      <c r="B8" s="36" t="s">
        <v>876</v>
      </c>
      <c r="C8" s="36" t="s">
        <v>541</v>
      </c>
      <c r="D8" s="1442"/>
      <c r="E8" s="1439"/>
      <c r="F8" s="36" t="s">
        <v>851</v>
      </c>
      <c r="G8" s="1444"/>
      <c r="H8" s="1443"/>
      <c r="I8" s="1440"/>
    </row>
    <row r="9" spans="1:9" ht="14.25" customHeight="1" thickBot="1" thickTop="1">
      <c r="A9" s="6">
        <v>1</v>
      </c>
      <c r="B9" s="6">
        <v>2</v>
      </c>
      <c r="C9" s="6">
        <v>3</v>
      </c>
      <c r="D9" s="37">
        <v>4</v>
      </c>
      <c r="E9" s="37">
        <v>5</v>
      </c>
      <c r="F9" s="37">
        <v>6</v>
      </c>
      <c r="G9" s="6">
        <v>7</v>
      </c>
      <c r="H9" s="6">
        <v>8</v>
      </c>
      <c r="I9" s="6">
        <v>9</v>
      </c>
    </row>
    <row r="10" spans="1:11" ht="18" customHeight="1" thickBot="1" thickTop="1">
      <c r="A10" s="137"/>
      <c r="B10" s="138"/>
      <c r="C10" s="134" t="s">
        <v>800</v>
      </c>
      <c r="D10" s="141">
        <f>D12+D30</f>
        <v>86626782</v>
      </c>
      <c r="E10" s="132">
        <f>E12+E30</f>
        <v>681011</v>
      </c>
      <c r="F10" s="132">
        <f>D10+E10</f>
        <v>87307793</v>
      </c>
      <c r="G10" s="132">
        <f>G12+G30</f>
        <v>79702382</v>
      </c>
      <c r="H10" s="132">
        <f>H12+H30</f>
        <v>681011</v>
      </c>
      <c r="I10" s="132">
        <f>G10+H10</f>
        <v>80383393</v>
      </c>
      <c r="K10" s="25">
        <f>'doch Pr'!H8</f>
        <v>777772568</v>
      </c>
    </row>
    <row r="11" spans="1:9" ht="12" customHeight="1">
      <c r="A11" s="123"/>
      <c r="B11" s="112"/>
      <c r="C11" s="135" t="s">
        <v>826</v>
      </c>
      <c r="D11" s="158"/>
      <c r="E11" s="133"/>
      <c r="F11" s="133"/>
      <c r="G11" s="133"/>
      <c r="H11" s="133"/>
      <c r="I11" s="139"/>
    </row>
    <row r="12" spans="1:11" ht="18" customHeight="1" thickBot="1">
      <c r="A12" s="228"/>
      <c r="B12" s="119"/>
      <c r="C12" s="224" t="s">
        <v>801</v>
      </c>
      <c r="D12" s="85">
        <v>59783064</v>
      </c>
      <c r="E12" s="225">
        <f>E13+E18+E24</f>
        <v>529025</v>
      </c>
      <c r="F12" s="225">
        <f>D12+E12</f>
        <v>60312089</v>
      </c>
      <c r="G12" s="225">
        <v>58419064</v>
      </c>
      <c r="H12" s="225">
        <f>H13+H18+H24</f>
        <v>529025</v>
      </c>
      <c r="I12" s="85">
        <f>G12+H12</f>
        <v>58948089</v>
      </c>
      <c r="K12" s="25">
        <f>'doch Pr'!G22+'doch Pr'!G44</f>
        <v>681011</v>
      </c>
    </row>
    <row r="13" spans="1:9" ht="25.5" customHeight="1" thickTop="1">
      <c r="A13" s="1129">
        <v>751</v>
      </c>
      <c r="B13" s="605"/>
      <c r="C13" s="98" t="s">
        <v>754</v>
      </c>
      <c r="D13" s="98">
        <v>850166</v>
      </c>
      <c r="E13" s="98">
        <f>E14</f>
        <v>483820</v>
      </c>
      <c r="F13" s="98">
        <f>D13+E13</f>
        <v>1333986</v>
      </c>
      <c r="G13" s="98">
        <v>850166</v>
      </c>
      <c r="H13" s="98">
        <f>H14</f>
        <v>483820</v>
      </c>
      <c r="I13" s="98">
        <f>G13+H13</f>
        <v>1333986</v>
      </c>
    </row>
    <row r="14" spans="1:9" s="51" customFormat="1" ht="20.25" customHeight="1">
      <c r="A14" s="557"/>
      <c r="B14" s="1385">
        <v>75107</v>
      </c>
      <c r="C14" s="234" t="s">
        <v>490</v>
      </c>
      <c r="D14" s="234">
        <v>315306</v>
      </c>
      <c r="E14" s="234">
        <f>E15</f>
        <v>483820</v>
      </c>
      <c r="F14" s="234">
        <f>D14+E14</f>
        <v>799126</v>
      </c>
      <c r="G14" s="234">
        <v>315306</v>
      </c>
      <c r="H14" s="234">
        <f>H17</f>
        <v>483820</v>
      </c>
      <c r="I14" s="234">
        <f>G14+H14</f>
        <v>799126</v>
      </c>
    </row>
    <row r="15" spans="1:9" s="51" customFormat="1" ht="27.75" customHeight="1">
      <c r="A15" s="899"/>
      <c r="B15" s="1386"/>
      <c r="C15" s="235" t="s">
        <v>757</v>
      </c>
      <c r="D15" s="235">
        <v>315306</v>
      </c>
      <c r="E15" s="235">
        <f>E16</f>
        <v>483820</v>
      </c>
      <c r="F15" s="235">
        <f>D15+E15</f>
        <v>799126</v>
      </c>
      <c r="G15" s="235"/>
      <c r="H15" s="235"/>
      <c r="I15" s="777"/>
    </row>
    <row r="16" spans="1:9" s="50" customFormat="1" ht="29.25" customHeight="1">
      <c r="A16" s="220"/>
      <c r="B16" s="1387">
        <v>2010</v>
      </c>
      <c r="C16" s="236" t="s">
        <v>756</v>
      </c>
      <c r="D16" s="236">
        <v>315306</v>
      </c>
      <c r="E16" s="236">
        <f>241900+241920</f>
        <v>483820</v>
      </c>
      <c r="F16" s="236">
        <f>D16+E16</f>
        <v>799126</v>
      </c>
      <c r="G16" s="236"/>
      <c r="H16" s="236"/>
      <c r="I16" s="236"/>
    </row>
    <row r="17" spans="1:9" s="51" customFormat="1" ht="19.5" customHeight="1">
      <c r="A17" s="484"/>
      <c r="B17" s="1388"/>
      <c r="C17" s="277" t="s">
        <v>330</v>
      </c>
      <c r="D17" s="235"/>
      <c r="E17" s="235"/>
      <c r="F17" s="235"/>
      <c r="G17" s="235">
        <v>315306</v>
      </c>
      <c r="H17" s="1263">
        <v>483820</v>
      </c>
      <c r="I17" s="235">
        <f>G17+H17</f>
        <v>799126</v>
      </c>
    </row>
    <row r="18" spans="1:9" s="51" customFormat="1" ht="19.5" customHeight="1">
      <c r="A18" s="413">
        <v>851</v>
      </c>
      <c r="B18" s="509"/>
      <c r="C18" s="509" t="s">
        <v>877</v>
      </c>
      <c r="D18" s="530"/>
      <c r="E18" s="370">
        <f>E19</f>
        <v>1605</v>
      </c>
      <c r="F18" s="370">
        <f>D18+E18</f>
        <v>1605</v>
      </c>
      <c r="G18" s="370"/>
      <c r="H18" s="369">
        <f>H19</f>
        <v>1605</v>
      </c>
      <c r="I18" s="370">
        <f>G18+H18</f>
        <v>1605</v>
      </c>
    </row>
    <row r="19" spans="1:9" s="51" customFormat="1" ht="19.5" customHeight="1">
      <c r="A19" s="636"/>
      <c r="B19" s="286">
        <v>85195</v>
      </c>
      <c r="C19" s="286" t="s">
        <v>829</v>
      </c>
      <c r="D19" s="1378"/>
      <c r="E19" s="686">
        <f>E20</f>
        <v>1605</v>
      </c>
      <c r="F19" s="772">
        <f>D19+E19</f>
        <v>1605</v>
      </c>
      <c r="G19" s="686"/>
      <c r="H19" s="414">
        <f>H22</f>
        <v>1605</v>
      </c>
      <c r="I19" s="772">
        <f>G19+H19</f>
        <v>1605</v>
      </c>
    </row>
    <row r="20" spans="1:9" s="51" customFormat="1" ht="27" customHeight="1">
      <c r="A20" s="288"/>
      <c r="B20" s="289"/>
      <c r="C20" s="230" t="s">
        <v>550</v>
      </c>
      <c r="D20" s="607"/>
      <c r="E20" s="461">
        <f>E21</f>
        <v>1605</v>
      </c>
      <c r="F20" s="461">
        <f>D20+E20</f>
        <v>1605</v>
      </c>
      <c r="G20" s="498"/>
      <c r="H20" s="499"/>
      <c r="I20" s="498"/>
    </row>
    <row r="21" spans="1:9" s="51" customFormat="1" ht="26.25" customHeight="1">
      <c r="A21" s="188"/>
      <c r="B21" s="226">
        <v>2010</v>
      </c>
      <c r="C21" s="227" t="s">
        <v>756</v>
      </c>
      <c r="D21" s="617"/>
      <c r="E21" s="577">
        <v>1605</v>
      </c>
      <c r="F21" s="577">
        <f>D21+E21</f>
        <v>1605</v>
      </c>
      <c r="G21" s="577"/>
      <c r="H21" s="475"/>
      <c r="I21" s="577"/>
    </row>
    <row r="22" spans="1:9" s="51" customFormat="1" ht="18.75" customHeight="1">
      <c r="A22" s="590"/>
      <c r="B22" s="289"/>
      <c r="C22" s="230" t="s">
        <v>648</v>
      </c>
      <c r="D22" s="607"/>
      <c r="E22" s="498"/>
      <c r="F22" s="498"/>
      <c r="G22" s="498"/>
      <c r="H22" s="269">
        <v>1605</v>
      </c>
      <c r="I22" s="461">
        <f>G22+H22</f>
        <v>1605</v>
      </c>
    </row>
    <row r="23" spans="1:9" s="51" customFormat="1" ht="18.75" customHeight="1">
      <c r="A23" s="1391"/>
      <c r="B23" s="189"/>
      <c r="C23" s="189" t="s">
        <v>542</v>
      </c>
      <c r="D23" s="1002"/>
      <c r="E23" s="443"/>
      <c r="F23" s="443"/>
      <c r="G23" s="443"/>
      <c r="H23" s="270">
        <v>1341</v>
      </c>
      <c r="I23" s="265">
        <f>G23+H23</f>
        <v>1341</v>
      </c>
    </row>
    <row r="24" spans="1:9" s="51" customFormat="1" ht="18.75" customHeight="1">
      <c r="A24" s="412">
        <v>852</v>
      </c>
      <c r="B24" s="412"/>
      <c r="C24" s="412" t="s">
        <v>746</v>
      </c>
      <c r="D24" s="774">
        <v>56044200</v>
      </c>
      <c r="E24" s="370">
        <f>E25</f>
        <v>43600</v>
      </c>
      <c r="F24" s="370">
        <f>D24+E24</f>
        <v>56087800</v>
      </c>
      <c r="G24" s="369">
        <v>55966200</v>
      </c>
      <c r="H24" s="370">
        <f>H25</f>
        <v>43600</v>
      </c>
      <c r="I24" s="370">
        <f>G24+H24</f>
        <v>56009800</v>
      </c>
    </row>
    <row r="25" spans="1:9" s="51" customFormat="1" ht="19.5" customHeight="1">
      <c r="A25" s="1093"/>
      <c r="B25" s="203">
        <v>85278</v>
      </c>
      <c r="C25" s="383" t="s">
        <v>727</v>
      </c>
      <c r="D25" s="620">
        <v>82000</v>
      </c>
      <c r="E25" s="620">
        <f>E26</f>
        <v>43600</v>
      </c>
      <c r="F25" s="1377">
        <f>D25+E25</f>
        <v>125600</v>
      </c>
      <c r="G25" s="620">
        <v>82000</v>
      </c>
      <c r="H25" s="771">
        <f>H28</f>
        <v>43600</v>
      </c>
      <c r="I25" s="1377">
        <f>G25+H25</f>
        <v>125600</v>
      </c>
    </row>
    <row r="26" spans="1:9" s="51" customFormat="1" ht="28.5" customHeight="1">
      <c r="A26" s="1093"/>
      <c r="B26" s="767"/>
      <c r="C26" s="768" t="s">
        <v>562</v>
      </c>
      <c r="D26" s="461">
        <v>82000</v>
      </c>
      <c r="E26" s="461">
        <f>E27</f>
        <v>43600</v>
      </c>
      <c r="F26" s="461">
        <f>D26+E26</f>
        <v>125600</v>
      </c>
      <c r="G26" s="498"/>
      <c r="H26" s="499"/>
      <c r="I26" s="498"/>
    </row>
    <row r="27" spans="1:9" s="51" customFormat="1" ht="26.25" customHeight="1">
      <c r="A27" s="1093"/>
      <c r="B27" s="769">
        <v>2010</v>
      </c>
      <c r="C27" s="770" t="s">
        <v>549</v>
      </c>
      <c r="D27" s="443">
        <v>82000</v>
      </c>
      <c r="E27" s="443">
        <v>43600</v>
      </c>
      <c r="F27" s="443">
        <f>D27+E27</f>
        <v>125600</v>
      </c>
      <c r="G27" s="443"/>
      <c r="H27" s="270"/>
      <c r="I27" s="443"/>
    </row>
    <row r="28" spans="1:9" s="51" customFormat="1" ht="19.5" customHeight="1">
      <c r="A28" s="201"/>
      <c r="B28" s="973"/>
      <c r="C28" s="1395" t="s">
        <v>728</v>
      </c>
      <c r="D28" s="400"/>
      <c r="E28" s="400"/>
      <c r="F28" s="400"/>
      <c r="G28" s="624">
        <v>82000</v>
      </c>
      <c r="H28" s="1396">
        <v>43600</v>
      </c>
      <c r="I28" s="624">
        <f>G28+H28</f>
        <v>125600</v>
      </c>
    </row>
    <row r="29" spans="1:9" ht="60" customHeight="1">
      <c r="A29"/>
      <c r="B29"/>
      <c r="C29"/>
      <c r="D29"/>
      <c r="E29"/>
      <c r="F29"/>
      <c r="G29"/>
      <c r="H29"/>
      <c r="I29"/>
    </row>
    <row r="30" spans="1:9" s="51" customFormat="1" ht="27.75" customHeight="1" thickBot="1">
      <c r="A30" s="136"/>
      <c r="B30" s="114"/>
      <c r="C30" s="96" t="s">
        <v>847</v>
      </c>
      <c r="D30" s="97">
        <v>26843718</v>
      </c>
      <c r="E30" s="97">
        <f>E31+E39</f>
        <v>151986</v>
      </c>
      <c r="F30" s="97">
        <f>D30+E30</f>
        <v>26995704</v>
      </c>
      <c r="G30" s="97">
        <v>21283318</v>
      </c>
      <c r="H30" s="97">
        <f>H31+H39</f>
        <v>151986</v>
      </c>
      <c r="I30" s="97">
        <f>G30+H30</f>
        <v>21435304</v>
      </c>
    </row>
    <row r="31" spans="1:9" s="51" customFormat="1" ht="18.75" customHeight="1" thickTop="1">
      <c r="A31" s="565">
        <v>754</v>
      </c>
      <c r="B31" s="192"/>
      <c r="C31" s="238" t="s">
        <v>724</v>
      </c>
      <c r="D31" s="98">
        <v>12935400</v>
      </c>
      <c r="E31" s="98">
        <f>E32</f>
        <v>142000</v>
      </c>
      <c r="F31" s="98">
        <f aca="true" t="shared" si="0" ref="F31:F36">D31+E31</f>
        <v>13077400</v>
      </c>
      <c r="G31" s="98">
        <v>12853000</v>
      </c>
      <c r="H31" s="98">
        <f>H32</f>
        <v>142000</v>
      </c>
      <c r="I31" s="98">
        <f>G31+H31</f>
        <v>12995000</v>
      </c>
    </row>
    <row r="32" spans="1:9" s="51" customFormat="1" ht="18.75" customHeight="1">
      <c r="A32" s="458"/>
      <c r="B32" s="193">
        <v>75411</v>
      </c>
      <c r="C32" s="481" t="s">
        <v>489</v>
      </c>
      <c r="D32" s="522">
        <v>12923400</v>
      </c>
      <c r="E32" s="522">
        <f>E33+E35</f>
        <v>142000</v>
      </c>
      <c r="F32" s="522">
        <f t="shared" si="0"/>
        <v>13065400</v>
      </c>
      <c r="G32" s="522">
        <v>12841000</v>
      </c>
      <c r="H32" s="522">
        <f>H37+H38</f>
        <v>142000</v>
      </c>
      <c r="I32" s="522">
        <f>G32+H32</f>
        <v>12983000</v>
      </c>
    </row>
    <row r="33" spans="1:9" s="51" customFormat="1" ht="27.75" customHeight="1">
      <c r="A33" s="458"/>
      <c r="B33" s="592"/>
      <c r="C33" s="593" t="s">
        <v>680</v>
      </c>
      <c r="D33" s="521">
        <v>12591000</v>
      </c>
      <c r="E33" s="521">
        <f>E34</f>
        <v>42000</v>
      </c>
      <c r="F33" s="521">
        <f t="shared" si="0"/>
        <v>12633000</v>
      </c>
      <c r="G33" s="518"/>
      <c r="H33" s="599"/>
      <c r="I33" s="599"/>
    </row>
    <row r="34" spans="1:9" s="51" customFormat="1" ht="40.5" customHeight="1">
      <c r="A34" s="458"/>
      <c r="B34" s="396">
        <v>2110</v>
      </c>
      <c r="C34" s="420" t="s">
        <v>332</v>
      </c>
      <c r="D34" s="520">
        <v>12591000</v>
      </c>
      <c r="E34" s="520">
        <v>42000</v>
      </c>
      <c r="F34" s="1375">
        <f t="shared" si="0"/>
        <v>12633000</v>
      </c>
      <c r="G34" s="517"/>
      <c r="H34" s="522"/>
      <c r="I34" s="522"/>
    </row>
    <row r="35" spans="1:9" s="51" customFormat="1" ht="25.5" customHeight="1">
      <c r="A35" s="458"/>
      <c r="B35" s="206"/>
      <c r="C35" s="593" t="s">
        <v>481</v>
      </c>
      <c r="D35" s="521">
        <v>250000</v>
      </c>
      <c r="E35" s="521">
        <f>E36</f>
        <v>100000</v>
      </c>
      <c r="F35" s="521">
        <f t="shared" si="0"/>
        <v>350000</v>
      </c>
      <c r="G35" s="518"/>
      <c r="H35" s="595"/>
      <c r="I35" s="595"/>
    </row>
    <row r="36" spans="1:9" s="51" customFormat="1" ht="27" customHeight="1">
      <c r="A36" s="458"/>
      <c r="B36" s="396">
        <v>6410</v>
      </c>
      <c r="C36" s="639" t="s">
        <v>482</v>
      </c>
      <c r="D36" s="92">
        <v>250000</v>
      </c>
      <c r="E36" s="92">
        <v>100000</v>
      </c>
      <c r="F36" s="92">
        <f t="shared" si="0"/>
        <v>350000</v>
      </c>
      <c r="G36" s="598"/>
      <c r="H36" s="92"/>
      <c r="I36" s="92"/>
    </row>
    <row r="37" spans="1:9" s="51" customFormat="1" ht="18.75" customHeight="1">
      <c r="A37" s="459"/>
      <c r="B37" s="478"/>
      <c r="C37" s="384" t="s">
        <v>828</v>
      </c>
      <c r="D37" s="599"/>
      <c r="E37" s="599"/>
      <c r="F37" s="595"/>
      <c r="G37" s="521">
        <v>3007700</v>
      </c>
      <c r="H37" s="521">
        <v>42000</v>
      </c>
      <c r="I37" s="521">
        <f>G37+H37</f>
        <v>3049700</v>
      </c>
    </row>
    <row r="38" spans="1:9" s="51" customFormat="1" ht="18.75" customHeight="1">
      <c r="A38" s="458"/>
      <c r="B38" s="191"/>
      <c r="C38" s="250" t="s">
        <v>495</v>
      </c>
      <c r="D38" s="517"/>
      <c r="E38" s="517"/>
      <c r="F38" s="517"/>
      <c r="G38" s="566">
        <v>250000</v>
      </c>
      <c r="H38" s="566">
        <v>100000</v>
      </c>
      <c r="I38" s="566">
        <f>G38+H38</f>
        <v>350000</v>
      </c>
    </row>
    <row r="39" spans="1:9" ht="18.75" customHeight="1">
      <c r="A39" s="535">
        <v>853</v>
      </c>
      <c r="B39" s="368"/>
      <c r="C39" s="413" t="s">
        <v>752</v>
      </c>
      <c r="D39" s="436">
        <v>561154</v>
      </c>
      <c r="E39" s="436">
        <f>E40</f>
        <v>9986</v>
      </c>
      <c r="F39" s="436">
        <f>SUM(D39:E39)</f>
        <v>571140</v>
      </c>
      <c r="G39" s="436">
        <v>561154</v>
      </c>
      <c r="H39" s="436">
        <f>H40</f>
        <v>9986</v>
      </c>
      <c r="I39" s="436">
        <f>SUM(G39:H39)</f>
        <v>571140</v>
      </c>
    </row>
    <row r="40" spans="1:9" ht="21.75" customHeight="1">
      <c r="A40" s="419"/>
      <c r="B40" s="364">
        <v>85334</v>
      </c>
      <c r="C40" s="416" t="s">
        <v>753</v>
      </c>
      <c r="D40" s="196">
        <v>35154</v>
      </c>
      <c r="E40" s="196">
        <f>E41</f>
        <v>9986</v>
      </c>
      <c r="F40" s="434">
        <f>D40+E40</f>
        <v>45140</v>
      </c>
      <c r="G40" s="196">
        <v>35154</v>
      </c>
      <c r="H40" s="196">
        <f>H43</f>
        <v>9986</v>
      </c>
      <c r="I40" s="196">
        <f>G40+H40</f>
        <v>45140</v>
      </c>
    </row>
    <row r="41" spans="1:9" ht="18" customHeight="1">
      <c r="A41" s="264"/>
      <c r="B41" s="191"/>
      <c r="C41" s="399" t="s">
        <v>563</v>
      </c>
      <c r="D41" s="219">
        <v>35154</v>
      </c>
      <c r="E41" s="219">
        <f>E42</f>
        <v>9986</v>
      </c>
      <c r="F41" s="219">
        <f>D41+E41</f>
        <v>45140</v>
      </c>
      <c r="G41" s="219"/>
      <c r="H41" s="219"/>
      <c r="I41" s="219"/>
    </row>
    <row r="42" spans="1:9" ht="37.5" customHeight="1">
      <c r="A42" s="415"/>
      <c r="B42" s="189">
        <v>2110</v>
      </c>
      <c r="C42" s="420" t="s">
        <v>332</v>
      </c>
      <c r="D42" s="220">
        <v>35154</v>
      </c>
      <c r="E42" s="220">
        <v>9986</v>
      </c>
      <c r="F42" s="220">
        <f>D42+E42</f>
        <v>45140</v>
      </c>
      <c r="G42" s="392"/>
      <c r="H42" s="392"/>
      <c r="I42" s="392"/>
    </row>
    <row r="43" spans="1:9" ht="17.25" customHeight="1">
      <c r="A43" s="136"/>
      <c r="B43" s="189"/>
      <c r="C43" s="201" t="s">
        <v>331</v>
      </c>
      <c r="D43" s="624"/>
      <c r="E43" s="624"/>
      <c r="F43" s="624"/>
      <c r="G43" s="624">
        <v>35154</v>
      </c>
      <c r="H43" s="624">
        <v>9986</v>
      </c>
      <c r="I43" s="624">
        <f>G43+H43</f>
        <v>45140</v>
      </c>
    </row>
    <row r="44" ht="18.75" customHeight="1"/>
    <row r="45" ht="18.75" customHeight="1"/>
    <row r="46" spans="2:4" ht="18.75" customHeight="1">
      <c r="B46" s="296" t="s">
        <v>24</v>
      </c>
      <c r="C46" s="296"/>
      <c r="D46" s="296" t="s">
        <v>22</v>
      </c>
    </row>
    <row r="47" spans="2:4" ht="18.75" customHeight="1">
      <c r="B47" s="297" t="s">
        <v>25</v>
      </c>
      <c r="C47" s="296"/>
      <c r="D47" s="296" t="s">
        <v>26</v>
      </c>
    </row>
    <row r="48" spans="2:4" ht="18.75" customHeight="1">
      <c r="B48" s="409" t="s">
        <v>23</v>
      </c>
      <c r="C48" s="231"/>
      <c r="D48" s="231" t="s">
        <v>27</v>
      </c>
    </row>
    <row r="49" ht="20.25" customHeight="1"/>
    <row r="50" ht="38.25" customHeight="1"/>
    <row r="51" ht="24" customHeight="1"/>
    <row r="52" ht="18.75" customHeight="1"/>
    <row r="53" ht="18.75" customHeight="1"/>
  </sheetData>
  <mergeCells count="5">
    <mergeCell ref="E7:E8"/>
    <mergeCell ref="I7:I8"/>
    <mergeCell ref="D7:D8"/>
    <mergeCell ref="H7:H8"/>
    <mergeCell ref="G7:G8"/>
  </mergeCells>
  <printOptions horizontalCentered="1"/>
  <pageMargins left="0.5905511811023623" right="0.5905511811023623" top="0.5511811023622047" bottom="0.6692913385826772" header="0.5118110236220472" footer="0.5118110236220472"/>
  <pageSetup firstPageNumber="20" useFirstPageNumber="1" horizontalDpi="300" verticalDpi="300" orientation="landscape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K63"/>
  <sheetViews>
    <sheetView zoomScale="90" zoomScaleNormal="90" zoomScaleSheetLayoutView="75" workbookViewId="0" topLeftCell="A1">
      <pane ySplit="6" topLeftCell="BM58" activePane="bottomLeft" state="frozen"/>
      <selection pane="topLeft" activeCell="D105" sqref="D105"/>
      <selection pane="bottomLeft" activeCell="D66" sqref="D66"/>
    </sheetView>
  </sheetViews>
  <sheetFormatPr defaultColWidth="9.00390625" defaultRowHeight="12.75"/>
  <cols>
    <col min="1" max="1" width="5.375" style="1" customWidth="1"/>
    <col min="2" max="2" width="8.625" style="1" customWidth="1"/>
    <col min="3" max="3" width="8.25390625" style="1" customWidth="1"/>
    <col min="4" max="4" width="65.625" style="1" customWidth="1"/>
    <col min="5" max="5" width="22.75390625" style="1" customWidth="1"/>
    <col min="6" max="7" width="18.00390625" style="1" customWidth="1"/>
    <col min="8" max="8" width="20.375" style="1" customWidth="1"/>
    <col min="9" max="9" width="12.00390625" style="1" customWidth="1"/>
    <col min="10" max="10" width="11.125" style="1" customWidth="1"/>
    <col min="11" max="11" width="15.25390625" style="1" customWidth="1"/>
    <col min="12" max="16384" width="9.125" style="1" customWidth="1"/>
  </cols>
  <sheetData>
    <row r="1" spans="2:7" ht="15" customHeight="1">
      <c r="B1" s="17"/>
      <c r="C1" s="17"/>
      <c r="G1" s="1" t="s">
        <v>388</v>
      </c>
    </row>
    <row r="2" ht="15" customHeight="1">
      <c r="G2" s="1" t="s">
        <v>658</v>
      </c>
    </row>
    <row r="3" spans="4:7" ht="15" customHeight="1">
      <c r="D3" s="18" t="s">
        <v>859</v>
      </c>
      <c r="G3" s="1" t="s">
        <v>817</v>
      </c>
    </row>
    <row r="4" ht="15" customHeight="1">
      <c r="G4" s="1" t="s">
        <v>371</v>
      </c>
    </row>
    <row r="5" ht="17.25" customHeight="1" thickBot="1">
      <c r="H5" s="3" t="s">
        <v>819</v>
      </c>
    </row>
    <row r="6" spans="1:8" ht="67.5" customHeight="1" thickBot="1" thickTop="1">
      <c r="A6" s="170" t="s">
        <v>820</v>
      </c>
      <c r="B6" s="170" t="s">
        <v>821</v>
      </c>
      <c r="C6" s="69" t="s">
        <v>822</v>
      </c>
      <c r="D6" s="69" t="s">
        <v>493</v>
      </c>
      <c r="E6" s="69" t="s">
        <v>868</v>
      </c>
      <c r="F6" s="69" t="s">
        <v>843</v>
      </c>
      <c r="G6" s="69" t="s">
        <v>833</v>
      </c>
      <c r="H6" s="5" t="s">
        <v>824</v>
      </c>
    </row>
    <row r="7" spans="1:8" s="20" customFormat="1" ht="15.75" customHeight="1" thickBot="1" thickTop="1">
      <c r="A7" s="169">
        <v>1</v>
      </c>
      <c r="B7" s="169">
        <v>2</v>
      </c>
      <c r="C7" s="169">
        <v>3</v>
      </c>
      <c r="D7" s="169">
        <v>4</v>
      </c>
      <c r="E7" s="169">
        <v>5</v>
      </c>
      <c r="F7" s="169">
        <v>6</v>
      </c>
      <c r="G7" s="169">
        <v>7</v>
      </c>
      <c r="H7" s="19">
        <v>8</v>
      </c>
    </row>
    <row r="8" spans="1:11" ht="24" customHeight="1" thickBot="1" thickTop="1">
      <c r="A8" s="127"/>
      <c r="B8" s="127"/>
      <c r="C8" s="127"/>
      <c r="D8" s="128" t="s">
        <v>834</v>
      </c>
      <c r="E8" s="124">
        <v>777724629</v>
      </c>
      <c r="F8" s="124">
        <f>F10+F35</f>
        <v>1100000</v>
      </c>
      <c r="G8" s="124">
        <f>G10+G35</f>
        <v>1147939</v>
      </c>
      <c r="H8" s="124">
        <f>E8+G8-F8</f>
        <v>777772568</v>
      </c>
      <c r="I8" s="8">
        <f>G8-F8</f>
        <v>47939</v>
      </c>
      <c r="J8" s="8"/>
      <c r="K8" s="8"/>
    </row>
    <row r="9" spans="1:8" ht="13.5" customHeight="1" thickTop="1">
      <c r="A9" s="77"/>
      <c r="B9" s="77"/>
      <c r="C9" s="77"/>
      <c r="D9" s="77" t="s">
        <v>826</v>
      </c>
      <c r="E9" s="91"/>
      <c r="F9" s="91"/>
      <c r="G9" s="91"/>
      <c r="H9" s="91"/>
    </row>
    <row r="10" spans="1:11" ht="19.5" customHeight="1" thickBot="1">
      <c r="A10" s="77"/>
      <c r="B10" s="77"/>
      <c r="C10" s="77"/>
      <c r="D10" s="129" t="s">
        <v>869</v>
      </c>
      <c r="E10" s="125">
        <v>546914069</v>
      </c>
      <c r="F10" s="125">
        <f>F11+F12+F13+F21+F22</f>
        <v>1100000</v>
      </c>
      <c r="G10" s="125">
        <f>G11+G12+G13+G21+G22</f>
        <v>971953</v>
      </c>
      <c r="H10" s="125">
        <f>E10+G10-F10</f>
        <v>546786022</v>
      </c>
      <c r="I10" s="8"/>
      <c r="K10" s="8"/>
    </row>
    <row r="11" spans="1:8" s="17" customFormat="1" ht="19.5" customHeight="1" thickBot="1">
      <c r="A11" s="112"/>
      <c r="B11" s="112"/>
      <c r="C11" s="112"/>
      <c r="D11" s="130" t="s">
        <v>835</v>
      </c>
      <c r="E11" s="97">
        <v>375445074</v>
      </c>
      <c r="F11" s="97"/>
      <c r="G11" s="97"/>
      <c r="H11" s="126">
        <f>E11+G11-F11</f>
        <v>375445074</v>
      </c>
    </row>
    <row r="12" spans="1:8" s="17" customFormat="1" ht="19.5" customHeight="1" thickBot="1" thickTop="1">
      <c r="A12" s="112"/>
      <c r="B12" s="112"/>
      <c r="C12" s="112"/>
      <c r="D12" s="96" t="s">
        <v>766</v>
      </c>
      <c r="E12" s="217">
        <v>101029188</v>
      </c>
      <c r="F12" s="217"/>
      <c r="G12" s="217"/>
      <c r="H12" s="97">
        <f>E12+G12-F12</f>
        <v>101029188</v>
      </c>
    </row>
    <row r="13" spans="1:8" s="17" customFormat="1" ht="19.5" customHeight="1" thickBot="1" thickTop="1">
      <c r="A13" s="112"/>
      <c r="B13" s="112"/>
      <c r="C13" s="112"/>
      <c r="D13" s="96" t="s">
        <v>837</v>
      </c>
      <c r="E13" s="97">
        <v>11481443</v>
      </c>
      <c r="F13" s="97">
        <f>F14</f>
        <v>1100000</v>
      </c>
      <c r="G13" s="97">
        <f>G14</f>
        <v>442928</v>
      </c>
      <c r="H13" s="97">
        <f>E13+G13-F13</f>
        <v>10824371</v>
      </c>
    </row>
    <row r="14" spans="1:8" s="17" customFormat="1" ht="19.5" customHeight="1" thickTop="1">
      <c r="A14" s="509">
        <v>852</v>
      </c>
      <c r="B14" s="509"/>
      <c r="C14" s="413"/>
      <c r="D14" s="229" t="s">
        <v>746</v>
      </c>
      <c r="E14" s="524">
        <v>9690681</v>
      </c>
      <c r="F14" s="524">
        <f>F15</f>
        <v>1100000</v>
      </c>
      <c r="G14" s="524">
        <f>G18</f>
        <v>442928</v>
      </c>
      <c r="H14" s="524">
        <f aca="true" t="shared" si="0" ref="H14:H20">E14-F14+G14</f>
        <v>9033609</v>
      </c>
    </row>
    <row r="15" spans="1:8" s="17" customFormat="1" ht="19.5" customHeight="1">
      <c r="A15" s="636"/>
      <c r="B15" s="286">
        <v>85214</v>
      </c>
      <c r="C15" s="286"/>
      <c r="D15" s="286" t="s">
        <v>590</v>
      </c>
      <c r="E15" s="635">
        <v>3998000</v>
      </c>
      <c r="F15" s="635">
        <f>F16</f>
        <v>1100000</v>
      </c>
      <c r="G15" s="635"/>
      <c r="H15" s="635">
        <f t="shared" si="0"/>
        <v>2898000</v>
      </c>
    </row>
    <row r="16" spans="1:8" s="17" customFormat="1" ht="24" customHeight="1">
      <c r="A16" s="637"/>
      <c r="B16" s="424"/>
      <c r="C16" s="215"/>
      <c r="D16" s="195" t="s">
        <v>594</v>
      </c>
      <c r="E16" s="640">
        <v>3998000</v>
      </c>
      <c r="F16" s="640">
        <f>F17</f>
        <v>1100000</v>
      </c>
      <c r="G16" s="640"/>
      <c r="H16" s="640">
        <f t="shared" si="0"/>
        <v>2898000</v>
      </c>
    </row>
    <row r="17" spans="1:8" s="17" customFormat="1" ht="27" customHeight="1">
      <c r="A17" s="638"/>
      <c r="B17" s="415"/>
      <c r="C17" s="10">
        <v>2030</v>
      </c>
      <c r="D17" s="639" t="s">
        <v>939</v>
      </c>
      <c r="E17" s="641">
        <v>3998000</v>
      </c>
      <c r="F17" s="641">
        <v>1100000</v>
      </c>
      <c r="G17" s="641"/>
      <c r="H17" s="641">
        <f t="shared" si="0"/>
        <v>2898000</v>
      </c>
    </row>
    <row r="18" spans="1:8" s="17" customFormat="1" ht="19.5" customHeight="1">
      <c r="A18" s="112"/>
      <c r="B18" s="512">
        <v>85295</v>
      </c>
      <c r="C18" s="86"/>
      <c r="D18" s="512" t="s">
        <v>829</v>
      </c>
      <c r="E18" s="522">
        <v>1506470</v>
      </c>
      <c r="F18" s="517"/>
      <c r="G18" s="522">
        <f>G19</f>
        <v>442928</v>
      </c>
      <c r="H18" s="522">
        <f t="shared" si="0"/>
        <v>1949398</v>
      </c>
    </row>
    <row r="19" spans="1:8" s="17" customFormat="1" ht="26.25" customHeight="1">
      <c r="A19" s="112"/>
      <c r="B19" s="112"/>
      <c r="C19" s="513"/>
      <c r="D19" s="514" t="s">
        <v>938</v>
      </c>
      <c r="E19" s="521">
        <v>1506470</v>
      </c>
      <c r="F19" s="518"/>
      <c r="G19" s="521">
        <f>G20</f>
        <v>442928</v>
      </c>
      <c r="H19" s="521">
        <f t="shared" si="0"/>
        <v>1949398</v>
      </c>
    </row>
    <row r="20" spans="1:8" s="17" customFormat="1" ht="28.5" customHeight="1">
      <c r="A20" s="112"/>
      <c r="B20" s="112"/>
      <c r="C20" s="515">
        <v>2030</v>
      </c>
      <c r="D20" s="516" t="s">
        <v>939</v>
      </c>
      <c r="E20" s="520">
        <v>1506470</v>
      </c>
      <c r="F20" s="517"/>
      <c r="G20" s="520">
        <v>442928</v>
      </c>
      <c r="H20" s="520">
        <f t="shared" si="0"/>
        <v>1949398</v>
      </c>
    </row>
    <row r="21" spans="1:8" s="17" customFormat="1" ht="26.25" customHeight="1" thickBot="1">
      <c r="A21" s="112"/>
      <c r="B21" s="112"/>
      <c r="C21" s="112"/>
      <c r="D21" s="96" t="s">
        <v>289</v>
      </c>
      <c r="E21" s="523">
        <v>539300</v>
      </c>
      <c r="F21" s="523"/>
      <c r="G21" s="523"/>
      <c r="H21" s="523">
        <f aca="true" t="shared" si="1" ref="H21:H38">E21+G21-F21</f>
        <v>539300</v>
      </c>
    </row>
    <row r="22" spans="1:8" s="17" customFormat="1" ht="28.5" customHeight="1" thickBot="1" thickTop="1">
      <c r="A22" s="113"/>
      <c r="B22" s="113"/>
      <c r="C22" s="113"/>
      <c r="D22" s="96" t="s">
        <v>838</v>
      </c>
      <c r="E22" s="97">
        <v>58419064</v>
      </c>
      <c r="F22" s="97"/>
      <c r="G22" s="97">
        <f>G23+G27+G31</f>
        <v>529025</v>
      </c>
      <c r="H22" s="97">
        <f t="shared" si="1"/>
        <v>58948089</v>
      </c>
    </row>
    <row r="23" spans="1:8" s="17" customFormat="1" ht="26.25" customHeight="1" thickTop="1">
      <c r="A23" s="229">
        <v>751</v>
      </c>
      <c r="B23" s="229"/>
      <c r="C23" s="229"/>
      <c r="D23" s="229" t="s">
        <v>372</v>
      </c>
      <c r="E23" s="239">
        <v>850166</v>
      </c>
      <c r="F23" s="239"/>
      <c r="G23" s="239">
        <f>G24</f>
        <v>483820</v>
      </c>
      <c r="H23" s="239">
        <f t="shared" si="1"/>
        <v>1333986</v>
      </c>
    </row>
    <row r="24" spans="1:8" s="17" customFormat="1" ht="19.5" customHeight="1">
      <c r="A24" s="285"/>
      <c r="B24" s="223">
        <v>75107</v>
      </c>
      <c r="C24" s="286"/>
      <c r="D24" s="286" t="s">
        <v>755</v>
      </c>
      <c r="E24" s="284">
        <v>315306</v>
      </c>
      <c r="F24" s="284"/>
      <c r="G24" s="284">
        <f>G25</f>
        <v>483820</v>
      </c>
      <c r="H24" s="284">
        <f t="shared" si="1"/>
        <v>799126</v>
      </c>
    </row>
    <row r="25" spans="1:8" s="17" customFormat="1" ht="27" customHeight="1">
      <c r="A25" s="287"/>
      <c r="B25" s="288"/>
      <c r="C25" s="289"/>
      <c r="D25" s="230" t="s">
        <v>213</v>
      </c>
      <c r="E25" s="277">
        <v>315306</v>
      </c>
      <c r="F25" s="277"/>
      <c r="G25" s="277">
        <f>G26</f>
        <v>483820</v>
      </c>
      <c r="H25" s="277">
        <f t="shared" si="1"/>
        <v>799126</v>
      </c>
    </row>
    <row r="26" spans="1:8" s="17" customFormat="1" ht="27.75" customHeight="1">
      <c r="A26" s="189"/>
      <c r="B26" s="189"/>
      <c r="C26" s="226">
        <v>2010</v>
      </c>
      <c r="D26" s="227" t="s">
        <v>756</v>
      </c>
      <c r="E26" s="202">
        <v>315306</v>
      </c>
      <c r="F26" s="202"/>
      <c r="G26" s="202">
        <f>241900+241920</f>
        <v>483820</v>
      </c>
      <c r="H26" s="386">
        <f t="shared" si="1"/>
        <v>799126</v>
      </c>
    </row>
    <row r="27" spans="1:8" s="17" customFormat="1" ht="17.25" customHeight="1">
      <c r="A27" s="413">
        <v>851</v>
      </c>
      <c r="B27" s="229"/>
      <c r="C27" s="229"/>
      <c r="D27" s="229" t="s">
        <v>877</v>
      </c>
      <c r="E27" s="239"/>
      <c r="F27" s="239"/>
      <c r="G27" s="239">
        <f>G28</f>
        <v>1605</v>
      </c>
      <c r="H27" s="239">
        <f aca="true" t="shared" si="2" ref="H27:H34">E27-F27+G27</f>
        <v>1605</v>
      </c>
    </row>
    <row r="28" spans="1:8" s="17" customFormat="1" ht="19.5" customHeight="1">
      <c r="A28" s="285"/>
      <c r="B28" s="223">
        <v>85195</v>
      </c>
      <c r="C28" s="286"/>
      <c r="D28" s="286" t="s">
        <v>829</v>
      </c>
      <c r="E28" s="284"/>
      <c r="F28" s="284"/>
      <c r="G28" s="284">
        <f>G29</f>
        <v>1605</v>
      </c>
      <c r="H28" s="284">
        <f t="shared" si="2"/>
        <v>1605</v>
      </c>
    </row>
    <row r="29" spans="1:8" s="17" customFormat="1" ht="27" customHeight="1">
      <c r="A29" s="287"/>
      <c r="B29" s="288"/>
      <c r="C29" s="289"/>
      <c r="D29" s="230" t="s">
        <v>214</v>
      </c>
      <c r="E29" s="277"/>
      <c r="F29" s="277"/>
      <c r="G29" s="277">
        <f>G30</f>
        <v>1605</v>
      </c>
      <c r="H29" s="277">
        <f t="shared" si="2"/>
        <v>1605</v>
      </c>
    </row>
    <row r="30" spans="1:8" s="17" customFormat="1" ht="26.25" customHeight="1">
      <c r="A30" s="188"/>
      <c r="B30" s="189"/>
      <c r="C30" s="226">
        <v>2010</v>
      </c>
      <c r="D30" s="227" t="s">
        <v>756</v>
      </c>
      <c r="E30" s="202"/>
      <c r="F30" s="202"/>
      <c r="G30" s="202">
        <v>1605</v>
      </c>
      <c r="H30" s="386">
        <f t="shared" si="2"/>
        <v>1605</v>
      </c>
    </row>
    <row r="31" spans="1:8" s="17" customFormat="1" ht="19.5" customHeight="1">
      <c r="A31" s="509">
        <v>852</v>
      </c>
      <c r="B31" s="509"/>
      <c r="C31" s="413"/>
      <c r="D31" s="229" t="s">
        <v>746</v>
      </c>
      <c r="E31" s="629">
        <v>55966200</v>
      </c>
      <c r="F31" s="629"/>
      <c r="G31" s="629">
        <f>G32</f>
        <v>43600</v>
      </c>
      <c r="H31" s="753">
        <f t="shared" si="2"/>
        <v>56009800</v>
      </c>
    </row>
    <row r="32" spans="1:8" s="17" customFormat="1" ht="20.25" customHeight="1">
      <c r="A32" s="188"/>
      <c r="B32" s="223">
        <v>85278</v>
      </c>
      <c r="C32" s="286"/>
      <c r="D32" s="286" t="s">
        <v>727</v>
      </c>
      <c r="E32" s="284">
        <v>82000</v>
      </c>
      <c r="F32" s="284"/>
      <c r="G32" s="284">
        <f>G33</f>
        <v>43600</v>
      </c>
      <c r="H32" s="754">
        <f t="shared" si="2"/>
        <v>125600</v>
      </c>
    </row>
    <row r="33" spans="1:8" s="17" customFormat="1" ht="22.5" customHeight="1">
      <c r="A33" s="188"/>
      <c r="B33" s="288"/>
      <c r="C33" s="289"/>
      <c r="D33" s="230" t="s">
        <v>562</v>
      </c>
      <c r="E33" s="456">
        <v>82000</v>
      </c>
      <c r="F33" s="456"/>
      <c r="G33" s="456">
        <v>43600</v>
      </c>
      <c r="H33" s="456">
        <f t="shared" si="2"/>
        <v>125600</v>
      </c>
    </row>
    <row r="34" spans="1:8" s="17" customFormat="1" ht="26.25" customHeight="1">
      <c r="A34" s="188"/>
      <c r="B34" s="188"/>
      <c r="C34" s="226">
        <v>2010</v>
      </c>
      <c r="D34" s="227" t="s">
        <v>480</v>
      </c>
      <c r="E34" s="202">
        <v>82000</v>
      </c>
      <c r="F34" s="202"/>
      <c r="G34" s="202">
        <v>43600</v>
      </c>
      <c r="H34" s="202">
        <f t="shared" si="2"/>
        <v>125600</v>
      </c>
    </row>
    <row r="35" spans="1:8" s="17" customFormat="1" ht="31.5" customHeight="1" thickBot="1">
      <c r="A35" s="77"/>
      <c r="B35" s="77"/>
      <c r="C35" s="77"/>
      <c r="D35" s="129" t="s">
        <v>870</v>
      </c>
      <c r="E35" s="125">
        <v>230810560</v>
      </c>
      <c r="F35" s="125"/>
      <c r="G35" s="125">
        <f>G36+G37+G38+G39+G44</f>
        <v>175986</v>
      </c>
      <c r="H35" s="125">
        <f t="shared" si="1"/>
        <v>230986546</v>
      </c>
    </row>
    <row r="36" spans="1:8" s="17" customFormat="1" ht="22.5" customHeight="1" thickBot="1">
      <c r="A36" s="112"/>
      <c r="B36" s="112"/>
      <c r="C36" s="112"/>
      <c r="D36" s="131" t="s">
        <v>835</v>
      </c>
      <c r="E36" s="217">
        <v>63095330</v>
      </c>
      <c r="F36" s="216"/>
      <c r="G36" s="216"/>
      <c r="H36" s="88">
        <f t="shared" si="1"/>
        <v>63095330</v>
      </c>
    </row>
    <row r="37" spans="1:8" s="17" customFormat="1" ht="22.5" customHeight="1" thickBot="1" thickTop="1">
      <c r="A37" s="112"/>
      <c r="B37" s="112"/>
      <c r="C37" s="112"/>
      <c r="D37" s="96" t="s">
        <v>836</v>
      </c>
      <c r="E37" s="88">
        <v>132639298</v>
      </c>
      <c r="F37" s="88"/>
      <c r="G37" s="88"/>
      <c r="H37" s="88">
        <f t="shared" si="1"/>
        <v>132639298</v>
      </c>
    </row>
    <row r="38" spans="1:8" s="17" customFormat="1" ht="24" customHeight="1" thickBot="1" thickTop="1">
      <c r="A38" s="112"/>
      <c r="B38" s="112"/>
      <c r="C38" s="112"/>
      <c r="D38" s="209" t="s">
        <v>837</v>
      </c>
      <c r="E38" s="210">
        <v>9178001</v>
      </c>
      <c r="F38" s="210"/>
      <c r="G38" s="210"/>
      <c r="H38" s="88">
        <f t="shared" si="1"/>
        <v>9178001</v>
      </c>
    </row>
    <row r="39" spans="1:8" ht="28.5" customHeight="1" thickBot="1" thickTop="1">
      <c r="A39" s="113"/>
      <c r="B39" s="113"/>
      <c r="C39" s="113"/>
      <c r="D39" s="96" t="s">
        <v>290</v>
      </c>
      <c r="E39" s="88">
        <v>4614613</v>
      </c>
      <c r="F39" s="88"/>
      <c r="G39" s="88">
        <f>G40</f>
        <v>24000</v>
      </c>
      <c r="H39" s="88">
        <f>E39+G39-F39</f>
        <v>4638613</v>
      </c>
    </row>
    <row r="40" spans="1:8" ht="22.5" customHeight="1" thickTop="1">
      <c r="A40" s="509">
        <v>754</v>
      </c>
      <c r="B40" s="509"/>
      <c r="C40" s="413"/>
      <c r="D40" s="229" t="s">
        <v>724</v>
      </c>
      <c r="E40" s="629"/>
      <c r="F40" s="629"/>
      <c r="G40" s="629">
        <f>G41</f>
        <v>24000</v>
      </c>
      <c r="H40" s="753">
        <f>E40-F40+G40</f>
        <v>24000</v>
      </c>
    </row>
    <row r="41" spans="1:8" ht="22.5" customHeight="1">
      <c r="A41" s="204"/>
      <c r="B41" s="205">
        <v>75411</v>
      </c>
      <c r="C41" s="364"/>
      <c r="D41" s="416" t="s">
        <v>489</v>
      </c>
      <c r="E41" s="751"/>
      <c r="F41" s="751"/>
      <c r="G41" s="752">
        <f>G42</f>
        <v>24000</v>
      </c>
      <c r="H41" s="752">
        <f>E41-F41+G41</f>
        <v>24000</v>
      </c>
    </row>
    <row r="42" spans="1:8" ht="28.5" customHeight="1">
      <c r="A42" s="112"/>
      <c r="B42" s="112"/>
      <c r="C42" s="537"/>
      <c r="D42" s="593" t="s">
        <v>64</v>
      </c>
      <c r="E42" s="667"/>
      <c r="F42" s="667"/>
      <c r="G42" s="91">
        <f>G43</f>
        <v>24000</v>
      </c>
      <c r="H42" s="588">
        <f>E42-F42+G42</f>
        <v>24000</v>
      </c>
    </row>
    <row r="43" spans="1:8" ht="41.25" customHeight="1">
      <c r="A43" s="112"/>
      <c r="B43" s="112"/>
      <c r="C43" s="90">
        <v>6610</v>
      </c>
      <c r="D43" s="639" t="s">
        <v>63</v>
      </c>
      <c r="E43" s="831"/>
      <c r="F43" s="831"/>
      <c r="G43" s="586">
        <v>24000</v>
      </c>
      <c r="H43" s="455">
        <f>E43-F43+G43</f>
        <v>24000</v>
      </c>
    </row>
    <row r="44" spans="1:8" ht="27.75" customHeight="1" thickBot="1">
      <c r="A44" s="113"/>
      <c r="B44" s="113"/>
      <c r="C44" s="113"/>
      <c r="D44" s="96" t="s">
        <v>839</v>
      </c>
      <c r="E44" s="88">
        <v>21283318</v>
      </c>
      <c r="F44" s="88"/>
      <c r="G44" s="88">
        <f>G45+G52</f>
        <v>151986</v>
      </c>
      <c r="H44" s="88">
        <f>E44+G44-F44</f>
        <v>21435304</v>
      </c>
    </row>
    <row r="45" spans="1:8" ht="18.75" customHeight="1" thickTop="1">
      <c r="A45" s="417">
        <v>754</v>
      </c>
      <c r="B45" s="211"/>
      <c r="C45" s="418"/>
      <c r="D45" s="229" t="s">
        <v>724</v>
      </c>
      <c r="E45" s="268">
        <v>12853000</v>
      </c>
      <c r="F45" s="268"/>
      <c r="G45" s="268">
        <f>G46</f>
        <v>142000</v>
      </c>
      <c r="H45" s="239">
        <f aca="true" t="shared" si="3" ref="H45:H51">E45-F45+G45</f>
        <v>12995000</v>
      </c>
    </row>
    <row r="46" spans="1:8" ht="20.25" customHeight="1">
      <c r="A46" s="204"/>
      <c r="B46" s="205">
        <v>75411</v>
      </c>
      <c r="C46" s="364"/>
      <c r="D46" s="416" t="s">
        <v>489</v>
      </c>
      <c r="E46" s="291">
        <v>12841000</v>
      </c>
      <c r="F46" s="291"/>
      <c r="G46" s="291">
        <f>G47+G50</f>
        <v>142000</v>
      </c>
      <c r="H46" s="240">
        <f t="shared" si="3"/>
        <v>12983000</v>
      </c>
    </row>
    <row r="47" spans="1:8" ht="27" customHeight="1">
      <c r="A47" s="204"/>
      <c r="B47" s="591"/>
      <c r="C47" s="592"/>
      <c r="D47" s="593" t="s">
        <v>680</v>
      </c>
      <c r="E47" s="588">
        <v>12591000</v>
      </c>
      <c r="F47" s="588"/>
      <c r="G47" s="588">
        <f>G48</f>
        <v>42000</v>
      </c>
      <c r="H47" s="588">
        <f t="shared" si="3"/>
        <v>12633000</v>
      </c>
    </row>
    <row r="48" spans="1:8" ht="38.25" customHeight="1">
      <c r="A48" s="1020"/>
      <c r="B48" s="1021"/>
      <c r="C48" s="396">
        <v>2110</v>
      </c>
      <c r="D48" s="420" t="s">
        <v>332</v>
      </c>
      <c r="E48" s="756">
        <v>12591000</v>
      </c>
      <c r="F48" s="756"/>
      <c r="G48" s="756">
        <v>42000</v>
      </c>
      <c r="H48" s="190">
        <f t="shared" si="3"/>
        <v>12633000</v>
      </c>
    </row>
    <row r="49" ht="29.25" customHeight="1"/>
    <row r="50" spans="1:8" ht="27" customHeight="1">
      <c r="A50" s="264"/>
      <c r="B50" s="594"/>
      <c r="C50" s="206"/>
      <c r="D50" s="593" t="s">
        <v>481</v>
      </c>
      <c r="E50" s="588">
        <v>250000</v>
      </c>
      <c r="F50" s="588"/>
      <c r="G50" s="588">
        <f>G51</f>
        <v>100000</v>
      </c>
      <c r="H50" s="588">
        <f t="shared" si="3"/>
        <v>350000</v>
      </c>
    </row>
    <row r="51" spans="1:8" ht="38.25" customHeight="1">
      <c r="A51" s="264"/>
      <c r="B51" s="594"/>
      <c r="C51" s="396">
        <v>6410</v>
      </c>
      <c r="D51" s="639" t="s">
        <v>482</v>
      </c>
      <c r="E51" s="756">
        <v>250000</v>
      </c>
      <c r="F51" s="258"/>
      <c r="G51" s="756">
        <v>100000</v>
      </c>
      <c r="H51" s="190">
        <f t="shared" si="3"/>
        <v>350000</v>
      </c>
    </row>
    <row r="52" spans="1:8" ht="19.5" customHeight="1">
      <c r="A52" s="535">
        <v>853</v>
      </c>
      <c r="B52" s="368"/>
      <c r="C52" s="418"/>
      <c r="D52" s="229" t="s">
        <v>752</v>
      </c>
      <c r="E52" s="268">
        <v>561154</v>
      </c>
      <c r="F52" s="268"/>
      <c r="G52" s="268">
        <f>G53</f>
        <v>9986</v>
      </c>
      <c r="H52" s="239">
        <f>E52+G52-F52</f>
        <v>571140</v>
      </c>
    </row>
    <row r="53" spans="1:8" ht="21.75" customHeight="1">
      <c r="A53" s="419"/>
      <c r="B53" s="205">
        <v>85334</v>
      </c>
      <c r="C53" s="364"/>
      <c r="D53" s="416" t="s">
        <v>753</v>
      </c>
      <c r="E53" s="291">
        <v>35154</v>
      </c>
      <c r="F53" s="291"/>
      <c r="G53" s="291">
        <f>G54</f>
        <v>9986</v>
      </c>
      <c r="H53" s="240">
        <f>E53-F53+G53</f>
        <v>45140</v>
      </c>
    </row>
    <row r="54" spans="1:8" ht="20.25" customHeight="1">
      <c r="A54" s="204"/>
      <c r="B54" s="213"/>
      <c r="C54" s="191"/>
      <c r="D54" s="399" t="s">
        <v>563</v>
      </c>
      <c r="E54" s="207">
        <v>35154</v>
      </c>
      <c r="F54" s="207"/>
      <c r="G54" s="207">
        <f>G55</f>
        <v>9986</v>
      </c>
      <c r="H54" s="197">
        <f>E54-F54+G54</f>
        <v>45140</v>
      </c>
    </row>
    <row r="55" spans="1:8" ht="37.5" customHeight="1">
      <c r="A55" s="421"/>
      <c r="B55" s="365"/>
      <c r="C55" s="189">
        <v>2110</v>
      </c>
      <c r="D55" s="420" t="s">
        <v>332</v>
      </c>
      <c r="E55" s="190">
        <v>35154</v>
      </c>
      <c r="F55" s="190"/>
      <c r="G55" s="190">
        <v>9986</v>
      </c>
      <c r="H55" s="190">
        <f>E55-F55+G55</f>
        <v>45140</v>
      </c>
    </row>
    <row r="56" ht="37.5" customHeight="1"/>
    <row r="57" ht="19.5" customHeight="1"/>
    <row r="58" ht="19.5" customHeight="1"/>
    <row r="59" ht="37.5" customHeight="1"/>
    <row r="61" spans="3:5" ht="12.75">
      <c r="C61" s="296" t="s">
        <v>24</v>
      </c>
      <c r="D61" s="296"/>
      <c r="E61" s="296" t="s">
        <v>22</v>
      </c>
    </row>
    <row r="62" spans="3:5" ht="12.75">
      <c r="C62" s="297" t="s">
        <v>25</v>
      </c>
      <c r="D62" s="296"/>
      <c r="E62" s="296" t="s">
        <v>26</v>
      </c>
    </row>
    <row r="63" spans="3:5" ht="12.75">
      <c r="C63" s="409" t="s">
        <v>23</v>
      </c>
      <c r="D63" s="231"/>
      <c r="E63" s="231" t="s">
        <v>27</v>
      </c>
    </row>
  </sheetData>
  <printOptions horizontalCentered="1"/>
  <pageMargins left="0.38" right="0.35" top="0.6692913385826772" bottom="0.5905511811023623" header="0.5118110236220472" footer="0.3937007874015748"/>
  <pageSetup firstPageNumber="22" useFirstPageNumber="1" horizontalDpi="300" verticalDpi="300" orientation="landscape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L572"/>
  <sheetViews>
    <sheetView zoomScale="90" zoomScaleNormal="90" zoomScaleSheetLayoutView="75" workbookViewId="0" topLeftCell="A6">
      <pane ySplit="1170" topLeftCell="BM476" activePane="bottomLeft" state="split"/>
      <selection pane="topLeft" activeCell="D30" sqref="D30"/>
      <selection pane="bottomLeft" activeCell="D486" sqref="D486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7.625" style="1" customWidth="1"/>
    <col min="4" max="4" width="53.375" style="1" customWidth="1"/>
    <col min="5" max="8" width="20.75390625" style="1" customWidth="1"/>
    <col min="9" max="9" width="11.875" style="1" customWidth="1"/>
    <col min="10" max="10" width="12.375" style="1" customWidth="1"/>
    <col min="11" max="11" width="13.375" style="1" customWidth="1"/>
    <col min="12" max="12" width="11.00390625" style="1" customWidth="1"/>
    <col min="13" max="16384" width="9.125" style="1" customWidth="1"/>
  </cols>
  <sheetData>
    <row r="1" ht="18" customHeight="1">
      <c r="G1" s="1" t="s">
        <v>389</v>
      </c>
    </row>
    <row r="2" ht="18" customHeight="1">
      <c r="G2" s="1" t="s">
        <v>658</v>
      </c>
    </row>
    <row r="3" ht="18" customHeight="1">
      <c r="G3" s="1" t="s">
        <v>817</v>
      </c>
    </row>
    <row r="4" spans="4:7" ht="18" customHeight="1">
      <c r="D4" s="2" t="s">
        <v>860</v>
      </c>
      <c r="G4" s="1" t="s">
        <v>371</v>
      </c>
    </row>
    <row r="5" ht="12" customHeight="1" thickBot="1">
      <c r="H5" s="3" t="s">
        <v>819</v>
      </c>
    </row>
    <row r="6" spans="1:8" ht="78.75" customHeight="1" thickBot="1" thickTop="1">
      <c r="A6" s="4" t="s">
        <v>820</v>
      </c>
      <c r="B6" s="4" t="s">
        <v>821</v>
      </c>
      <c r="C6" s="5" t="s">
        <v>822</v>
      </c>
      <c r="D6" s="5" t="s">
        <v>494</v>
      </c>
      <c r="E6" s="5" t="s">
        <v>857</v>
      </c>
      <c r="F6" s="5" t="s">
        <v>843</v>
      </c>
      <c r="G6" s="5" t="s">
        <v>833</v>
      </c>
      <c r="H6" s="5" t="s">
        <v>824</v>
      </c>
    </row>
    <row r="7" spans="1:8" ht="18.75" customHeight="1" thickBot="1" thickTop="1">
      <c r="A7" s="6">
        <v>1</v>
      </c>
      <c r="B7" s="6">
        <v>2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2" ht="24" customHeight="1" thickBot="1" thickTop="1">
      <c r="A8" s="112"/>
      <c r="B8" s="138"/>
      <c r="C8" s="138"/>
      <c r="D8" s="147" t="s">
        <v>825</v>
      </c>
      <c r="E8" s="141">
        <f>791070081+160000</f>
        <v>791230081</v>
      </c>
      <c r="F8" s="141">
        <f>F10+F425+F431</f>
        <v>9306787</v>
      </c>
      <c r="G8" s="141">
        <f>G10+G425+G431</f>
        <v>9354726</v>
      </c>
      <c r="H8" s="141">
        <f>E8-F8+G8</f>
        <v>791278020</v>
      </c>
      <c r="I8" s="8">
        <f>G8-F8</f>
        <v>47939</v>
      </c>
      <c r="J8" s="8">
        <f>'doch Pr'!G8-'doch Pr'!F8</f>
        <v>47939</v>
      </c>
      <c r="K8" s="8">
        <f>I8-J8</f>
        <v>0</v>
      </c>
      <c r="L8" s="8"/>
    </row>
    <row r="9" spans="1:10" ht="19.5" customHeight="1">
      <c r="A9" s="77"/>
      <c r="B9" s="77"/>
      <c r="C9" s="77"/>
      <c r="D9" s="77" t="s">
        <v>826</v>
      </c>
      <c r="E9" s="106"/>
      <c r="F9" s="106"/>
      <c r="G9" s="106"/>
      <c r="H9" s="106"/>
      <c r="J9" s="9"/>
    </row>
    <row r="10" spans="1:12" ht="17.25" customHeight="1" thickBot="1">
      <c r="A10" s="113"/>
      <c r="B10" s="113"/>
      <c r="C10" s="113"/>
      <c r="D10" s="87" t="s">
        <v>827</v>
      </c>
      <c r="E10" s="218">
        <f>706103786+160000</f>
        <v>706263786</v>
      </c>
      <c r="F10" s="85">
        <f>F11+F39+F44+F69+F75+F80+F86+F256+F305+F320+F332+F417</f>
        <v>9268387</v>
      </c>
      <c r="G10" s="85">
        <f>G11+G39+G44+G69+G75+G80+G86+G256+G305+G320+G332+G417</f>
        <v>8611315</v>
      </c>
      <c r="H10" s="85">
        <f aca="true" t="shared" si="0" ref="H10:H78">E10-F10+G10</f>
        <v>705606714</v>
      </c>
      <c r="I10" s="8"/>
      <c r="J10" s="8"/>
      <c r="L10" s="8"/>
    </row>
    <row r="11" spans="1:12" ht="17.25" customHeight="1" thickTop="1">
      <c r="A11" s="412">
        <v>600</v>
      </c>
      <c r="B11" s="647"/>
      <c r="C11" s="647"/>
      <c r="D11" s="413" t="s">
        <v>369</v>
      </c>
      <c r="E11" s="564">
        <f>63764724+160000</f>
        <v>63924724</v>
      </c>
      <c r="F11" s="551">
        <f>F12+F20+F35</f>
        <v>1720123</v>
      </c>
      <c r="G11" s="551">
        <f>G12+G20+G35</f>
        <v>4640123</v>
      </c>
      <c r="H11" s="551">
        <f t="shared" si="0"/>
        <v>66844724</v>
      </c>
      <c r="I11" s="8" t="s">
        <v>65</v>
      </c>
      <c r="J11" s="8">
        <f>F15+F23+F57+F96+F137+F163+F193+F224+F309+F325+F339+F350+F372+F383</f>
        <v>629363</v>
      </c>
      <c r="K11" s="8">
        <f>G15+G23+G96+G137+G163+G193+G224+G309+G325+G339+G350+G372+G383</f>
        <v>879917</v>
      </c>
      <c r="L11" s="8"/>
    </row>
    <row r="12" spans="1:12" ht="17.25" customHeight="1">
      <c r="A12" s="112"/>
      <c r="B12" s="193">
        <v>60015</v>
      </c>
      <c r="C12" s="193"/>
      <c r="D12" s="193" t="s">
        <v>370</v>
      </c>
      <c r="E12" s="252">
        <f>38583000+160000</f>
        <v>38743000</v>
      </c>
      <c r="F12" s="552">
        <f>F13+F15+F17</f>
        <v>452910</v>
      </c>
      <c r="G12" s="552">
        <f>G13+G15+G17</f>
        <v>417040</v>
      </c>
      <c r="H12" s="552">
        <f t="shared" si="0"/>
        <v>38707130</v>
      </c>
      <c r="I12" s="8" t="s">
        <v>66</v>
      </c>
      <c r="J12" s="8">
        <f>F17+F26+F36+F52+F60+F73+F84+F108+F144+F170+F230+F295+F291+F311+F327+F355+F423+F428+F473</f>
        <v>4944018</v>
      </c>
      <c r="K12" s="8">
        <f>G17+G26+G36+G52+G60+G73+G84+G108+G144+G170+G230+G295+G291+G311+G327+G355+G423+G428+G473</f>
        <v>4395223</v>
      </c>
      <c r="L12" s="8"/>
    </row>
    <row r="13" spans="1:12" ht="17.25" customHeight="1">
      <c r="A13" s="112"/>
      <c r="B13" s="194"/>
      <c r="C13" s="194"/>
      <c r="D13" s="496" t="s">
        <v>749</v>
      </c>
      <c r="E13" s="452">
        <v>7850000</v>
      </c>
      <c r="F13" s="631"/>
      <c r="G13" s="631">
        <f>G14</f>
        <v>400000</v>
      </c>
      <c r="H13" s="631">
        <f t="shared" si="0"/>
        <v>8250000</v>
      </c>
      <c r="I13" s="8"/>
      <c r="J13" s="8"/>
      <c r="L13" s="8"/>
    </row>
    <row r="14" spans="1:12" ht="17.25" customHeight="1">
      <c r="A14" s="112"/>
      <c r="B14" s="112"/>
      <c r="C14" s="189">
        <v>4300</v>
      </c>
      <c r="D14" s="189" t="s">
        <v>742</v>
      </c>
      <c r="E14" s="440">
        <v>7498000</v>
      </c>
      <c r="F14" s="579"/>
      <c r="G14" s="579">
        <v>400000</v>
      </c>
      <c r="H14" s="579">
        <f t="shared" si="0"/>
        <v>7898000</v>
      </c>
      <c r="I14" s="8"/>
      <c r="J14" s="8"/>
      <c r="L14" s="8"/>
    </row>
    <row r="15" spans="1:12" ht="17.25" customHeight="1">
      <c r="A15" s="112"/>
      <c r="B15" s="112"/>
      <c r="C15" s="191"/>
      <c r="D15" s="446" t="s">
        <v>596</v>
      </c>
      <c r="E15" s="452">
        <v>2815940</v>
      </c>
      <c r="F15" s="631">
        <f>F16</f>
        <v>452910</v>
      </c>
      <c r="G15" s="631"/>
      <c r="H15" s="631">
        <f t="shared" si="0"/>
        <v>2363030</v>
      </c>
      <c r="I15" s="8"/>
      <c r="J15" s="8"/>
      <c r="L15" s="8"/>
    </row>
    <row r="16" spans="1:12" ht="17.25" customHeight="1">
      <c r="A16" s="112"/>
      <c r="B16" s="112"/>
      <c r="C16" s="189">
        <v>4270</v>
      </c>
      <c r="D16" s="189" t="s">
        <v>597</v>
      </c>
      <c r="E16" s="440">
        <v>2815940</v>
      </c>
      <c r="F16" s="579">
        <v>452910</v>
      </c>
      <c r="G16" s="579"/>
      <c r="H16" s="579">
        <f t="shared" si="0"/>
        <v>2363030</v>
      </c>
      <c r="I16" s="8"/>
      <c r="J16" s="8"/>
      <c r="L16" s="8"/>
    </row>
    <row r="17" spans="1:12" ht="17.25" customHeight="1">
      <c r="A17" s="112"/>
      <c r="B17" s="112"/>
      <c r="C17" s="191"/>
      <c r="D17" s="191" t="s">
        <v>655</v>
      </c>
      <c r="E17" s="442">
        <f>27757060+160000</f>
        <v>27917060</v>
      </c>
      <c r="F17" s="106"/>
      <c r="G17" s="106">
        <f>G19</f>
        <v>17040</v>
      </c>
      <c r="H17" s="106">
        <f t="shared" si="0"/>
        <v>27934100</v>
      </c>
      <c r="I17" s="8"/>
      <c r="J17" s="8"/>
      <c r="L17" s="8"/>
    </row>
    <row r="18" spans="1:12" ht="17.25" customHeight="1">
      <c r="A18" s="112"/>
      <c r="B18" s="112"/>
      <c r="C18" s="191"/>
      <c r="D18" s="1300" t="s">
        <v>18</v>
      </c>
      <c r="E18" s="1274">
        <v>464060</v>
      </c>
      <c r="F18" s="990"/>
      <c r="G18" s="990">
        <v>17040</v>
      </c>
      <c r="H18" s="990">
        <f t="shared" si="0"/>
        <v>481100</v>
      </c>
      <c r="I18" s="8"/>
      <c r="J18" s="8"/>
      <c r="L18" s="8"/>
    </row>
    <row r="19" spans="1:12" ht="17.25" customHeight="1">
      <c r="A19" s="112"/>
      <c r="B19" s="112"/>
      <c r="C19" s="189">
        <v>6050</v>
      </c>
      <c r="D19" s="189" t="s">
        <v>670</v>
      </c>
      <c r="E19" s="440">
        <v>23357060</v>
      </c>
      <c r="F19" s="579"/>
      <c r="G19" s="579">
        <v>17040</v>
      </c>
      <c r="H19" s="579">
        <f t="shared" si="0"/>
        <v>23374100</v>
      </c>
      <c r="I19" s="8"/>
      <c r="J19" s="8"/>
      <c r="L19" s="8"/>
    </row>
    <row r="20" spans="1:12" ht="17.25" customHeight="1">
      <c r="A20" s="112"/>
      <c r="B20" s="203">
        <v>60016</v>
      </c>
      <c r="C20" s="193"/>
      <c r="D20" s="193" t="s">
        <v>750</v>
      </c>
      <c r="E20" s="601">
        <v>6412000</v>
      </c>
      <c r="F20" s="158">
        <f>F21+F23+F26</f>
        <v>1267213</v>
      </c>
      <c r="G20" s="158">
        <f>G21+G23+G26</f>
        <v>4117213</v>
      </c>
      <c r="H20" s="158">
        <f t="shared" si="0"/>
        <v>9262000</v>
      </c>
      <c r="I20" s="8"/>
      <c r="J20" s="8"/>
      <c r="L20" s="8"/>
    </row>
    <row r="21" spans="1:12" ht="17.25" customHeight="1">
      <c r="A21" s="112"/>
      <c r="B21" s="191"/>
      <c r="C21" s="191"/>
      <c r="D21" s="496" t="s">
        <v>749</v>
      </c>
      <c r="E21" s="602">
        <v>2700000</v>
      </c>
      <c r="F21" s="543"/>
      <c r="G21" s="543">
        <f>G22</f>
        <v>80000</v>
      </c>
      <c r="H21" s="543">
        <f t="shared" si="0"/>
        <v>2780000</v>
      </c>
      <c r="I21" s="8"/>
      <c r="J21" s="8"/>
      <c r="L21" s="8"/>
    </row>
    <row r="22" spans="1:12" ht="17.25" customHeight="1">
      <c r="A22" s="112"/>
      <c r="B22" s="112"/>
      <c r="C22" s="189">
        <v>4300</v>
      </c>
      <c r="D22" s="246" t="s">
        <v>742</v>
      </c>
      <c r="E22" s="378">
        <v>2681000</v>
      </c>
      <c r="F22" s="547"/>
      <c r="G22" s="547">
        <v>80000</v>
      </c>
      <c r="H22" s="547">
        <f t="shared" si="0"/>
        <v>2761000</v>
      </c>
      <c r="I22" s="8"/>
      <c r="J22" s="8"/>
      <c r="L22" s="8"/>
    </row>
    <row r="23" spans="1:12" ht="17.25" customHeight="1">
      <c r="A23" s="112"/>
      <c r="B23" s="112"/>
      <c r="C23" s="537"/>
      <c r="D23" s="526" t="s">
        <v>657</v>
      </c>
      <c r="E23" s="842">
        <v>950000</v>
      </c>
      <c r="F23" s="543">
        <f>F25</f>
        <v>150000</v>
      </c>
      <c r="G23" s="543"/>
      <c r="H23" s="543">
        <f t="shared" si="0"/>
        <v>800000</v>
      </c>
      <c r="I23" s="8"/>
      <c r="J23" s="8"/>
      <c r="L23" s="8"/>
    </row>
    <row r="24" spans="1:12" ht="17.25" customHeight="1">
      <c r="A24" s="112"/>
      <c r="B24" s="112"/>
      <c r="C24" s="112"/>
      <c r="D24" s="1404" t="s">
        <v>598</v>
      </c>
      <c r="E24" s="1405">
        <v>150000</v>
      </c>
      <c r="F24" s="988">
        <v>150000</v>
      </c>
      <c r="G24" s="988"/>
      <c r="H24" s="988">
        <f t="shared" si="0"/>
        <v>0</v>
      </c>
      <c r="I24" s="8"/>
      <c r="J24" s="8"/>
      <c r="L24" s="8"/>
    </row>
    <row r="25" spans="1:12" ht="17.25" customHeight="1">
      <c r="A25" s="112"/>
      <c r="B25" s="112"/>
      <c r="C25" s="90">
        <v>4270</v>
      </c>
      <c r="D25" s="189" t="s">
        <v>597</v>
      </c>
      <c r="E25" s="843">
        <v>950000</v>
      </c>
      <c r="F25" s="579">
        <v>150000</v>
      </c>
      <c r="G25" s="579"/>
      <c r="H25" s="579">
        <f t="shared" si="0"/>
        <v>800000</v>
      </c>
      <c r="I25" s="8"/>
      <c r="J25" s="8"/>
      <c r="L25" s="8"/>
    </row>
    <row r="26" spans="1:12" ht="17.25" customHeight="1">
      <c r="A26" s="112"/>
      <c r="B26" s="112"/>
      <c r="C26" s="191"/>
      <c r="D26" s="191" t="s">
        <v>655</v>
      </c>
      <c r="E26" s="842">
        <v>2762000</v>
      </c>
      <c r="F26" s="543">
        <f>F27+F31</f>
        <v>1117213</v>
      </c>
      <c r="G26" s="543">
        <f>G27+G31</f>
        <v>4037213</v>
      </c>
      <c r="H26" s="632">
        <f t="shared" si="0"/>
        <v>5682000</v>
      </c>
      <c r="I26" s="8"/>
      <c r="J26" s="8"/>
      <c r="L26" s="8"/>
    </row>
    <row r="27" spans="1:12" ht="27" customHeight="1">
      <c r="A27" s="112"/>
      <c r="B27" s="112"/>
      <c r="C27" s="191"/>
      <c r="D27" s="989" t="s">
        <v>551</v>
      </c>
      <c r="E27" s="1417">
        <v>1240000</v>
      </c>
      <c r="F27" s="983">
        <f>SUM(F28:F30)</f>
        <v>560000</v>
      </c>
      <c r="G27" s="983">
        <f>SUM(G28:G30)</f>
        <v>2080000</v>
      </c>
      <c r="H27" s="983">
        <f t="shared" si="0"/>
        <v>2760000</v>
      </c>
      <c r="I27" s="8"/>
      <c r="J27" s="8"/>
      <c r="L27" s="8"/>
    </row>
    <row r="28" spans="1:12" ht="19.5" customHeight="1">
      <c r="A28" s="112"/>
      <c r="B28" s="112"/>
      <c r="C28" s="188">
        <v>6050</v>
      </c>
      <c r="D28" s="189" t="s">
        <v>670</v>
      </c>
      <c r="E28" s="1414">
        <v>1240000</v>
      </c>
      <c r="F28" s="542">
        <v>560000</v>
      </c>
      <c r="G28" s="542"/>
      <c r="H28" s="542">
        <f t="shared" si="0"/>
        <v>680000</v>
      </c>
      <c r="I28" s="8"/>
      <c r="J28" s="8"/>
      <c r="L28" s="8"/>
    </row>
    <row r="29" spans="1:12" ht="20.25" customHeight="1">
      <c r="A29" s="112"/>
      <c r="B29" s="112"/>
      <c r="C29" s="188">
        <v>6058</v>
      </c>
      <c r="D29" s="189" t="s">
        <v>670</v>
      </c>
      <c r="E29" s="1415"/>
      <c r="F29" s="548"/>
      <c r="G29" s="548">
        <v>1560000</v>
      </c>
      <c r="H29" s="548">
        <f t="shared" si="0"/>
        <v>1560000</v>
      </c>
      <c r="I29" s="8"/>
      <c r="J29" s="8"/>
      <c r="L29" s="8"/>
    </row>
    <row r="30" spans="1:12" ht="21.75" customHeight="1">
      <c r="A30" s="113"/>
      <c r="B30" s="113"/>
      <c r="C30" s="189">
        <v>6059</v>
      </c>
      <c r="D30" s="189" t="s">
        <v>670</v>
      </c>
      <c r="E30" s="1415"/>
      <c r="F30" s="548"/>
      <c r="G30" s="548">
        <v>520000</v>
      </c>
      <c r="H30" s="548">
        <f t="shared" si="0"/>
        <v>520000</v>
      </c>
      <c r="I30" s="8"/>
      <c r="J30" s="8"/>
      <c r="L30" s="8"/>
    </row>
    <row r="31" spans="1:12" ht="18" customHeight="1">
      <c r="A31" s="112"/>
      <c r="B31" s="112"/>
      <c r="C31" s="191"/>
      <c r="D31" s="1335" t="s">
        <v>523</v>
      </c>
      <c r="E31" s="1416">
        <v>722000</v>
      </c>
      <c r="F31" s="984">
        <f>SUM(F32:F34)</f>
        <v>557213</v>
      </c>
      <c r="G31" s="984">
        <f>SUM(G32:G34)</f>
        <v>1957213</v>
      </c>
      <c r="H31" s="106">
        <f t="shared" si="0"/>
        <v>2122000</v>
      </c>
      <c r="I31" s="8"/>
      <c r="J31" s="8"/>
      <c r="L31" s="8"/>
    </row>
    <row r="32" spans="1:12" ht="17.25" customHeight="1">
      <c r="A32" s="112"/>
      <c r="B32" s="112"/>
      <c r="C32" s="189">
        <v>6050</v>
      </c>
      <c r="D32" s="189" t="s">
        <v>670</v>
      </c>
      <c r="E32" s="843">
        <v>722000</v>
      </c>
      <c r="F32" s="579">
        <v>557213</v>
      </c>
      <c r="G32" s="579"/>
      <c r="H32" s="1290">
        <f t="shared" si="0"/>
        <v>164787</v>
      </c>
      <c r="I32" s="8"/>
      <c r="J32" s="8"/>
      <c r="L32" s="8"/>
    </row>
    <row r="33" spans="1:12" ht="17.25" customHeight="1">
      <c r="A33" s="112"/>
      <c r="B33" s="112"/>
      <c r="C33" s="189">
        <v>6058</v>
      </c>
      <c r="D33" s="189" t="s">
        <v>670</v>
      </c>
      <c r="E33" s="1415"/>
      <c r="F33" s="548"/>
      <c r="G33" s="548">
        <v>1467910</v>
      </c>
      <c r="H33" s="548">
        <f>E33-F33+G33</f>
        <v>1467910</v>
      </c>
      <c r="I33" s="8"/>
      <c r="J33" s="8"/>
      <c r="L33" s="8"/>
    </row>
    <row r="34" spans="1:12" ht="17.25" customHeight="1">
      <c r="A34" s="112"/>
      <c r="B34" s="113"/>
      <c r="C34" s="189">
        <v>6059</v>
      </c>
      <c r="D34" s="189" t="s">
        <v>670</v>
      </c>
      <c r="E34" s="1415"/>
      <c r="F34" s="548"/>
      <c r="G34" s="548">
        <v>489303</v>
      </c>
      <c r="H34" s="548">
        <f>E34-F34+G34</f>
        <v>489303</v>
      </c>
      <c r="I34" s="8"/>
      <c r="J34" s="8"/>
      <c r="L34" s="8"/>
    </row>
    <row r="35" spans="1:12" ht="17.25" customHeight="1">
      <c r="A35" s="112"/>
      <c r="B35" s="113">
        <v>60017</v>
      </c>
      <c r="C35" s="113"/>
      <c r="D35" s="193" t="s">
        <v>599</v>
      </c>
      <c r="E35" s="545">
        <v>430000</v>
      </c>
      <c r="F35" s="482"/>
      <c r="G35" s="158">
        <f>G36</f>
        <v>105870</v>
      </c>
      <c r="H35" s="158">
        <f t="shared" si="0"/>
        <v>535870</v>
      </c>
      <c r="I35" s="8"/>
      <c r="J35" s="8"/>
      <c r="L35" s="8"/>
    </row>
    <row r="36" spans="1:12" ht="17.25" customHeight="1">
      <c r="A36" s="112"/>
      <c r="B36" s="537"/>
      <c r="C36" s="191"/>
      <c r="D36" s="446" t="s">
        <v>649</v>
      </c>
      <c r="E36" s="602">
        <v>130000</v>
      </c>
      <c r="F36" s="616"/>
      <c r="G36" s="543">
        <f>G38</f>
        <v>105870</v>
      </c>
      <c r="H36" s="543">
        <f t="shared" si="0"/>
        <v>235870</v>
      </c>
      <c r="I36" s="8"/>
      <c r="J36" s="8"/>
      <c r="L36" s="8"/>
    </row>
    <row r="37" spans="1:12" ht="17.25" customHeight="1">
      <c r="A37" s="112"/>
      <c r="B37" s="112"/>
      <c r="C37" s="191"/>
      <c r="D37" s="1418" t="s">
        <v>19</v>
      </c>
      <c r="E37" s="846">
        <v>130000</v>
      </c>
      <c r="F37" s="988"/>
      <c r="G37" s="988">
        <v>105870</v>
      </c>
      <c r="H37" s="988">
        <f t="shared" si="0"/>
        <v>235870</v>
      </c>
      <c r="I37" s="8"/>
      <c r="J37" s="8"/>
      <c r="L37" s="8"/>
    </row>
    <row r="38" spans="1:12" ht="17.25" customHeight="1">
      <c r="A38" s="113"/>
      <c r="B38" s="113"/>
      <c r="C38" s="189">
        <v>6050</v>
      </c>
      <c r="D38" s="189" t="s">
        <v>670</v>
      </c>
      <c r="E38" s="440">
        <v>130000</v>
      </c>
      <c r="F38" s="579"/>
      <c r="G38" s="579">
        <v>105870</v>
      </c>
      <c r="H38" s="579">
        <f>E38-F38+G38</f>
        <v>235870</v>
      </c>
      <c r="I38" s="8"/>
      <c r="J38" s="8"/>
      <c r="L38" s="8"/>
    </row>
    <row r="39" spans="1:12" ht="17.25" customHeight="1">
      <c r="A39" s="549">
        <v>700</v>
      </c>
      <c r="B39" s="549"/>
      <c r="C39" s="549"/>
      <c r="D39" s="550" t="s">
        <v>496</v>
      </c>
      <c r="E39" s="564">
        <v>14865586</v>
      </c>
      <c r="F39" s="551">
        <f>F40</f>
        <v>1800</v>
      </c>
      <c r="G39" s="551">
        <f>G40</f>
        <v>1800</v>
      </c>
      <c r="H39" s="605">
        <f t="shared" si="0"/>
        <v>14865586</v>
      </c>
      <c r="I39" s="8"/>
      <c r="J39" s="8"/>
      <c r="L39" s="8"/>
    </row>
    <row r="40" spans="1:12" ht="17.25" customHeight="1">
      <c r="A40" s="537"/>
      <c r="B40" s="113">
        <v>70005</v>
      </c>
      <c r="C40" s="113"/>
      <c r="D40" s="203" t="s">
        <v>856</v>
      </c>
      <c r="E40" s="252">
        <v>2390586</v>
      </c>
      <c r="F40" s="552">
        <f>F41</f>
        <v>1800</v>
      </c>
      <c r="G40" s="552">
        <f>G41</f>
        <v>1800</v>
      </c>
      <c r="H40" s="553">
        <f t="shared" si="0"/>
        <v>2390586</v>
      </c>
      <c r="I40" s="8"/>
      <c r="J40" s="8"/>
      <c r="L40" s="8"/>
    </row>
    <row r="41" spans="1:12" ht="26.25" customHeight="1">
      <c r="A41" s="112"/>
      <c r="B41" s="112"/>
      <c r="C41" s="537"/>
      <c r="D41" s="424" t="s">
        <v>740</v>
      </c>
      <c r="E41" s="442">
        <v>387512</v>
      </c>
      <c r="F41" s="106">
        <f>F43</f>
        <v>1800</v>
      </c>
      <c r="G41" s="106">
        <f>G42</f>
        <v>1800</v>
      </c>
      <c r="H41" s="543">
        <f t="shared" si="0"/>
        <v>387512</v>
      </c>
      <c r="I41" s="8"/>
      <c r="J41" s="8"/>
      <c r="L41" s="8"/>
    </row>
    <row r="42" spans="1:12" ht="17.25" customHeight="1">
      <c r="A42" s="112"/>
      <c r="B42" s="112"/>
      <c r="C42" s="90">
        <v>4260</v>
      </c>
      <c r="D42" s="546" t="s">
        <v>741</v>
      </c>
      <c r="E42" s="378">
        <v>6200</v>
      </c>
      <c r="F42" s="547"/>
      <c r="G42" s="547">
        <v>1800</v>
      </c>
      <c r="H42" s="579">
        <f t="shared" si="0"/>
        <v>8000</v>
      </c>
      <c r="I42" s="8"/>
      <c r="J42" s="8"/>
      <c r="L42" s="8"/>
    </row>
    <row r="43" spans="1:12" ht="18.75" customHeight="1">
      <c r="A43" s="113"/>
      <c r="B43" s="113"/>
      <c r="C43" s="397">
        <v>4300</v>
      </c>
      <c r="D43" s="397" t="s">
        <v>742</v>
      </c>
      <c r="E43" s="253">
        <v>237800</v>
      </c>
      <c r="F43" s="548">
        <v>1800</v>
      </c>
      <c r="G43" s="548"/>
      <c r="H43" s="547">
        <f t="shared" si="0"/>
        <v>236000</v>
      </c>
      <c r="I43" s="8"/>
      <c r="J43" s="8"/>
      <c r="L43" s="8"/>
    </row>
    <row r="44" spans="1:12" ht="18" customHeight="1">
      <c r="A44" s="549">
        <v>750</v>
      </c>
      <c r="B44" s="549"/>
      <c r="C44" s="549"/>
      <c r="D44" s="550" t="s">
        <v>505</v>
      </c>
      <c r="E44" s="564">
        <v>54092637</v>
      </c>
      <c r="F44" s="551">
        <f>F45+F54+F63</f>
        <v>164837</v>
      </c>
      <c r="G44" s="551">
        <f>G45+G54+G63</f>
        <v>264837</v>
      </c>
      <c r="H44" s="605">
        <f t="shared" si="0"/>
        <v>54192637</v>
      </c>
      <c r="I44" s="8"/>
      <c r="J44" s="8"/>
      <c r="L44" s="8"/>
    </row>
    <row r="45" spans="1:12" ht="19.5" customHeight="1">
      <c r="A45" s="191"/>
      <c r="B45" s="113">
        <v>75022</v>
      </c>
      <c r="C45" s="113"/>
      <c r="D45" s="203" t="s">
        <v>682</v>
      </c>
      <c r="E45" s="252">
        <v>1409000</v>
      </c>
      <c r="F45" s="552">
        <f>F46</f>
        <v>70000</v>
      </c>
      <c r="G45" s="552">
        <f>G46</f>
        <v>70000</v>
      </c>
      <c r="H45" s="553">
        <f t="shared" si="0"/>
        <v>1409000</v>
      </c>
      <c r="I45" s="8"/>
      <c r="J45" s="8"/>
      <c r="L45" s="8"/>
    </row>
    <row r="46" spans="1:12" ht="17.25" customHeight="1">
      <c r="A46" s="191"/>
      <c r="B46" s="191"/>
      <c r="C46" s="191"/>
      <c r="D46" s="446" t="s">
        <v>683</v>
      </c>
      <c r="E46" s="602">
        <v>1000000</v>
      </c>
      <c r="F46" s="543">
        <f>SUM(F47:F53)</f>
        <v>70000</v>
      </c>
      <c r="G46" s="543">
        <f>SUM(G47:G52)</f>
        <v>70000</v>
      </c>
      <c r="H46" s="543">
        <f t="shared" si="0"/>
        <v>1000000</v>
      </c>
      <c r="I46" s="8"/>
      <c r="J46" s="8"/>
      <c r="L46" s="8"/>
    </row>
    <row r="47" spans="1:12" ht="17.25" customHeight="1">
      <c r="A47" s="191"/>
      <c r="B47" s="191"/>
      <c r="C47" s="189">
        <v>4170</v>
      </c>
      <c r="D47" s="10" t="s">
        <v>684</v>
      </c>
      <c r="E47" s="440">
        <v>1000</v>
      </c>
      <c r="F47" s="579"/>
      <c r="G47" s="579">
        <v>2000</v>
      </c>
      <c r="H47" s="579">
        <f t="shared" si="0"/>
        <v>3000</v>
      </c>
      <c r="I47" s="8"/>
      <c r="J47" s="8"/>
      <c r="L47" s="8"/>
    </row>
    <row r="48" spans="1:12" ht="17.25" customHeight="1">
      <c r="A48" s="191"/>
      <c r="B48" s="191"/>
      <c r="C48" s="189">
        <v>4210</v>
      </c>
      <c r="D48" s="10" t="s">
        <v>674</v>
      </c>
      <c r="E48" s="440">
        <v>95000</v>
      </c>
      <c r="F48" s="579">
        <v>35000</v>
      </c>
      <c r="G48" s="579"/>
      <c r="H48" s="579">
        <f t="shared" si="0"/>
        <v>60000</v>
      </c>
      <c r="I48" s="8"/>
      <c r="J48" s="8"/>
      <c r="L48" s="8"/>
    </row>
    <row r="49" spans="1:12" ht="17.25" customHeight="1">
      <c r="A49" s="191"/>
      <c r="B49" s="191"/>
      <c r="C49" s="188">
        <v>4300</v>
      </c>
      <c r="D49" s="603" t="s">
        <v>742</v>
      </c>
      <c r="E49" s="440">
        <v>119000</v>
      </c>
      <c r="F49" s="579">
        <v>35000</v>
      </c>
      <c r="G49" s="579"/>
      <c r="H49" s="579">
        <f t="shared" si="0"/>
        <v>84000</v>
      </c>
      <c r="I49" s="8"/>
      <c r="J49" s="8"/>
      <c r="L49" s="8"/>
    </row>
    <row r="50" spans="1:12" ht="17.25" customHeight="1">
      <c r="A50" s="191"/>
      <c r="B50" s="191"/>
      <c r="C50" s="478">
        <v>4410</v>
      </c>
      <c r="D50" s="478" t="s">
        <v>685</v>
      </c>
      <c r="E50" s="440">
        <v>3000</v>
      </c>
      <c r="F50" s="579"/>
      <c r="G50" s="579">
        <v>3000</v>
      </c>
      <c r="H50" s="579">
        <f t="shared" si="0"/>
        <v>6000</v>
      </c>
      <c r="I50" s="8"/>
      <c r="J50" s="8"/>
      <c r="L50" s="8"/>
    </row>
    <row r="51" spans="1:12" ht="17.25" customHeight="1">
      <c r="A51" s="191"/>
      <c r="B51" s="191"/>
      <c r="C51" s="222">
        <v>4420</v>
      </c>
      <c r="D51" s="222" t="s">
        <v>686</v>
      </c>
      <c r="E51" s="440">
        <v>22000</v>
      </c>
      <c r="F51" s="579"/>
      <c r="G51" s="579">
        <v>5000</v>
      </c>
      <c r="H51" s="579">
        <f t="shared" si="0"/>
        <v>27000</v>
      </c>
      <c r="I51" s="8"/>
      <c r="J51" s="8"/>
      <c r="L51" s="8"/>
    </row>
    <row r="52" spans="1:12" ht="17.25" customHeight="1">
      <c r="A52" s="191"/>
      <c r="B52" s="191"/>
      <c r="C52" s="478"/>
      <c r="D52" s="1419" t="s">
        <v>647</v>
      </c>
      <c r="E52" s="1420"/>
      <c r="F52" s="986"/>
      <c r="G52" s="986">
        <v>60000</v>
      </c>
      <c r="H52" s="986">
        <f t="shared" si="0"/>
        <v>60000</v>
      </c>
      <c r="I52" s="8"/>
      <c r="J52" s="8"/>
      <c r="L52" s="8"/>
    </row>
    <row r="53" spans="1:12" ht="17.25" customHeight="1">
      <c r="A53" s="191"/>
      <c r="B53" s="191"/>
      <c r="C53" s="189">
        <v>6060</v>
      </c>
      <c r="D53" s="10" t="s">
        <v>671</v>
      </c>
      <c r="E53" s="440"/>
      <c r="F53" s="579"/>
      <c r="G53" s="579">
        <v>60000</v>
      </c>
      <c r="H53" s="579">
        <f aca="true" t="shared" si="1" ref="H53:H74">E53-F53+G53</f>
        <v>60000</v>
      </c>
      <c r="I53" s="8"/>
      <c r="J53" s="8"/>
      <c r="L53" s="8"/>
    </row>
    <row r="54" spans="1:12" ht="17.25" customHeight="1">
      <c r="A54" s="191"/>
      <c r="B54" s="203">
        <v>75023</v>
      </c>
      <c r="C54" s="193"/>
      <c r="D54" s="193" t="s">
        <v>506</v>
      </c>
      <c r="E54" s="361">
        <v>50004088</v>
      </c>
      <c r="F54" s="604">
        <f>F55+F58+F60</f>
        <v>75937</v>
      </c>
      <c r="G54" s="604">
        <f>G55+G58+G60</f>
        <v>75937</v>
      </c>
      <c r="H54" s="604">
        <f t="shared" si="1"/>
        <v>50004088</v>
      </c>
      <c r="I54" s="8"/>
      <c r="J54" s="8"/>
      <c r="L54" s="8"/>
    </row>
    <row r="55" spans="1:12" ht="17.25" customHeight="1">
      <c r="A55" s="191"/>
      <c r="B55" s="191"/>
      <c r="C55" s="478"/>
      <c r="D55" s="496" t="s">
        <v>828</v>
      </c>
      <c r="E55" s="602">
        <v>10080045</v>
      </c>
      <c r="F55" s="543">
        <f>F57</f>
        <v>3300</v>
      </c>
      <c r="G55" s="543">
        <f>G56</f>
        <v>72637</v>
      </c>
      <c r="H55" s="543">
        <f t="shared" si="1"/>
        <v>10149382</v>
      </c>
      <c r="I55" s="8"/>
      <c r="J55" s="8"/>
      <c r="L55" s="8"/>
    </row>
    <row r="56" spans="1:12" ht="17.25" customHeight="1">
      <c r="A56" s="191"/>
      <c r="B56" s="191"/>
      <c r="C56" s="189">
        <v>4210</v>
      </c>
      <c r="D56" s="10" t="s">
        <v>674</v>
      </c>
      <c r="E56" s="378">
        <v>1220000</v>
      </c>
      <c r="F56" s="547"/>
      <c r="G56" s="547">
        <v>72637</v>
      </c>
      <c r="H56" s="547">
        <f>E56-F56+G56</f>
        <v>1292637</v>
      </c>
      <c r="I56" s="8"/>
      <c r="J56" s="8"/>
      <c r="L56" s="8"/>
    </row>
    <row r="57" spans="1:12" ht="27.75" customHeight="1">
      <c r="A57" s="191"/>
      <c r="B57" s="191"/>
      <c r="C57" s="189">
        <v>4270</v>
      </c>
      <c r="D57" s="10" t="s">
        <v>16</v>
      </c>
      <c r="E57" s="440">
        <v>266190</v>
      </c>
      <c r="F57" s="579">
        <v>3300</v>
      </c>
      <c r="G57" s="579"/>
      <c r="H57" s="579">
        <f t="shared" si="1"/>
        <v>262890</v>
      </c>
      <c r="I57" s="8"/>
      <c r="J57" s="8"/>
      <c r="L57" s="8"/>
    </row>
    <row r="58" spans="1:12" ht="18.75" customHeight="1">
      <c r="A58" s="191"/>
      <c r="B58" s="191"/>
      <c r="C58" s="188"/>
      <c r="D58" s="195" t="s">
        <v>921</v>
      </c>
      <c r="E58" s="602">
        <v>5765683</v>
      </c>
      <c r="F58" s="543">
        <f>F59</f>
        <v>72637</v>
      </c>
      <c r="G58" s="543"/>
      <c r="H58" s="543">
        <f>E58-F58+G58</f>
        <v>5693046</v>
      </c>
      <c r="I58" s="8"/>
      <c r="J58" s="8"/>
      <c r="L58" s="8"/>
    </row>
    <row r="59" spans="1:12" ht="19.5" customHeight="1">
      <c r="A59" s="191"/>
      <c r="B59" s="191"/>
      <c r="C59" s="189">
        <v>4110</v>
      </c>
      <c r="D59" s="10" t="s">
        <v>665</v>
      </c>
      <c r="E59" s="453">
        <v>5022637</v>
      </c>
      <c r="F59" s="542">
        <v>72637</v>
      </c>
      <c r="G59" s="542"/>
      <c r="H59" s="542">
        <f>E59-F59+G59</f>
        <v>4950000</v>
      </c>
      <c r="I59" s="8"/>
      <c r="J59" s="8"/>
      <c r="L59" s="8"/>
    </row>
    <row r="60" spans="1:12" ht="18" customHeight="1">
      <c r="A60" s="191"/>
      <c r="B60" s="191"/>
      <c r="C60" s="191"/>
      <c r="D60" s="496" t="s">
        <v>655</v>
      </c>
      <c r="E60" s="602">
        <v>2733810</v>
      </c>
      <c r="F60" s="543"/>
      <c r="G60" s="543">
        <f>G62</f>
        <v>3300</v>
      </c>
      <c r="H60" s="543">
        <f t="shared" si="1"/>
        <v>2737110</v>
      </c>
      <c r="I60" s="8"/>
      <c r="J60" s="8"/>
      <c r="L60" s="8"/>
    </row>
    <row r="61" spans="1:12" ht="17.25" customHeight="1">
      <c r="A61" s="191"/>
      <c r="B61" s="191"/>
      <c r="C61" s="191"/>
      <c r="D61" s="1421" t="s">
        <v>31</v>
      </c>
      <c r="E61" s="846">
        <v>73810</v>
      </c>
      <c r="F61" s="988"/>
      <c r="G61" s="988">
        <v>3300</v>
      </c>
      <c r="H61" s="988">
        <f t="shared" si="1"/>
        <v>77110</v>
      </c>
      <c r="I61" s="8"/>
      <c r="J61" s="8"/>
      <c r="L61" s="8"/>
    </row>
    <row r="62" spans="1:12" ht="20.25" customHeight="1">
      <c r="A62" s="201"/>
      <c r="B62" s="201"/>
      <c r="C62" s="189">
        <v>6050</v>
      </c>
      <c r="D62" s="189" t="s">
        <v>670</v>
      </c>
      <c r="E62" s="440">
        <v>1813810</v>
      </c>
      <c r="F62" s="579"/>
      <c r="G62" s="579">
        <v>3300</v>
      </c>
      <c r="H62" s="579">
        <f t="shared" si="1"/>
        <v>1817110</v>
      </c>
      <c r="I62" s="8"/>
      <c r="J62" s="8"/>
      <c r="L62" s="8"/>
    </row>
    <row r="63" spans="1:12" ht="17.25" customHeight="1">
      <c r="A63" s="191"/>
      <c r="B63" s="193">
        <v>75075</v>
      </c>
      <c r="C63" s="193"/>
      <c r="D63" s="193" t="s">
        <v>349</v>
      </c>
      <c r="E63" s="361">
        <v>1496223</v>
      </c>
      <c r="F63" s="604">
        <f>F64+F66</f>
        <v>18900</v>
      </c>
      <c r="G63" s="604">
        <f>G64+G66</f>
        <v>118900</v>
      </c>
      <c r="H63" s="604">
        <f t="shared" si="1"/>
        <v>1596223</v>
      </c>
      <c r="I63" s="8"/>
      <c r="J63" s="8"/>
      <c r="L63" s="8"/>
    </row>
    <row r="64" spans="1:12" ht="17.25" customHeight="1">
      <c r="A64" s="191"/>
      <c r="B64" s="243"/>
      <c r="C64" s="360"/>
      <c r="D64" s="446" t="s">
        <v>350</v>
      </c>
      <c r="E64" s="602">
        <v>888759</v>
      </c>
      <c r="F64" s="543"/>
      <c r="G64" s="543">
        <f>G65</f>
        <v>100000</v>
      </c>
      <c r="H64" s="543">
        <f t="shared" si="1"/>
        <v>988759</v>
      </c>
      <c r="I64" s="8"/>
      <c r="J64" s="8"/>
      <c r="L64" s="8"/>
    </row>
    <row r="65" spans="1:12" ht="17.25" customHeight="1">
      <c r="A65" s="191"/>
      <c r="B65" s="243"/>
      <c r="C65" s="189">
        <v>4300</v>
      </c>
      <c r="D65" s="189" t="s">
        <v>742</v>
      </c>
      <c r="E65" s="440">
        <v>692319</v>
      </c>
      <c r="F65" s="579"/>
      <c r="G65" s="579">
        <v>100000</v>
      </c>
      <c r="H65" s="579">
        <f t="shared" si="1"/>
        <v>792319</v>
      </c>
      <c r="I65" s="8"/>
      <c r="J65" s="8"/>
      <c r="L65" s="8"/>
    </row>
    <row r="66" spans="1:12" ht="17.25" customHeight="1">
      <c r="A66" s="191"/>
      <c r="B66" s="191"/>
      <c r="C66" s="478"/>
      <c r="D66" s="446" t="s">
        <v>586</v>
      </c>
      <c r="E66" s="452">
        <v>607464</v>
      </c>
      <c r="F66" s="631">
        <f>SUM(F67:F68)</f>
        <v>18900</v>
      </c>
      <c r="G66" s="631">
        <f>SUM(G67:G68)</f>
        <v>18900</v>
      </c>
      <c r="H66" s="631">
        <f t="shared" si="1"/>
        <v>607464</v>
      </c>
      <c r="I66" s="8"/>
      <c r="J66" s="8"/>
      <c r="L66" s="8"/>
    </row>
    <row r="67" spans="1:12" ht="17.25" customHeight="1">
      <c r="A67" s="191"/>
      <c r="B67" s="191"/>
      <c r="C67" s="188">
        <v>4300</v>
      </c>
      <c r="D67" s="188" t="s">
        <v>742</v>
      </c>
      <c r="E67" s="440">
        <v>436656</v>
      </c>
      <c r="F67" s="579">
        <v>18900</v>
      </c>
      <c r="G67" s="579"/>
      <c r="H67" s="579">
        <f t="shared" si="1"/>
        <v>417756</v>
      </c>
      <c r="I67" s="8"/>
      <c r="J67" s="8"/>
      <c r="L67" s="8"/>
    </row>
    <row r="68" spans="1:12" ht="17.25" customHeight="1">
      <c r="A68" s="201"/>
      <c r="B68" s="201"/>
      <c r="C68" s="222">
        <v>4420</v>
      </c>
      <c r="D68" s="222" t="s">
        <v>686</v>
      </c>
      <c r="E68" s="440">
        <v>5000</v>
      </c>
      <c r="F68" s="579"/>
      <c r="G68" s="579">
        <v>18900</v>
      </c>
      <c r="H68" s="579">
        <f t="shared" si="1"/>
        <v>23900</v>
      </c>
      <c r="I68" s="8"/>
      <c r="J68" s="8"/>
      <c r="L68" s="8"/>
    </row>
    <row r="69" spans="1:12" ht="17.25" customHeight="1">
      <c r="A69" s="211">
        <v>754</v>
      </c>
      <c r="B69" s="192"/>
      <c r="C69" s="192"/>
      <c r="D69" s="238" t="s">
        <v>724</v>
      </c>
      <c r="E69" s="244">
        <v>5818000</v>
      </c>
      <c r="F69" s="605">
        <f>F70</f>
        <v>1700</v>
      </c>
      <c r="G69" s="605">
        <f>G70</f>
        <v>1700</v>
      </c>
      <c r="H69" s="605">
        <f t="shared" si="1"/>
        <v>5818000</v>
      </c>
      <c r="I69" s="8"/>
      <c r="J69" s="8"/>
      <c r="L69" s="8"/>
    </row>
    <row r="70" spans="1:12" ht="17.25" customHeight="1">
      <c r="A70" s="191"/>
      <c r="B70" s="193">
        <v>75416</v>
      </c>
      <c r="C70" s="193"/>
      <c r="D70" s="193" t="s">
        <v>593</v>
      </c>
      <c r="E70" s="361">
        <v>4675000</v>
      </c>
      <c r="F70" s="604">
        <f>F71+F73</f>
        <v>1700</v>
      </c>
      <c r="G70" s="604">
        <f>G71+G73</f>
        <v>1700</v>
      </c>
      <c r="H70" s="604">
        <f t="shared" si="1"/>
        <v>4675000</v>
      </c>
      <c r="I70" s="8"/>
      <c r="J70" s="8"/>
      <c r="L70" s="8"/>
    </row>
    <row r="71" spans="1:12" ht="17.25" customHeight="1">
      <c r="A71" s="191"/>
      <c r="B71" s="191"/>
      <c r="C71" s="478"/>
      <c r="D71" s="496" t="s">
        <v>828</v>
      </c>
      <c r="E71" s="573">
        <v>753000</v>
      </c>
      <c r="F71" s="543">
        <f>F72</f>
        <v>1700</v>
      </c>
      <c r="G71" s="543"/>
      <c r="H71" s="543">
        <f t="shared" si="1"/>
        <v>751300</v>
      </c>
      <c r="I71" s="8"/>
      <c r="J71" s="8"/>
      <c r="L71" s="8"/>
    </row>
    <row r="72" spans="1:12" ht="17.25" customHeight="1">
      <c r="A72" s="191"/>
      <c r="B72" s="191"/>
      <c r="C72" s="189">
        <v>4260</v>
      </c>
      <c r="D72" s="189" t="s">
        <v>741</v>
      </c>
      <c r="E72" s="440">
        <v>60000</v>
      </c>
      <c r="F72" s="579">
        <v>1700</v>
      </c>
      <c r="G72" s="579"/>
      <c r="H72" s="579">
        <f t="shared" si="1"/>
        <v>58300</v>
      </c>
      <c r="I72" s="8"/>
      <c r="J72" s="8"/>
      <c r="L72" s="8"/>
    </row>
    <row r="73" spans="1:12" ht="17.25" customHeight="1">
      <c r="A73" s="191"/>
      <c r="B73" s="191"/>
      <c r="C73" s="191"/>
      <c r="D73" s="511" t="s">
        <v>647</v>
      </c>
      <c r="E73" s="573">
        <v>170000</v>
      </c>
      <c r="F73" s="543"/>
      <c r="G73" s="543">
        <f>G74</f>
        <v>1700</v>
      </c>
      <c r="H73" s="543">
        <f t="shared" si="1"/>
        <v>171700</v>
      </c>
      <c r="I73" s="8"/>
      <c r="J73" s="8"/>
      <c r="L73" s="8"/>
    </row>
    <row r="74" spans="1:12" ht="17.25" customHeight="1">
      <c r="A74" s="201"/>
      <c r="B74" s="201"/>
      <c r="C74" s="189">
        <v>6060</v>
      </c>
      <c r="D74" s="10" t="s">
        <v>671</v>
      </c>
      <c r="E74" s="440">
        <v>170000</v>
      </c>
      <c r="F74" s="579"/>
      <c r="G74" s="579">
        <v>1700</v>
      </c>
      <c r="H74" s="579">
        <f t="shared" si="1"/>
        <v>171700</v>
      </c>
      <c r="I74" s="8"/>
      <c r="J74" s="8"/>
      <c r="L74" s="8"/>
    </row>
    <row r="75" spans="1:12" ht="20.25" customHeight="1">
      <c r="A75" s="211">
        <v>757</v>
      </c>
      <c r="B75" s="192"/>
      <c r="C75" s="192"/>
      <c r="D75" s="238" t="s">
        <v>675</v>
      </c>
      <c r="E75" s="244">
        <v>11720000</v>
      </c>
      <c r="F75" s="605">
        <f>F76</f>
        <v>37341</v>
      </c>
      <c r="G75" s="605">
        <f>G76</f>
        <v>37341</v>
      </c>
      <c r="H75" s="605">
        <f t="shared" si="0"/>
        <v>11720000</v>
      </c>
      <c r="I75" s="8"/>
      <c r="J75" s="8"/>
      <c r="L75" s="8"/>
    </row>
    <row r="76" spans="1:12" ht="27.75" customHeight="1">
      <c r="A76" s="191"/>
      <c r="B76" s="193">
        <v>75702</v>
      </c>
      <c r="C76" s="193"/>
      <c r="D76" s="429" t="s">
        <v>676</v>
      </c>
      <c r="E76" s="361">
        <v>11720000</v>
      </c>
      <c r="F76" s="604">
        <f>F77</f>
        <v>37341</v>
      </c>
      <c r="G76" s="604">
        <f>G77</f>
        <v>37341</v>
      </c>
      <c r="H76" s="604">
        <f t="shared" si="0"/>
        <v>11720000</v>
      </c>
      <c r="I76" s="8"/>
      <c r="J76" s="8"/>
      <c r="L76" s="8"/>
    </row>
    <row r="77" spans="1:12" ht="16.5" customHeight="1">
      <c r="A77" s="112"/>
      <c r="B77" s="112"/>
      <c r="C77" s="191"/>
      <c r="D77" s="195" t="s">
        <v>677</v>
      </c>
      <c r="E77" s="573">
        <v>2221000</v>
      </c>
      <c r="F77" s="543">
        <f>F79</f>
        <v>37341</v>
      </c>
      <c r="G77" s="543">
        <f>G78</f>
        <v>37341</v>
      </c>
      <c r="H77" s="543">
        <f t="shared" si="0"/>
        <v>2221000</v>
      </c>
      <c r="I77" s="8"/>
      <c r="J77" s="8"/>
      <c r="L77" s="8"/>
    </row>
    <row r="78" spans="1:12" ht="17.25" customHeight="1">
      <c r="A78" s="112"/>
      <c r="B78" s="112"/>
      <c r="C78" s="189">
        <v>4300</v>
      </c>
      <c r="D78" s="10" t="s">
        <v>742</v>
      </c>
      <c r="E78" s="440">
        <v>146000</v>
      </c>
      <c r="F78" s="579"/>
      <c r="G78" s="579">
        <v>37341</v>
      </c>
      <c r="H78" s="579">
        <f t="shared" si="0"/>
        <v>183341</v>
      </c>
      <c r="I78" s="8"/>
      <c r="J78" s="8"/>
      <c r="L78" s="8"/>
    </row>
    <row r="79" spans="1:12" ht="28.5" customHeight="1">
      <c r="A79" s="112"/>
      <c r="B79" s="112"/>
      <c r="C79" s="497">
        <v>8070</v>
      </c>
      <c r="D79" s="10" t="s">
        <v>678</v>
      </c>
      <c r="E79" s="440">
        <v>2075000</v>
      </c>
      <c r="F79" s="579">
        <v>37341</v>
      </c>
      <c r="G79" s="579"/>
      <c r="H79" s="579">
        <f aca="true" t="shared" si="2" ref="H79:H129">E79-F79+G79</f>
        <v>2037659</v>
      </c>
      <c r="I79" s="8"/>
      <c r="J79" s="8"/>
      <c r="L79" s="8"/>
    </row>
    <row r="80" spans="1:12" ht="18.75" customHeight="1">
      <c r="A80" s="368">
        <v>758</v>
      </c>
      <c r="B80" s="412"/>
      <c r="C80" s="192"/>
      <c r="D80" s="238" t="s">
        <v>286</v>
      </c>
      <c r="E80" s="244">
        <v>8602571</v>
      </c>
      <c r="F80" s="605">
        <f>F81</f>
        <v>3020000</v>
      </c>
      <c r="G80" s="605"/>
      <c r="H80" s="605">
        <f t="shared" si="2"/>
        <v>5582571</v>
      </c>
      <c r="I80" s="8"/>
      <c r="J80" s="8"/>
      <c r="L80" s="8"/>
    </row>
    <row r="81" spans="1:12" ht="18.75" customHeight="1">
      <c r="A81" s="191"/>
      <c r="B81" s="193">
        <v>75818</v>
      </c>
      <c r="C81" s="193"/>
      <c r="D81" s="193" t="s">
        <v>287</v>
      </c>
      <c r="E81" s="361">
        <v>5941027</v>
      </c>
      <c r="F81" s="604">
        <f>F82+F84</f>
        <v>3020000</v>
      </c>
      <c r="G81" s="604"/>
      <c r="H81" s="604">
        <f t="shared" si="2"/>
        <v>2921027</v>
      </c>
      <c r="I81" s="8"/>
      <c r="J81" s="8"/>
      <c r="L81" s="8"/>
    </row>
    <row r="82" spans="1:12" ht="18.75" customHeight="1">
      <c r="A82" s="191"/>
      <c r="B82" s="191"/>
      <c r="C82" s="191"/>
      <c r="D82" s="195" t="s">
        <v>288</v>
      </c>
      <c r="E82" s="602">
        <v>1041912</v>
      </c>
      <c r="F82" s="543">
        <f>F83</f>
        <v>100000</v>
      </c>
      <c r="G82" s="543"/>
      <c r="H82" s="543">
        <f t="shared" si="2"/>
        <v>941912</v>
      </c>
      <c r="I82" s="8"/>
      <c r="J82" s="8"/>
      <c r="L82" s="8"/>
    </row>
    <row r="83" spans="1:12" ht="18.75" customHeight="1">
      <c r="A83" s="191"/>
      <c r="B83" s="191"/>
      <c r="C83" s="189">
        <v>4810</v>
      </c>
      <c r="D83" s="246" t="s">
        <v>592</v>
      </c>
      <c r="E83" s="440">
        <v>1041912</v>
      </c>
      <c r="F83" s="579">
        <v>100000</v>
      </c>
      <c r="G83" s="579"/>
      <c r="H83" s="579">
        <f t="shared" si="2"/>
        <v>941912</v>
      </c>
      <c r="I83" s="8"/>
      <c r="J83" s="8"/>
      <c r="L83" s="8"/>
    </row>
    <row r="84" spans="1:12" ht="27" customHeight="1">
      <c r="A84" s="191"/>
      <c r="B84" s="191"/>
      <c r="C84" s="194"/>
      <c r="D84" s="195" t="s">
        <v>216</v>
      </c>
      <c r="E84" s="602">
        <v>4779115</v>
      </c>
      <c r="F84" s="543">
        <f>F85</f>
        <v>2920000</v>
      </c>
      <c r="G84" s="543"/>
      <c r="H84" s="543">
        <f>E84-F84+G84</f>
        <v>1859115</v>
      </c>
      <c r="I84" s="8"/>
      <c r="J84" s="8"/>
      <c r="L84" s="8"/>
    </row>
    <row r="85" spans="1:12" ht="18.75" customHeight="1">
      <c r="A85" s="191"/>
      <c r="B85" s="191"/>
      <c r="C85" s="497">
        <v>6800</v>
      </c>
      <c r="D85" s="10" t="s">
        <v>217</v>
      </c>
      <c r="E85" s="440">
        <v>4500000</v>
      </c>
      <c r="F85" s="579">
        <v>2920000</v>
      </c>
      <c r="G85" s="579"/>
      <c r="H85" s="579">
        <f>E85-F85+G85</f>
        <v>1580000</v>
      </c>
      <c r="I85" s="8"/>
      <c r="J85" s="8"/>
      <c r="L85" s="8"/>
    </row>
    <row r="86" spans="1:12" ht="18.75" customHeight="1">
      <c r="A86" s="368">
        <v>801</v>
      </c>
      <c r="B86" s="412"/>
      <c r="C86" s="192"/>
      <c r="D86" s="238" t="s">
        <v>730</v>
      </c>
      <c r="E86" s="244">
        <v>324827928</v>
      </c>
      <c r="F86" s="605">
        <f>F87+F111+F121+F130+F147+F155+F173+F183+F186+F198+F207+F217+F233+F242+F251</f>
        <v>2050909</v>
      </c>
      <c r="G86" s="605">
        <f>G87+G111+G121+G130+G147+G155+G173+G183+G186+G198+G207+G217+G233+G242+G251</f>
        <v>2050909</v>
      </c>
      <c r="H86" s="605">
        <f t="shared" si="2"/>
        <v>324827928</v>
      </c>
      <c r="I86" s="8"/>
      <c r="J86" s="8"/>
      <c r="L86" s="8"/>
    </row>
    <row r="87" spans="1:12" ht="18.75" customHeight="1">
      <c r="A87" s="191"/>
      <c r="B87" s="193">
        <v>80101</v>
      </c>
      <c r="C87" s="193"/>
      <c r="D87" s="193" t="s">
        <v>499</v>
      </c>
      <c r="E87" s="361">
        <v>91028125</v>
      </c>
      <c r="F87" s="604">
        <f>F88+F91+F100+F103+F108</f>
        <v>685814</v>
      </c>
      <c r="G87" s="604">
        <f>G88+G91+G100+G103+G108</f>
        <v>414020</v>
      </c>
      <c r="H87" s="604">
        <f t="shared" si="2"/>
        <v>90756331</v>
      </c>
      <c r="I87" s="8"/>
      <c r="J87" s="8"/>
      <c r="L87" s="8"/>
    </row>
    <row r="88" spans="1:12" ht="18.75" customHeight="1">
      <c r="A88" s="191"/>
      <c r="B88" s="191"/>
      <c r="C88" s="191"/>
      <c r="D88" s="195" t="s">
        <v>747</v>
      </c>
      <c r="E88" s="602">
        <v>56458406</v>
      </c>
      <c r="F88" s="543">
        <f>SUM(F89:F90)</f>
        <v>251517</v>
      </c>
      <c r="G88" s="543"/>
      <c r="H88" s="543">
        <f t="shared" si="2"/>
        <v>56206889</v>
      </c>
      <c r="I88" s="8"/>
      <c r="J88" s="8"/>
      <c r="L88" s="8"/>
    </row>
    <row r="89" spans="1:12" ht="18.75" customHeight="1">
      <c r="A89" s="191"/>
      <c r="B89" s="191"/>
      <c r="C89" s="189">
        <v>4010</v>
      </c>
      <c r="D89" s="10" t="s">
        <v>664</v>
      </c>
      <c r="E89" s="440">
        <v>52380955</v>
      </c>
      <c r="F89" s="579">
        <f>1186207-973500</f>
        <v>212707</v>
      </c>
      <c r="G89" s="579"/>
      <c r="H89" s="579">
        <f t="shared" si="2"/>
        <v>52168248</v>
      </c>
      <c r="I89" s="8"/>
      <c r="J89" s="8"/>
      <c r="L89" s="8"/>
    </row>
    <row r="90" spans="1:12" ht="18.75" customHeight="1">
      <c r="A90" s="191"/>
      <c r="B90" s="191"/>
      <c r="C90" s="189">
        <v>4170</v>
      </c>
      <c r="D90" s="10" t="s">
        <v>681</v>
      </c>
      <c r="E90" s="440">
        <v>103059</v>
      </c>
      <c r="F90" s="579">
        <f>40810-2000</f>
        <v>38810</v>
      </c>
      <c r="G90" s="579"/>
      <c r="H90" s="579">
        <f t="shared" si="2"/>
        <v>64249</v>
      </c>
      <c r="I90" s="8"/>
      <c r="J90" s="8"/>
      <c r="L90" s="8"/>
    </row>
    <row r="91" spans="1:12" ht="21" customHeight="1">
      <c r="A91" s="191"/>
      <c r="B91" s="191"/>
      <c r="C91" s="188"/>
      <c r="D91" s="195" t="s">
        <v>828</v>
      </c>
      <c r="E91" s="602">
        <v>12011138</v>
      </c>
      <c r="F91" s="543">
        <f>SUM(F92:F99)</f>
        <v>2266</v>
      </c>
      <c r="G91" s="543">
        <f>SUM(G92:G99)</f>
        <v>332857</v>
      </c>
      <c r="H91" s="543">
        <f t="shared" si="2"/>
        <v>12341729</v>
      </c>
      <c r="I91" s="8"/>
      <c r="J91" s="8"/>
      <c r="L91" s="8"/>
    </row>
    <row r="92" spans="1:12" ht="18" customHeight="1">
      <c r="A92" s="191"/>
      <c r="B92" s="191"/>
      <c r="C92" s="189">
        <v>3020</v>
      </c>
      <c r="D92" s="10" t="s">
        <v>37</v>
      </c>
      <c r="E92" s="440">
        <v>245094</v>
      </c>
      <c r="F92" s="579"/>
      <c r="G92" s="579">
        <f>7000-185</f>
        <v>6815</v>
      </c>
      <c r="H92" s="579">
        <f t="shared" si="2"/>
        <v>251909</v>
      </c>
      <c r="I92" s="8"/>
      <c r="J92" s="8"/>
      <c r="L92" s="8"/>
    </row>
    <row r="93" spans="1:12" ht="18" customHeight="1">
      <c r="A93" s="201"/>
      <c r="B93" s="201"/>
      <c r="C93" s="189">
        <v>4210</v>
      </c>
      <c r="D93" s="10" t="s">
        <v>674</v>
      </c>
      <c r="E93" s="440">
        <v>1163408</v>
      </c>
      <c r="F93" s="579"/>
      <c r="G93" s="579">
        <v>400</v>
      </c>
      <c r="H93" s="579">
        <f t="shared" si="2"/>
        <v>1163808</v>
      </c>
      <c r="I93" s="8"/>
      <c r="J93" s="8"/>
      <c r="L93" s="8"/>
    </row>
    <row r="94" spans="1:12" ht="18" customHeight="1">
      <c r="A94" s="191"/>
      <c r="B94" s="191"/>
      <c r="C94" s="189">
        <v>4240</v>
      </c>
      <c r="D94" s="10" t="s">
        <v>39</v>
      </c>
      <c r="E94" s="440">
        <v>266840</v>
      </c>
      <c r="F94" s="579"/>
      <c r="G94" s="579">
        <v>500</v>
      </c>
      <c r="H94" s="579">
        <f t="shared" si="2"/>
        <v>267340</v>
      </c>
      <c r="I94" s="8"/>
      <c r="J94" s="8"/>
      <c r="L94" s="8"/>
    </row>
    <row r="95" spans="1:12" ht="18" customHeight="1">
      <c r="A95" s="191"/>
      <c r="B95" s="191"/>
      <c r="C95" s="189">
        <v>4260</v>
      </c>
      <c r="D95" s="10" t="s">
        <v>741</v>
      </c>
      <c r="E95" s="440">
        <v>4498748</v>
      </c>
      <c r="F95" s="579"/>
      <c r="G95" s="579">
        <f>125060-72718</f>
        <v>52342</v>
      </c>
      <c r="H95" s="579">
        <f t="shared" si="2"/>
        <v>4551090</v>
      </c>
      <c r="I95" s="8"/>
      <c r="J95" s="8"/>
      <c r="L95" s="8"/>
    </row>
    <row r="96" spans="1:12" ht="18" customHeight="1">
      <c r="A96" s="191"/>
      <c r="B96" s="191"/>
      <c r="C96" s="189">
        <v>4270</v>
      </c>
      <c r="D96" s="10" t="s">
        <v>11</v>
      </c>
      <c r="E96" s="440">
        <v>995141</v>
      </c>
      <c r="F96" s="579"/>
      <c r="G96" s="579">
        <v>259600</v>
      </c>
      <c r="H96" s="579">
        <f t="shared" si="2"/>
        <v>1254741</v>
      </c>
      <c r="I96" s="8"/>
      <c r="J96" s="8"/>
      <c r="L96" s="8"/>
    </row>
    <row r="97" spans="1:12" ht="18" customHeight="1">
      <c r="A97" s="191"/>
      <c r="B97" s="191"/>
      <c r="C97" s="189">
        <v>4300</v>
      </c>
      <c r="D97" s="10" t="s">
        <v>742</v>
      </c>
      <c r="E97" s="440">
        <v>1044250</v>
      </c>
      <c r="F97" s="579"/>
      <c r="G97" s="579">
        <f>21100-7900</f>
        <v>13200</v>
      </c>
      <c r="H97" s="579">
        <f t="shared" si="2"/>
        <v>1057450</v>
      </c>
      <c r="I97" s="8"/>
      <c r="J97" s="8"/>
      <c r="L97" s="8"/>
    </row>
    <row r="98" spans="1:12" ht="18" customHeight="1">
      <c r="A98" s="191"/>
      <c r="B98" s="191"/>
      <c r="C98" s="189">
        <v>4430</v>
      </c>
      <c r="D98" s="10" t="s">
        <v>612</v>
      </c>
      <c r="E98" s="440">
        <v>72601</v>
      </c>
      <c r="F98" s="579">
        <v>180</v>
      </c>
      <c r="G98" s="579"/>
      <c r="H98" s="579">
        <f t="shared" si="2"/>
        <v>72421</v>
      </c>
      <c r="I98" s="8"/>
      <c r="J98" s="8"/>
      <c r="L98" s="8"/>
    </row>
    <row r="99" spans="1:12" ht="18" customHeight="1">
      <c r="A99" s="191"/>
      <c r="B99" s="191"/>
      <c r="C99" s="189">
        <v>4440</v>
      </c>
      <c r="D99" s="10" t="s">
        <v>613</v>
      </c>
      <c r="E99" s="440">
        <v>3504679</v>
      </c>
      <c r="F99" s="579">
        <f>20628-18542</f>
        <v>2086</v>
      </c>
      <c r="G99" s="579"/>
      <c r="H99" s="579">
        <f t="shared" si="2"/>
        <v>3502593</v>
      </c>
      <c r="I99" s="8"/>
      <c r="J99" s="8"/>
      <c r="L99" s="8"/>
    </row>
    <row r="100" spans="1:12" ht="18" customHeight="1">
      <c r="A100" s="191"/>
      <c r="B100" s="191"/>
      <c r="C100" s="191"/>
      <c r="D100" s="195" t="s">
        <v>921</v>
      </c>
      <c r="E100" s="602">
        <v>10835830</v>
      </c>
      <c r="F100" s="543"/>
      <c r="G100" s="543">
        <f>SUM(G101:G102)</f>
        <v>76885</v>
      </c>
      <c r="H100" s="543">
        <f t="shared" si="2"/>
        <v>10912715</v>
      </c>
      <c r="I100" s="8"/>
      <c r="J100" s="8"/>
      <c r="L100" s="8"/>
    </row>
    <row r="101" spans="1:12" ht="18" customHeight="1">
      <c r="A101" s="191"/>
      <c r="B101" s="191"/>
      <c r="C101" s="189">
        <v>4110</v>
      </c>
      <c r="D101" s="10" t="s">
        <v>665</v>
      </c>
      <c r="E101" s="440">
        <v>9538005</v>
      </c>
      <c r="F101" s="579"/>
      <c r="G101" s="579">
        <f>165500-117295</f>
        <v>48205</v>
      </c>
      <c r="H101" s="579">
        <f t="shared" si="2"/>
        <v>9586210</v>
      </c>
      <c r="I101" s="8"/>
      <c r="J101" s="8"/>
      <c r="L101" s="8"/>
    </row>
    <row r="102" spans="1:12" ht="18" customHeight="1">
      <c r="A102" s="191"/>
      <c r="B102" s="191"/>
      <c r="C102" s="222">
        <v>4120</v>
      </c>
      <c r="D102" s="603" t="s">
        <v>666</v>
      </c>
      <c r="E102" s="440">
        <v>1297825</v>
      </c>
      <c r="F102" s="579"/>
      <c r="G102" s="579">
        <f>36700-8020</f>
        <v>28680</v>
      </c>
      <c r="H102" s="579">
        <f t="shared" si="2"/>
        <v>1326505</v>
      </c>
      <c r="I102" s="8"/>
      <c r="J102" s="8"/>
      <c r="L102" s="8"/>
    </row>
    <row r="103" spans="1:12" ht="18" customHeight="1">
      <c r="A103" s="191"/>
      <c r="B103" s="191"/>
      <c r="C103" s="188"/>
      <c r="D103" s="195" t="s">
        <v>922</v>
      </c>
      <c r="E103" s="602">
        <v>382597</v>
      </c>
      <c r="F103" s="543">
        <f>SUM(F104:F107)</f>
        <v>10831</v>
      </c>
      <c r="G103" s="543">
        <f>SUM(G104:G107)</f>
        <v>4278</v>
      </c>
      <c r="H103" s="543">
        <f t="shared" si="2"/>
        <v>376044</v>
      </c>
      <c r="I103" s="8"/>
      <c r="J103" s="8"/>
      <c r="L103" s="8"/>
    </row>
    <row r="104" spans="1:12" ht="18" customHeight="1">
      <c r="A104" s="191"/>
      <c r="B104" s="191"/>
      <c r="C104" s="189">
        <v>4010</v>
      </c>
      <c r="D104" s="10" t="s">
        <v>664</v>
      </c>
      <c r="E104" s="440">
        <v>289715</v>
      </c>
      <c r="F104" s="579">
        <f>17389-6558</f>
        <v>10831</v>
      </c>
      <c r="G104" s="579"/>
      <c r="H104" s="579">
        <f t="shared" si="2"/>
        <v>278884</v>
      </c>
      <c r="I104" s="8"/>
      <c r="J104" s="8"/>
      <c r="L104" s="8"/>
    </row>
    <row r="105" spans="1:12" ht="18" customHeight="1">
      <c r="A105" s="191"/>
      <c r="B105" s="191"/>
      <c r="C105" s="189">
        <v>4110</v>
      </c>
      <c r="D105" s="10" t="s">
        <v>665</v>
      </c>
      <c r="E105" s="440">
        <v>46796</v>
      </c>
      <c r="F105" s="579"/>
      <c r="G105" s="579">
        <f>5710-2048</f>
        <v>3662</v>
      </c>
      <c r="H105" s="579">
        <f t="shared" si="2"/>
        <v>50458</v>
      </c>
      <c r="I105" s="8"/>
      <c r="J105" s="8"/>
      <c r="L105" s="8"/>
    </row>
    <row r="106" spans="1:12" ht="18" customHeight="1">
      <c r="A106" s="191"/>
      <c r="B106" s="191"/>
      <c r="C106" s="189">
        <v>4120</v>
      </c>
      <c r="D106" s="10" t="s">
        <v>666</v>
      </c>
      <c r="E106" s="440">
        <v>7043</v>
      </c>
      <c r="F106" s="579"/>
      <c r="G106" s="579">
        <v>293</v>
      </c>
      <c r="H106" s="579">
        <f t="shared" si="2"/>
        <v>7336</v>
      </c>
      <c r="I106" s="8"/>
      <c r="J106" s="8"/>
      <c r="L106" s="8"/>
    </row>
    <row r="107" spans="1:12" ht="18" customHeight="1">
      <c r="A107" s="191"/>
      <c r="B107" s="191"/>
      <c r="C107" s="189">
        <v>4440</v>
      </c>
      <c r="D107" s="10" t="s">
        <v>613</v>
      </c>
      <c r="E107" s="440">
        <v>17652</v>
      </c>
      <c r="F107" s="579"/>
      <c r="G107" s="579">
        <v>323</v>
      </c>
      <c r="H107" s="579">
        <f t="shared" si="2"/>
        <v>17975</v>
      </c>
      <c r="I107" s="8"/>
      <c r="J107" s="8"/>
      <c r="L107" s="8"/>
    </row>
    <row r="108" spans="1:12" ht="18" customHeight="1">
      <c r="A108" s="191"/>
      <c r="B108" s="191"/>
      <c r="C108" s="191"/>
      <c r="D108" s="195" t="s">
        <v>655</v>
      </c>
      <c r="E108" s="602">
        <v>10139649</v>
      </c>
      <c r="F108" s="543">
        <f>F110</f>
        <v>421200</v>
      </c>
      <c r="G108" s="543"/>
      <c r="H108" s="543">
        <f t="shared" si="2"/>
        <v>9718449</v>
      </c>
      <c r="I108" s="8"/>
      <c r="J108" s="8"/>
      <c r="L108" s="8"/>
    </row>
    <row r="109" spans="1:12" ht="18" customHeight="1">
      <c r="A109" s="191"/>
      <c r="B109" s="191"/>
      <c r="C109" s="191"/>
      <c r="D109" s="660" t="s">
        <v>653</v>
      </c>
      <c r="E109" s="846">
        <v>1542000</v>
      </c>
      <c r="F109" s="988">
        <v>421200</v>
      </c>
      <c r="G109" s="988"/>
      <c r="H109" s="988">
        <f t="shared" si="2"/>
        <v>1120800</v>
      </c>
      <c r="I109" s="8"/>
      <c r="J109" s="8"/>
      <c r="L109" s="8"/>
    </row>
    <row r="110" spans="1:12" ht="18.75" customHeight="1">
      <c r="A110" s="191"/>
      <c r="B110" s="191"/>
      <c r="C110" s="188">
        <v>6050</v>
      </c>
      <c r="D110" s="188" t="s">
        <v>670</v>
      </c>
      <c r="E110" s="453">
        <v>10130989</v>
      </c>
      <c r="F110" s="542">
        <f>414600+6600</f>
        <v>421200</v>
      </c>
      <c r="G110" s="542"/>
      <c r="H110" s="542">
        <f t="shared" si="2"/>
        <v>9709789</v>
      </c>
      <c r="I110" s="8"/>
      <c r="J110" s="8"/>
      <c r="L110" s="8"/>
    </row>
    <row r="111" spans="1:12" ht="18.75" customHeight="1">
      <c r="A111" s="191"/>
      <c r="B111" s="203">
        <v>80102</v>
      </c>
      <c r="C111" s="203"/>
      <c r="D111" s="203" t="s">
        <v>446</v>
      </c>
      <c r="E111" s="252">
        <v>5859950</v>
      </c>
      <c r="F111" s="552"/>
      <c r="G111" s="552">
        <f>G112+G114+G118</f>
        <v>102495</v>
      </c>
      <c r="H111" s="552">
        <f t="shared" si="2"/>
        <v>5962445</v>
      </c>
      <c r="I111" s="8"/>
      <c r="J111" s="8"/>
      <c r="L111" s="8"/>
    </row>
    <row r="112" spans="1:12" ht="18.75" customHeight="1">
      <c r="A112" s="191"/>
      <c r="B112" s="191"/>
      <c r="C112" s="191"/>
      <c r="D112" s="195" t="s">
        <v>747</v>
      </c>
      <c r="E112" s="602">
        <v>4505180</v>
      </c>
      <c r="F112" s="543"/>
      <c r="G112" s="543">
        <f>G113</f>
        <v>77700</v>
      </c>
      <c r="H112" s="543">
        <f t="shared" si="2"/>
        <v>4582880</v>
      </c>
      <c r="I112" s="8"/>
      <c r="J112" s="8"/>
      <c r="L112" s="8"/>
    </row>
    <row r="113" spans="1:12" ht="18.75" customHeight="1">
      <c r="A113" s="191"/>
      <c r="B113" s="191"/>
      <c r="C113" s="188">
        <v>4010</v>
      </c>
      <c r="D113" s="188" t="s">
        <v>664</v>
      </c>
      <c r="E113" s="440">
        <v>4157558</v>
      </c>
      <c r="F113" s="579"/>
      <c r="G113" s="579">
        <f>104000-26300</f>
        <v>77700</v>
      </c>
      <c r="H113" s="579">
        <f t="shared" si="2"/>
        <v>4235258</v>
      </c>
      <c r="I113" s="8"/>
      <c r="J113" s="8"/>
      <c r="L113" s="8"/>
    </row>
    <row r="114" spans="1:12" ht="18.75" customHeight="1">
      <c r="A114" s="191"/>
      <c r="B114" s="191"/>
      <c r="C114" s="194"/>
      <c r="D114" s="195" t="s">
        <v>828</v>
      </c>
      <c r="E114" s="602">
        <v>490000</v>
      </c>
      <c r="F114" s="543"/>
      <c r="G114" s="543">
        <f>G115+G116+G117</f>
        <v>12916</v>
      </c>
      <c r="H114" s="543">
        <f t="shared" si="2"/>
        <v>502916</v>
      </c>
      <c r="I114" s="8"/>
      <c r="J114" s="8"/>
      <c r="L114" s="8"/>
    </row>
    <row r="115" spans="1:12" ht="18.75" customHeight="1">
      <c r="A115" s="191"/>
      <c r="B115" s="191"/>
      <c r="C115" s="188">
        <v>4260</v>
      </c>
      <c r="D115" s="189" t="s">
        <v>741</v>
      </c>
      <c r="E115" s="440">
        <v>116320</v>
      </c>
      <c r="F115" s="579"/>
      <c r="G115" s="579">
        <v>8000</v>
      </c>
      <c r="H115" s="579">
        <f t="shared" si="2"/>
        <v>124320</v>
      </c>
      <c r="I115" s="8"/>
      <c r="J115" s="8"/>
      <c r="L115" s="8"/>
    </row>
    <row r="116" spans="1:12" ht="18.75" customHeight="1">
      <c r="A116" s="191"/>
      <c r="B116" s="191"/>
      <c r="C116" s="478">
        <v>4300</v>
      </c>
      <c r="D116" s="478" t="s">
        <v>742</v>
      </c>
      <c r="E116" s="440">
        <v>27220</v>
      </c>
      <c r="F116" s="579"/>
      <c r="G116" s="579">
        <v>550</v>
      </c>
      <c r="H116" s="579">
        <f t="shared" si="2"/>
        <v>27770</v>
      </c>
      <c r="I116" s="8"/>
      <c r="J116" s="8"/>
      <c r="L116" s="8"/>
    </row>
    <row r="117" spans="1:12" ht="18.75" customHeight="1">
      <c r="A117" s="191"/>
      <c r="B117" s="191"/>
      <c r="C117" s="222">
        <v>4440</v>
      </c>
      <c r="D117" s="478" t="s">
        <v>613</v>
      </c>
      <c r="E117" s="440">
        <v>268500</v>
      </c>
      <c r="F117" s="579"/>
      <c r="G117" s="579">
        <v>4366</v>
      </c>
      <c r="H117" s="579">
        <f t="shared" si="2"/>
        <v>272866</v>
      </c>
      <c r="I117" s="8"/>
      <c r="J117" s="8"/>
      <c r="L117" s="8"/>
    </row>
    <row r="118" spans="1:12" ht="18.75" customHeight="1">
      <c r="A118" s="191"/>
      <c r="B118" s="191"/>
      <c r="C118" s="194"/>
      <c r="D118" s="829" t="s">
        <v>921</v>
      </c>
      <c r="E118" s="602">
        <v>864770</v>
      </c>
      <c r="F118" s="543"/>
      <c r="G118" s="543">
        <f>G119+G120</f>
        <v>11879</v>
      </c>
      <c r="H118" s="543">
        <f t="shared" si="2"/>
        <v>876649</v>
      </c>
      <c r="I118" s="8"/>
      <c r="J118" s="8"/>
      <c r="L118" s="8"/>
    </row>
    <row r="119" spans="1:12" ht="18.75" customHeight="1">
      <c r="A119" s="191"/>
      <c r="B119" s="191"/>
      <c r="C119" s="188">
        <v>4110</v>
      </c>
      <c r="D119" s="188" t="s">
        <v>665</v>
      </c>
      <c r="E119" s="440">
        <v>761690</v>
      </c>
      <c r="F119" s="579"/>
      <c r="G119" s="579">
        <v>2000</v>
      </c>
      <c r="H119" s="579">
        <f t="shared" si="2"/>
        <v>763690</v>
      </c>
      <c r="I119" s="8"/>
      <c r="J119" s="8"/>
      <c r="L119" s="8"/>
    </row>
    <row r="120" spans="1:12" ht="18.75" customHeight="1">
      <c r="A120" s="191"/>
      <c r="B120" s="191"/>
      <c r="C120" s="222">
        <v>4120</v>
      </c>
      <c r="D120" s="478" t="s">
        <v>666</v>
      </c>
      <c r="E120" s="440">
        <v>103080</v>
      </c>
      <c r="F120" s="579"/>
      <c r="G120" s="579">
        <v>9879</v>
      </c>
      <c r="H120" s="579">
        <f t="shared" si="2"/>
        <v>112959</v>
      </c>
      <c r="I120" s="8"/>
      <c r="J120" s="8"/>
      <c r="L120" s="8"/>
    </row>
    <row r="121" spans="1:12" ht="18.75" customHeight="1">
      <c r="A121" s="191"/>
      <c r="B121" s="203">
        <v>80103</v>
      </c>
      <c r="C121" s="203"/>
      <c r="D121" s="203" t="s">
        <v>923</v>
      </c>
      <c r="E121" s="252">
        <v>1585480</v>
      </c>
      <c r="F121" s="552">
        <f>F122</f>
        <v>7668</v>
      </c>
      <c r="G121" s="552">
        <f>G124+G127</f>
        <v>11343</v>
      </c>
      <c r="H121" s="552">
        <f t="shared" si="2"/>
        <v>1589155</v>
      </c>
      <c r="I121" s="8"/>
      <c r="J121" s="8"/>
      <c r="L121" s="8"/>
    </row>
    <row r="122" spans="1:12" ht="18.75" customHeight="1">
      <c r="A122" s="191"/>
      <c r="B122" s="191"/>
      <c r="C122" s="191"/>
      <c r="D122" s="829" t="s">
        <v>747</v>
      </c>
      <c r="E122" s="602">
        <v>1190970</v>
      </c>
      <c r="F122" s="543">
        <f>F123</f>
        <v>7668</v>
      </c>
      <c r="G122" s="543"/>
      <c r="H122" s="543">
        <f t="shared" si="2"/>
        <v>1183302</v>
      </c>
      <c r="I122" s="8"/>
      <c r="J122" s="8"/>
      <c r="L122" s="8"/>
    </row>
    <row r="123" spans="1:12" ht="18.75" customHeight="1">
      <c r="A123" s="191"/>
      <c r="B123" s="191"/>
      <c r="C123" s="189">
        <v>4010</v>
      </c>
      <c r="D123" s="189" t="s">
        <v>664</v>
      </c>
      <c r="E123" s="440">
        <v>1119858</v>
      </c>
      <c r="F123" s="579">
        <f>49557-41889</f>
        <v>7668</v>
      </c>
      <c r="G123" s="579"/>
      <c r="H123" s="579">
        <f t="shared" si="2"/>
        <v>1112190</v>
      </c>
      <c r="I123" s="8"/>
      <c r="J123" s="8"/>
      <c r="L123" s="8"/>
    </row>
    <row r="124" spans="1:12" ht="18.75" customHeight="1">
      <c r="A124" s="191"/>
      <c r="B124" s="191"/>
      <c r="C124" s="194"/>
      <c r="D124" s="496" t="s">
        <v>828</v>
      </c>
      <c r="E124" s="602">
        <v>162200</v>
      </c>
      <c r="F124" s="543"/>
      <c r="G124" s="543">
        <f>SUM(G125:G126)</f>
        <v>5378</v>
      </c>
      <c r="H124" s="543">
        <f t="shared" si="2"/>
        <v>167578</v>
      </c>
      <c r="I124" s="8"/>
      <c r="J124" s="8"/>
      <c r="L124" s="8"/>
    </row>
    <row r="125" spans="1:12" ht="18.75" customHeight="1">
      <c r="A125" s="201"/>
      <c r="B125" s="201"/>
      <c r="C125" s="189">
        <v>4260</v>
      </c>
      <c r="D125" s="189" t="s">
        <v>741</v>
      </c>
      <c r="E125" s="440">
        <v>16620</v>
      </c>
      <c r="F125" s="579"/>
      <c r="G125" s="579">
        <v>1000</v>
      </c>
      <c r="H125" s="547">
        <f t="shared" si="2"/>
        <v>17620</v>
      </c>
      <c r="I125" s="8"/>
      <c r="J125" s="8"/>
      <c r="L125" s="8"/>
    </row>
    <row r="126" spans="1:12" ht="18.75" customHeight="1">
      <c r="A126" s="191"/>
      <c r="B126" s="191"/>
      <c r="C126" s="189">
        <v>4440</v>
      </c>
      <c r="D126" s="189" t="s">
        <v>613</v>
      </c>
      <c r="E126" s="440">
        <v>81007</v>
      </c>
      <c r="F126" s="579"/>
      <c r="G126" s="579">
        <f>6238-1860</f>
        <v>4378</v>
      </c>
      <c r="H126" s="579">
        <f t="shared" si="2"/>
        <v>85385</v>
      </c>
      <c r="I126" s="8"/>
      <c r="J126" s="8"/>
      <c r="L126" s="8"/>
    </row>
    <row r="127" spans="1:12" ht="18.75" customHeight="1">
      <c r="A127" s="191"/>
      <c r="B127" s="191"/>
      <c r="C127" s="191"/>
      <c r="D127" s="829" t="s">
        <v>921</v>
      </c>
      <c r="E127" s="602">
        <v>232310</v>
      </c>
      <c r="F127" s="543"/>
      <c r="G127" s="543">
        <f>SUM(G128:G129)</f>
        <v>5965</v>
      </c>
      <c r="H127" s="543">
        <f t="shared" si="2"/>
        <v>238275</v>
      </c>
      <c r="I127" s="8"/>
      <c r="J127" s="8"/>
      <c r="L127" s="8"/>
    </row>
    <row r="128" spans="1:12" ht="18.75" customHeight="1">
      <c r="A128" s="191"/>
      <c r="B128" s="191"/>
      <c r="C128" s="189">
        <v>4110</v>
      </c>
      <c r="D128" s="10" t="s">
        <v>665</v>
      </c>
      <c r="E128" s="440">
        <v>204130</v>
      </c>
      <c r="F128" s="579"/>
      <c r="G128" s="579">
        <f>10525-5320</f>
        <v>5205</v>
      </c>
      <c r="H128" s="579">
        <f t="shared" si="2"/>
        <v>209335</v>
      </c>
      <c r="I128" s="8"/>
      <c r="J128" s="8"/>
      <c r="L128" s="8"/>
    </row>
    <row r="129" spans="1:12" ht="18.75" customHeight="1">
      <c r="A129" s="191"/>
      <c r="B129" s="191"/>
      <c r="C129" s="189">
        <v>4120</v>
      </c>
      <c r="D129" s="10" t="s">
        <v>666</v>
      </c>
      <c r="E129" s="440">
        <v>28180</v>
      </c>
      <c r="F129" s="579"/>
      <c r="G129" s="579">
        <f>1030-270</f>
        <v>760</v>
      </c>
      <c r="H129" s="579">
        <f t="shared" si="2"/>
        <v>28940</v>
      </c>
      <c r="I129" s="8"/>
      <c r="J129" s="8"/>
      <c r="L129" s="8"/>
    </row>
    <row r="130" spans="1:12" ht="18.75" customHeight="1">
      <c r="A130" s="191"/>
      <c r="B130" s="203">
        <v>80104</v>
      </c>
      <c r="C130" s="193"/>
      <c r="D130" s="193" t="s">
        <v>12</v>
      </c>
      <c r="E130" s="361">
        <v>46699011</v>
      </c>
      <c r="F130" s="604">
        <f>F131+F141+F144</f>
        <v>329168</v>
      </c>
      <c r="G130" s="604">
        <f>G131+G141+G144</f>
        <v>329168</v>
      </c>
      <c r="H130" s="604">
        <f aca="true" t="shared" si="3" ref="H130:H232">E130-F130+G130</f>
        <v>46699011</v>
      </c>
      <c r="I130" s="8"/>
      <c r="J130" s="8"/>
      <c r="L130" s="8"/>
    </row>
    <row r="131" spans="1:12" ht="18.75" customHeight="1">
      <c r="A131" s="191"/>
      <c r="B131" s="191"/>
      <c r="C131" s="188"/>
      <c r="D131" s="446" t="s">
        <v>828</v>
      </c>
      <c r="E131" s="602">
        <v>6301779</v>
      </c>
      <c r="F131" s="543">
        <f>SUM(F132:F140)</f>
        <v>7055</v>
      </c>
      <c r="G131" s="543">
        <f>SUM(G132:G140)</f>
        <v>324675</v>
      </c>
      <c r="H131" s="543">
        <f t="shared" si="3"/>
        <v>6619399</v>
      </c>
      <c r="I131" s="8"/>
      <c r="J131" s="8"/>
      <c r="L131" s="8"/>
    </row>
    <row r="132" spans="1:12" ht="18.75" customHeight="1">
      <c r="A132" s="191"/>
      <c r="B132" s="191"/>
      <c r="C132" s="189">
        <v>3020</v>
      </c>
      <c r="D132" s="189" t="s">
        <v>37</v>
      </c>
      <c r="E132" s="440">
        <v>21661</v>
      </c>
      <c r="F132" s="579">
        <f>355-107</f>
        <v>248</v>
      </c>
      <c r="G132" s="579"/>
      <c r="H132" s="579">
        <f t="shared" si="3"/>
        <v>21413</v>
      </c>
      <c r="I132" s="8"/>
      <c r="J132" s="8"/>
      <c r="L132" s="8"/>
    </row>
    <row r="133" spans="1:12" ht="27" customHeight="1">
      <c r="A133" s="191"/>
      <c r="B133" s="191"/>
      <c r="C133" s="222">
        <v>4140</v>
      </c>
      <c r="D133" s="199" t="s">
        <v>38</v>
      </c>
      <c r="E133" s="253">
        <v>87785</v>
      </c>
      <c r="F133" s="548">
        <f>6747-270</f>
        <v>6477</v>
      </c>
      <c r="G133" s="548"/>
      <c r="H133" s="548">
        <f t="shared" si="3"/>
        <v>81308</v>
      </c>
      <c r="I133" s="8"/>
      <c r="J133" s="8"/>
      <c r="L133" s="8"/>
    </row>
    <row r="134" spans="1:12" ht="18.75" customHeight="1">
      <c r="A134" s="191"/>
      <c r="B134" s="191"/>
      <c r="C134" s="222">
        <v>4210</v>
      </c>
      <c r="D134" s="222" t="s">
        <v>674</v>
      </c>
      <c r="E134" s="253">
        <v>365690</v>
      </c>
      <c r="F134" s="548"/>
      <c r="G134" s="548">
        <v>8225</v>
      </c>
      <c r="H134" s="548">
        <f t="shared" si="3"/>
        <v>373915</v>
      </c>
      <c r="I134" s="8"/>
      <c r="J134" s="8"/>
      <c r="L134" s="8"/>
    </row>
    <row r="135" spans="1:12" ht="18.75" customHeight="1">
      <c r="A135" s="191"/>
      <c r="B135" s="191"/>
      <c r="C135" s="222">
        <v>4240</v>
      </c>
      <c r="D135" s="222" t="s">
        <v>39</v>
      </c>
      <c r="E135" s="253">
        <v>91028</v>
      </c>
      <c r="F135" s="548"/>
      <c r="G135" s="548">
        <f>692-250</f>
        <v>442</v>
      </c>
      <c r="H135" s="548">
        <f t="shared" si="3"/>
        <v>91470</v>
      </c>
      <c r="I135" s="8"/>
      <c r="J135" s="8"/>
      <c r="L135" s="8"/>
    </row>
    <row r="136" spans="1:12" ht="18.75" customHeight="1">
      <c r="A136" s="191"/>
      <c r="B136" s="191"/>
      <c r="C136" s="222">
        <v>4260</v>
      </c>
      <c r="D136" s="222" t="s">
        <v>741</v>
      </c>
      <c r="E136" s="253">
        <v>2269938</v>
      </c>
      <c r="F136" s="548"/>
      <c r="G136" s="548">
        <f>22100-21500</f>
        <v>600</v>
      </c>
      <c r="H136" s="548">
        <f t="shared" si="3"/>
        <v>2270538</v>
      </c>
      <c r="I136" s="8"/>
      <c r="J136" s="8"/>
      <c r="L136" s="8"/>
    </row>
    <row r="137" spans="1:12" ht="18.75" customHeight="1">
      <c r="A137" s="191"/>
      <c r="B137" s="191"/>
      <c r="C137" s="222">
        <v>4270</v>
      </c>
      <c r="D137" s="222" t="s">
        <v>13</v>
      </c>
      <c r="E137" s="253">
        <v>248034</v>
      </c>
      <c r="F137" s="548"/>
      <c r="G137" s="548">
        <f>317620-3451</f>
        <v>314169</v>
      </c>
      <c r="H137" s="548">
        <f t="shared" si="3"/>
        <v>562203</v>
      </c>
      <c r="I137" s="8"/>
      <c r="J137" s="8"/>
      <c r="L137" s="8"/>
    </row>
    <row r="138" spans="1:12" ht="18.75" customHeight="1">
      <c r="A138" s="191"/>
      <c r="B138" s="191"/>
      <c r="C138" s="222">
        <v>4280</v>
      </c>
      <c r="D138" s="222" t="s">
        <v>40</v>
      </c>
      <c r="E138" s="253">
        <v>32865</v>
      </c>
      <c r="F138" s="548"/>
      <c r="G138" s="548">
        <v>1112</v>
      </c>
      <c r="H138" s="548">
        <f t="shared" si="3"/>
        <v>33977</v>
      </c>
      <c r="I138" s="8"/>
      <c r="J138" s="8"/>
      <c r="L138" s="8"/>
    </row>
    <row r="139" spans="1:12" ht="18.75" customHeight="1">
      <c r="A139" s="191"/>
      <c r="B139" s="191"/>
      <c r="C139" s="222">
        <v>4300</v>
      </c>
      <c r="D139" s="222" t="s">
        <v>742</v>
      </c>
      <c r="E139" s="253">
        <v>1322020</v>
      </c>
      <c r="F139" s="548">
        <f>23630-23300</f>
        <v>330</v>
      </c>
      <c r="G139" s="548"/>
      <c r="H139" s="548">
        <f t="shared" si="3"/>
        <v>1321690</v>
      </c>
      <c r="I139" s="8"/>
      <c r="J139" s="8"/>
      <c r="L139" s="8"/>
    </row>
    <row r="140" spans="1:12" ht="18.75" customHeight="1">
      <c r="A140" s="191"/>
      <c r="B140" s="191"/>
      <c r="C140" s="222">
        <v>4410</v>
      </c>
      <c r="D140" s="222" t="s">
        <v>685</v>
      </c>
      <c r="E140" s="253">
        <v>13738</v>
      </c>
      <c r="F140" s="548"/>
      <c r="G140" s="548">
        <v>127</v>
      </c>
      <c r="H140" s="548">
        <f t="shared" si="3"/>
        <v>13865</v>
      </c>
      <c r="I140" s="8"/>
      <c r="J140" s="8"/>
      <c r="L140" s="8"/>
    </row>
    <row r="141" spans="1:12" ht="18.75" customHeight="1">
      <c r="A141" s="191"/>
      <c r="B141" s="191"/>
      <c r="C141" s="191"/>
      <c r="D141" s="446" t="s">
        <v>456</v>
      </c>
      <c r="E141" s="784">
        <v>4290000</v>
      </c>
      <c r="F141" s="543">
        <f>SUM(F142:F143)</f>
        <v>4493</v>
      </c>
      <c r="G141" s="543">
        <f>SUM(G142:G143)</f>
        <v>4493</v>
      </c>
      <c r="H141" s="543">
        <f t="shared" si="3"/>
        <v>4290000</v>
      </c>
      <c r="I141" s="8"/>
      <c r="J141" s="8"/>
      <c r="L141" s="8"/>
    </row>
    <row r="142" spans="1:12" ht="27.75" customHeight="1">
      <c r="A142" s="191"/>
      <c r="B142" s="191"/>
      <c r="C142" s="189">
        <v>2540</v>
      </c>
      <c r="D142" s="10" t="s">
        <v>478</v>
      </c>
      <c r="E142" s="440">
        <v>2748100</v>
      </c>
      <c r="F142" s="579"/>
      <c r="G142" s="579">
        <f>58411-53918</f>
        <v>4493</v>
      </c>
      <c r="H142" s="579">
        <f t="shared" si="3"/>
        <v>2752593</v>
      </c>
      <c r="I142" s="8"/>
      <c r="J142" s="8"/>
      <c r="L142" s="8"/>
    </row>
    <row r="143" spans="1:12" ht="41.25" customHeight="1">
      <c r="A143" s="191"/>
      <c r="B143" s="191"/>
      <c r="C143" s="222">
        <v>2590</v>
      </c>
      <c r="D143" s="199" t="s">
        <v>479</v>
      </c>
      <c r="E143" s="253">
        <v>1541900</v>
      </c>
      <c r="F143" s="548">
        <v>4493</v>
      </c>
      <c r="G143" s="548"/>
      <c r="H143" s="548">
        <f t="shared" si="3"/>
        <v>1537407</v>
      </c>
      <c r="I143" s="8"/>
      <c r="J143" s="8"/>
      <c r="L143" s="8"/>
    </row>
    <row r="144" spans="1:12" ht="18.75" customHeight="1">
      <c r="A144" s="191"/>
      <c r="B144" s="191"/>
      <c r="C144" s="191"/>
      <c r="D144" s="446" t="s">
        <v>655</v>
      </c>
      <c r="E144" s="452">
        <v>781232</v>
      </c>
      <c r="F144" s="631">
        <f>F146</f>
        <v>317620</v>
      </c>
      <c r="G144" s="631"/>
      <c r="H144" s="631">
        <f t="shared" si="3"/>
        <v>463612</v>
      </c>
      <c r="I144" s="8"/>
      <c r="J144" s="8"/>
      <c r="L144" s="8"/>
    </row>
    <row r="145" spans="1:12" ht="18.75" customHeight="1">
      <c r="A145" s="191"/>
      <c r="B145" s="191"/>
      <c r="C145" s="191"/>
      <c r="D145" s="1300" t="s">
        <v>29</v>
      </c>
      <c r="E145" s="1274">
        <v>511732</v>
      </c>
      <c r="F145" s="990">
        <v>317620</v>
      </c>
      <c r="G145" s="990"/>
      <c r="H145" s="990">
        <f t="shared" si="3"/>
        <v>194112</v>
      </c>
      <c r="I145" s="8"/>
      <c r="J145" s="8"/>
      <c r="L145" s="8"/>
    </row>
    <row r="146" spans="1:12" ht="18.75" customHeight="1">
      <c r="A146" s="191"/>
      <c r="B146" s="191"/>
      <c r="C146" s="189">
        <v>6050</v>
      </c>
      <c r="D146" s="189" t="s">
        <v>670</v>
      </c>
      <c r="E146" s="440">
        <v>771232</v>
      </c>
      <c r="F146" s="579">
        <v>317620</v>
      </c>
      <c r="G146" s="579"/>
      <c r="H146" s="579">
        <f t="shared" si="3"/>
        <v>453612</v>
      </c>
      <c r="I146" s="8"/>
      <c r="J146" s="8"/>
      <c r="L146" s="8"/>
    </row>
    <row r="147" spans="1:12" ht="18.75" customHeight="1">
      <c r="A147" s="191"/>
      <c r="B147" s="203">
        <v>80105</v>
      </c>
      <c r="C147" s="193"/>
      <c r="D147" s="193" t="s">
        <v>447</v>
      </c>
      <c r="E147" s="361">
        <v>1468200</v>
      </c>
      <c r="F147" s="604">
        <f>F150</f>
        <v>581</v>
      </c>
      <c r="G147" s="604">
        <f>G148+G150+G152</f>
        <v>4492</v>
      </c>
      <c r="H147" s="604">
        <f t="shared" si="3"/>
        <v>1472111</v>
      </c>
      <c r="I147" s="8"/>
      <c r="J147" s="8"/>
      <c r="L147" s="8"/>
    </row>
    <row r="148" spans="1:12" ht="18.75" customHeight="1">
      <c r="A148" s="191"/>
      <c r="B148" s="510"/>
      <c r="C148" s="510"/>
      <c r="D148" s="446" t="s">
        <v>747</v>
      </c>
      <c r="E148" s="452">
        <v>1118200</v>
      </c>
      <c r="F148" s="631"/>
      <c r="G148" s="631">
        <f>G149</f>
        <v>2202</v>
      </c>
      <c r="H148" s="631">
        <f t="shared" si="3"/>
        <v>1120402</v>
      </c>
      <c r="I148" s="8"/>
      <c r="J148" s="8"/>
      <c r="L148" s="8"/>
    </row>
    <row r="149" spans="1:12" ht="18.75" customHeight="1">
      <c r="A149" s="191"/>
      <c r="B149" s="510"/>
      <c r="C149" s="189">
        <v>4010</v>
      </c>
      <c r="D149" s="189" t="s">
        <v>664</v>
      </c>
      <c r="E149" s="440">
        <v>1029258</v>
      </c>
      <c r="F149" s="579"/>
      <c r="G149" s="579">
        <v>2202</v>
      </c>
      <c r="H149" s="579">
        <f t="shared" si="3"/>
        <v>1031460</v>
      </c>
      <c r="I149" s="8"/>
      <c r="J149" s="8"/>
      <c r="L149" s="8"/>
    </row>
    <row r="150" spans="1:12" ht="18.75" customHeight="1">
      <c r="A150" s="191"/>
      <c r="B150" s="191"/>
      <c r="C150" s="478"/>
      <c r="D150" s="496" t="s">
        <v>828</v>
      </c>
      <c r="E150" s="452">
        <v>150000</v>
      </c>
      <c r="F150" s="631">
        <f>F151</f>
        <v>581</v>
      </c>
      <c r="G150" s="631"/>
      <c r="H150" s="631">
        <f t="shared" si="3"/>
        <v>149419</v>
      </c>
      <c r="I150" s="8"/>
      <c r="J150" s="8"/>
      <c r="L150" s="8"/>
    </row>
    <row r="151" spans="1:12" ht="18.75" customHeight="1">
      <c r="A151" s="191"/>
      <c r="B151" s="191"/>
      <c r="C151" s="189">
        <v>4440</v>
      </c>
      <c r="D151" s="189" t="s">
        <v>613</v>
      </c>
      <c r="E151" s="440">
        <v>64670</v>
      </c>
      <c r="F151" s="579">
        <v>581</v>
      </c>
      <c r="G151" s="579"/>
      <c r="H151" s="579">
        <f t="shared" si="3"/>
        <v>64089</v>
      </c>
      <c r="I151" s="8"/>
      <c r="J151" s="8"/>
      <c r="L151" s="8"/>
    </row>
    <row r="152" spans="1:12" ht="18.75" customHeight="1">
      <c r="A152" s="191"/>
      <c r="B152" s="191"/>
      <c r="C152" s="830"/>
      <c r="D152" s="496" t="s">
        <v>921</v>
      </c>
      <c r="E152" s="602">
        <v>200000</v>
      </c>
      <c r="F152" s="543"/>
      <c r="G152" s="543">
        <f>SUM(G153:G154)</f>
        <v>2290</v>
      </c>
      <c r="H152" s="543">
        <f t="shared" si="3"/>
        <v>202290</v>
      </c>
      <c r="I152" s="8"/>
      <c r="J152" s="8"/>
      <c r="L152" s="8"/>
    </row>
    <row r="153" spans="1:12" ht="18.75" customHeight="1">
      <c r="A153" s="191"/>
      <c r="B153" s="191"/>
      <c r="C153" s="189">
        <v>4110</v>
      </c>
      <c r="D153" s="189" t="s">
        <v>665</v>
      </c>
      <c r="E153" s="440">
        <v>172700</v>
      </c>
      <c r="F153" s="579"/>
      <c r="G153" s="579">
        <v>2130</v>
      </c>
      <c r="H153" s="579">
        <f t="shared" si="3"/>
        <v>174830</v>
      </c>
      <c r="I153" s="8"/>
      <c r="J153" s="8"/>
      <c r="L153" s="8"/>
    </row>
    <row r="154" spans="1:12" ht="18.75" customHeight="1">
      <c r="A154" s="201"/>
      <c r="B154" s="201"/>
      <c r="C154" s="222">
        <v>4120</v>
      </c>
      <c r="D154" s="222" t="s">
        <v>666</v>
      </c>
      <c r="E154" s="253">
        <v>27300</v>
      </c>
      <c r="F154" s="548"/>
      <c r="G154" s="548">
        <v>160</v>
      </c>
      <c r="H154" s="548">
        <f t="shared" si="3"/>
        <v>27460</v>
      </c>
      <c r="I154" s="8"/>
      <c r="J154" s="8"/>
      <c r="L154" s="8"/>
    </row>
    <row r="155" spans="1:12" ht="18.75" customHeight="1">
      <c r="A155" s="191"/>
      <c r="B155" s="193">
        <v>80110</v>
      </c>
      <c r="C155" s="193"/>
      <c r="D155" s="193" t="s">
        <v>502</v>
      </c>
      <c r="E155" s="361">
        <v>50664583</v>
      </c>
      <c r="F155" s="604">
        <f>F156+F159+F167+F170</f>
        <v>184866</v>
      </c>
      <c r="G155" s="604">
        <f>G156+G159+G167+G170</f>
        <v>403984</v>
      </c>
      <c r="H155" s="604">
        <f t="shared" si="3"/>
        <v>50883701</v>
      </c>
      <c r="I155" s="8"/>
      <c r="J155" s="8"/>
      <c r="L155" s="8"/>
    </row>
    <row r="156" spans="1:12" ht="18.75" customHeight="1">
      <c r="A156" s="191"/>
      <c r="B156" s="243"/>
      <c r="C156" s="510"/>
      <c r="D156" s="496" t="s">
        <v>747</v>
      </c>
      <c r="E156" s="602">
        <v>33137514</v>
      </c>
      <c r="F156" s="543">
        <f>F157+F158</f>
        <v>22366</v>
      </c>
      <c r="G156" s="543">
        <f>G157+G158</f>
        <v>227844</v>
      </c>
      <c r="H156" s="543">
        <f t="shared" si="3"/>
        <v>33342992</v>
      </c>
      <c r="I156" s="8"/>
      <c r="J156" s="8"/>
      <c r="L156" s="8"/>
    </row>
    <row r="157" spans="1:12" ht="18.75" customHeight="1">
      <c r="A157" s="191"/>
      <c r="B157" s="243"/>
      <c r="C157" s="189">
        <v>4010</v>
      </c>
      <c r="D157" s="189" t="s">
        <v>664</v>
      </c>
      <c r="E157" s="440">
        <v>30754658</v>
      </c>
      <c r="F157" s="579"/>
      <c r="G157" s="579">
        <f>602500-374656</f>
        <v>227844</v>
      </c>
      <c r="H157" s="579">
        <f t="shared" si="3"/>
        <v>30982502</v>
      </c>
      <c r="I157" s="8"/>
      <c r="J157" s="8"/>
      <c r="L157" s="8"/>
    </row>
    <row r="158" spans="1:12" ht="18.75" customHeight="1">
      <c r="A158" s="191"/>
      <c r="B158" s="243"/>
      <c r="C158" s="222">
        <v>4170</v>
      </c>
      <c r="D158" s="222" t="s">
        <v>681</v>
      </c>
      <c r="E158" s="253">
        <v>38283</v>
      </c>
      <c r="F158" s="548">
        <v>22366</v>
      </c>
      <c r="G158" s="548"/>
      <c r="H158" s="548">
        <f t="shared" si="3"/>
        <v>15917</v>
      </c>
      <c r="I158" s="8"/>
      <c r="J158" s="8"/>
      <c r="L158" s="8"/>
    </row>
    <row r="159" spans="1:12" ht="18.75" customHeight="1">
      <c r="A159" s="191"/>
      <c r="B159" s="191"/>
      <c r="C159" s="188"/>
      <c r="D159" s="496" t="s">
        <v>828</v>
      </c>
      <c r="E159" s="602">
        <v>6639486</v>
      </c>
      <c r="F159" s="543"/>
      <c r="G159" s="543">
        <f>SUM(G160:G166)</f>
        <v>171650</v>
      </c>
      <c r="H159" s="543">
        <f t="shared" si="3"/>
        <v>6811136</v>
      </c>
      <c r="I159" s="8"/>
      <c r="J159" s="8"/>
      <c r="L159" s="8"/>
    </row>
    <row r="160" spans="1:12" ht="18.75" customHeight="1">
      <c r="A160" s="191"/>
      <c r="B160" s="191"/>
      <c r="C160" s="189">
        <v>4210</v>
      </c>
      <c r="D160" s="189" t="s">
        <v>674</v>
      </c>
      <c r="E160" s="440">
        <v>590776</v>
      </c>
      <c r="F160" s="579"/>
      <c r="G160" s="579">
        <v>10890</v>
      </c>
      <c r="H160" s="579">
        <f t="shared" si="3"/>
        <v>601666</v>
      </c>
      <c r="I160" s="8"/>
      <c r="J160" s="8"/>
      <c r="L160" s="8"/>
    </row>
    <row r="161" spans="1:12" ht="18.75" customHeight="1">
      <c r="A161" s="191"/>
      <c r="B161" s="191"/>
      <c r="C161" s="222">
        <v>4240</v>
      </c>
      <c r="D161" s="222" t="s">
        <v>39</v>
      </c>
      <c r="E161" s="253">
        <v>73900</v>
      </c>
      <c r="F161" s="548"/>
      <c r="G161" s="548">
        <v>3500</v>
      </c>
      <c r="H161" s="548">
        <f t="shared" si="3"/>
        <v>77400</v>
      </c>
      <c r="I161" s="8"/>
      <c r="J161" s="8"/>
      <c r="L161" s="8"/>
    </row>
    <row r="162" spans="1:12" ht="18.75" customHeight="1">
      <c r="A162" s="191"/>
      <c r="B162" s="191"/>
      <c r="C162" s="222">
        <v>4260</v>
      </c>
      <c r="D162" s="222" t="s">
        <v>741</v>
      </c>
      <c r="E162" s="253">
        <v>2415153</v>
      </c>
      <c r="F162" s="548"/>
      <c r="G162" s="548">
        <f>25000-2100</f>
        <v>22900</v>
      </c>
      <c r="H162" s="548">
        <f t="shared" si="3"/>
        <v>2438053</v>
      </c>
      <c r="I162" s="8"/>
      <c r="J162" s="8"/>
      <c r="L162" s="8"/>
    </row>
    <row r="163" spans="1:12" ht="18.75" customHeight="1">
      <c r="A163" s="191"/>
      <c r="B163" s="191"/>
      <c r="C163" s="222">
        <v>4270</v>
      </c>
      <c r="D163" s="222" t="s">
        <v>11</v>
      </c>
      <c r="E163" s="253">
        <v>818534</v>
      </c>
      <c r="F163" s="548"/>
      <c r="G163" s="548">
        <f>116000-1390</f>
        <v>114610</v>
      </c>
      <c r="H163" s="548">
        <f t="shared" si="3"/>
        <v>933144</v>
      </c>
      <c r="I163" s="8"/>
      <c r="J163" s="8"/>
      <c r="L163" s="8"/>
    </row>
    <row r="164" spans="1:12" ht="18.75" customHeight="1">
      <c r="A164" s="191"/>
      <c r="B164" s="191"/>
      <c r="C164" s="222">
        <v>4280</v>
      </c>
      <c r="D164" s="222" t="s">
        <v>40</v>
      </c>
      <c r="E164" s="253">
        <v>37400</v>
      </c>
      <c r="F164" s="548"/>
      <c r="G164" s="548">
        <v>1770</v>
      </c>
      <c r="H164" s="548">
        <f t="shared" si="3"/>
        <v>39170</v>
      </c>
      <c r="I164" s="8"/>
      <c r="J164" s="8"/>
      <c r="L164" s="8"/>
    </row>
    <row r="165" spans="1:12" ht="18.75" customHeight="1">
      <c r="A165" s="191"/>
      <c r="B165" s="191"/>
      <c r="C165" s="222">
        <v>4300</v>
      </c>
      <c r="D165" s="222" t="s">
        <v>742</v>
      </c>
      <c r="E165" s="253">
        <v>387018</v>
      </c>
      <c r="F165" s="548"/>
      <c r="G165" s="548">
        <v>1500</v>
      </c>
      <c r="H165" s="548">
        <f t="shared" si="3"/>
        <v>388518</v>
      </c>
      <c r="I165" s="8"/>
      <c r="J165" s="8"/>
      <c r="L165" s="8"/>
    </row>
    <row r="166" spans="1:12" ht="18.75" customHeight="1">
      <c r="A166" s="191"/>
      <c r="B166" s="191"/>
      <c r="C166" s="222">
        <v>4440</v>
      </c>
      <c r="D166" s="222" t="s">
        <v>613</v>
      </c>
      <c r="E166" s="253">
        <v>2082730</v>
      </c>
      <c r="F166" s="548"/>
      <c r="G166" s="548">
        <v>16480</v>
      </c>
      <c r="H166" s="548">
        <f t="shared" si="3"/>
        <v>2099210</v>
      </c>
      <c r="I166" s="8"/>
      <c r="J166" s="8"/>
      <c r="L166" s="8"/>
    </row>
    <row r="167" spans="1:12" ht="18.75" customHeight="1">
      <c r="A167" s="191"/>
      <c r="B167" s="191"/>
      <c r="C167" s="510"/>
      <c r="D167" s="496" t="s">
        <v>921</v>
      </c>
      <c r="E167" s="602">
        <v>6398200</v>
      </c>
      <c r="F167" s="543">
        <f>SUM(F168:F169)</f>
        <v>46500</v>
      </c>
      <c r="G167" s="543">
        <f>SUM(G168:G169)</f>
        <v>4490</v>
      </c>
      <c r="H167" s="543">
        <f t="shared" si="3"/>
        <v>6356190</v>
      </c>
      <c r="I167" s="8"/>
      <c r="J167" s="8"/>
      <c r="L167" s="8"/>
    </row>
    <row r="168" spans="1:12" ht="18.75" customHeight="1">
      <c r="A168" s="191"/>
      <c r="B168" s="191"/>
      <c r="C168" s="189">
        <v>4110</v>
      </c>
      <c r="D168" s="189" t="s">
        <v>665</v>
      </c>
      <c r="E168" s="440">
        <v>5618200</v>
      </c>
      <c r="F168" s="579">
        <f>51000-4500</f>
        <v>46500</v>
      </c>
      <c r="G168" s="579"/>
      <c r="H168" s="579">
        <f t="shared" si="3"/>
        <v>5571700</v>
      </c>
      <c r="I168" s="8"/>
      <c r="J168" s="8"/>
      <c r="L168" s="8"/>
    </row>
    <row r="169" spans="1:12" ht="18.75" customHeight="1">
      <c r="A169" s="191"/>
      <c r="B169" s="191"/>
      <c r="C169" s="222">
        <v>4120</v>
      </c>
      <c r="D169" s="222" t="s">
        <v>666</v>
      </c>
      <c r="E169" s="253">
        <v>780000</v>
      </c>
      <c r="F169" s="548"/>
      <c r="G169" s="548">
        <f>4990-500</f>
        <v>4490</v>
      </c>
      <c r="H169" s="548">
        <f t="shared" si="3"/>
        <v>784490</v>
      </c>
      <c r="I169" s="8"/>
      <c r="J169" s="8"/>
      <c r="L169" s="8"/>
    </row>
    <row r="170" spans="1:12" ht="18.75" customHeight="1">
      <c r="A170" s="191"/>
      <c r="B170" s="191"/>
      <c r="C170" s="191"/>
      <c r="D170" s="496" t="s">
        <v>655</v>
      </c>
      <c r="E170" s="602">
        <v>1677438</v>
      </c>
      <c r="F170" s="543">
        <f>F172</f>
        <v>116000</v>
      </c>
      <c r="G170" s="543"/>
      <c r="H170" s="543">
        <f t="shared" si="3"/>
        <v>1561438</v>
      </c>
      <c r="I170" s="8"/>
      <c r="J170" s="8"/>
      <c r="L170" s="8"/>
    </row>
    <row r="171" spans="1:12" ht="18.75" customHeight="1">
      <c r="A171" s="191"/>
      <c r="B171" s="191"/>
      <c r="C171" s="191"/>
      <c r="D171" s="1300" t="s">
        <v>653</v>
      </c>
      <c r="E171" s="1274">
        <v>251185</v>
      </c>
      <c r="F171" s="990">
        <v>116000</v>
      </c>
      <c r="G171" s="990"/>
      <c r="H171" s="990">
        <f t="shared" si="3"/>
        <v>135185</v>
      </c>
      <c r="I171" s="8"/>
      <c r="J171" s="8"/>
      <c r="L171" s="8"/>
    </row>
    <row r="172" spans="1:12" ht="18.75" customHeight="1">
      <c r="A172" s="191"/>
      <c r="B172" s="191"/>
      <c r="C172" s="189">
        <v>6050</v>
      </c>
      <c r="D172" s="189" t="s">
        <v>670</v>
      </c>
      <c r="E172" s="440">
        <v>1654500</v>
      </c>
      <c r="F172" s="579">
        <v>116000</v>
      </c>
      <c r="G172" s="579"/>
      <c r="H172" s="579">
        <f t="shared" si="3"/>
        <v>1538500</v>
      </c>
      <c r="I172" s="8"/>
      <c r="J172" s="8"/>
      <c r="L172" s="8"/>
    </row>
    <row r="173" spans="1:12" ht="18.75" customHeight="1">
      <c r="A173" s="191"/>
      <c r="B173" s="203">
        <v>80111</v>
      </c>
      <c r="C173" s="193"/>
      <c r="D173" s="193" t="s">
        <v>605</v>
      </c>
      <c r="E173" s="361">
        <v>4091000</v>
      </c>
      <c r="F173" s="604">
        <f>F174+F176+F180</f>
        <v>4500</v>
      </c>
      <c r="G173" s="604">
        <f>G174+G176+G180</f>
        <v>115448</v>
      </c>
      <c r="H173" s="604">
        <f t="shared" si="3"/>
        <v>4201948</v>
      </c>
      <c r="I173" s="8"/>
      <c r="J173" s="8"/>
      <c r="L173" s="8"/>
    </row>
    <row r="174" spans="1:12" ht="18.75" customHeight="1">
      <c r="A174" s="191"/>
      <c r="B174" s="191"/>
      <c r="C174" s="191"/>
      <c r="D174" s="496" t="s">
        <v>747</v>
      </c>
      <c r="E174" s="602">
        <v>3135300</v>
      </c>
      <c r="F174" s="543"/>
      <c r="G174" s="543">
        <f>G175</f>
        <v>92200</v>
      </c>
      <c r="H174" s="543">
        <f t="shared" si="3"/>
        <v>3227500</v>
      </c>
      <c r="I174" s="8"/>
      <c r="J174" s="8"/>
      <c r="L174" s="8"/>
    </row>
    <row r="175" spans="1:12" ht="18.75" customHeight="1">
      <c r="A175" s="191"/>
      <c r="B175" s="191"/>
      <c r="C175" s="189">
        <v>4010</v>
      </c>
      <c r="D175" s="189" t="s">
        <v>664</v>
      </c>
      <c r="E175" s="440">
        <v>2906807</v>
      </c>
      <c r="F175" s="579"/>
      <c r="G175" s="579">
        <f>122000-29800</f>
        <v>92200</v>
      </c>
      <c r="H175" s="579">
        <f t="shared" si="3"/>
        <v>2999007</v>
      </c>
      <c r="I175" s="8"/>
      <c r="J175" s="8"/>
      <c r="L175" s="8"/>
    </row>
    <row r="176" spans="1:12" ht="18.75" customHeight="1">
      <c r="A176" s="191"/>
      <c r="B176" s="191"/>
      <c r="C176" s="188"/>
      <c r="D176" s="496" t="s">
        <v>828</v>
      </c>
      <c r="E176" s="602">
        <v>320000</v>
      </c>
      <c r="F176" s="543"/>
      <c r="G176" s="543">
        <f>SUM(G177:G179)</f>
        <v>22748</v>
      </c>
      <c r="H176" s="543">
        <f t="shared" si="3"/>
        <v>342748</v>
      </c>
      <c r="I176" s="8"/>
      <c r="J176" s="8"/>
      <c r="L176" s="8"/>
    </row>
    <row r="177" spans="1:12" ht="18.75" customHeight="1">
      <c r="A177" s="191"/>
      <c r="B177" s="191"/>
      <c r="C177" s="189">
        <v>4260</v>
      </c>
      <c r="D177" s="189" t="s">
        <v>741</v>
      </c>
      <c r="E177" s="440">
        <v>88800</v>
      </c>
      <c r="F177" s="579"/>
      <c r="G177" s="579">
        <f>7723</f>
        <v>7723</v>
      </c>
      <c r="H177" s="579">
        <f t="shared" si="3"/>
        <v>96523</v>
      </c>
      <c r="I177" s="8"/>
      <c r="J177" s="8"/>
      <c r="L177" s="8"/>
    </row>
    <row r="178" spans="1:12" ht="18.75" customHeight="1">
      <c r="A178" s="191"/>
      <c r="B178" s="191"/>
      <c r="C178" s="222">
        <v>4300</v>
      </c>
      <c r="D178" s="222" t="s">
        <v>742</v>
      </c>
      <c r="E178" s="253">
        <v>12882</v>
      </c>
      <c r="F178" s="548"/>
      <c r="G178" s="548">
        <f>700</f>
        <v>700</v>
      </c>
      <c r="H178" s="548">
        <f t="shared" si="3"/>
        <v>13582</v>
      </c>
      <c r="I178" s="8"/>
      <c r="J178" s="8"/>
      <c r="L178" s="8"/>
    </row>
    <row r="179" spans="1:12" ht="18.75" customHeight="1">
      <c r="A179" s="191"/>
      <c r="B179" s="191"/>
      <c r="C179" s="222">
        <v>4440</v>
      </c>
      <c r="D179" s="222" t="s">
        <v>613</v>
      </c>
      <c r="E179" s="253">
        <v>189890</v>
      </c>
      <c r="F179" s="548"/>
      <c r="G179" s="548">
        <v>14325</v>
      </c>
      <c r="H179" s="548">
        <f t="shared" si="3"/>
        <v>204215</v>
      </c>
      <c r="I179" s="8"/>
      <c r="J179" s="8"/>
      <c r="L179" s="8"/>
    </row>
    <row r="180" spans="1:12" ht="18.75" customHeight="1">
      <c r="A180" s="191"/>
      <c r="B180" s="191"/>
      <c r="C180" s="191"/>
      <c r="D180" s="496" t="s">
        <v>921</v>
      </c>
      <c r="E180" s="602">
        <v>635700</v>
      </c>
      <c r="F180" s="543">
        <f>SUM(F181:F182)</f>
        <v>4500</v>
      </c>
      <c r="G180" s="543">
        <f>SUM(G181:G182)</f>
        <v>500</v>
      </c>
      <c r="H180" s="543">
        <f t="shared" si="3"/>
        <v>631700</v>
      </c>
      <c r="I180" s="8"/>
      <c r="J180" s="8"/>
      <c r="L180" s="8"/>
    </row>
    <row r="181" spans="1:12" ht="18.75" customHeight="1">
      <c r="A181" s="191"/>
      <c r="B181" s="191"/>
      <c r="C181" s="189">
        <v>4110</v>
      </c>
      <c r="D181" s="189" t="s">
        <v>665</v>
      </c>
      <c r="E181" s="440">
        <v>562200</v>
      </c>
      <c r="F181" s="579">
        <f>6000-1500</f>
        <v>4500</v>
      </c>
      <c r="G181" s="579"/>
      <c r="H181" s="579">
        <f t="shared" si="3"/>
        <v>557700</v>
      </c>
      <c r="I181" s="8"/>
      <c r="J181" s="8"/>
      <c r="L181" s="8"/>
    </row>
    <row r="182" spans="1:12" ht="18.75" customHeight="1">
      <c r="A182" s="191"/>
      <c r="B182" s="191"/>
      <c r="C182" s="222">
        <v>4120</v>
      </c>
      <c r="D182" s="222" t="s">
        <v>666</v>
      </c>
      <c r="E182" s="253">
        <v>73500</v>
      </c>
      <c r="F182" s="548"/>
      <c r="G182" s="548">
        <f>500</f>
        <v>500</v>
      </c>
      <c r="H182" s="548">
        <f t="shared" si="3"/>
        <v>74000</v>
      </c>
      <c r="I182" s="8"/>
      <c r="J182" s="8"/>
      <c r="L182" s="8"/>
    </row>
    <row r="183" spans="1:12" ht="18.75" customHeight="1">
      <c r="A183" s="191"/>
      <c r="B183" s="203">
        <v>80113</v>
      </c>
      <c r="C183" s="193"/>
      <c r="D183" s="193" t="s">
        <v>924</v>
      </c>
      <c r="E183" s="361">
        <v>535372</v>
      </c>
      <c r="F183" s="604"/>
      <c r="G183" s="604">
        <f>G184</f>
        <v>12039</v>
      </c>
      <c r="H183" s="604">
        <f t="shared" si="3"/>
        <v>547411</v>
      </c>
      <c r="I183" s="8"/>
      <c r="J183" s="8"/>
      <c r="L183" s="8"/>
    </row>
    <row r="184" spans="1:12" ht="18.75" customHeight="1">
      <c r="A184" s="191"/>
      <c r="B184" s="191"/>
      <c r="C184" s="191"/>
      <c r="D184" s="496" t="s">
        <v>925</v>
      </c>
      <c r="E184" s="602">
        <v>535372</v>
      </c>
      <c r="F184" s="543"/>
      <c r="G184" s="543">
        <f>G185</f>
        <v>12039</v>
      </c>
      <c r="H184" s="543">
        <f t="shared" si="3"/>
        <v>547411</v>
      </c>
      <c r="I184" s="8"/>
      <c r="J184" s="8"/>
      <c r="L184" s="8"/>
    </row>
    <row r="185" spans="1:12" ht="20.25" customHeight="1">
      <c r="A185" s="201"/>
      <c r="B185" s="201"/>
      <c r="C185" s="189">
        <v>4300</v>
      </c>
      <c r="D185" s="189" t="s">
        <v>742</v>
      </c>
      <c r="E185" s="440">
        <v>533471</v>
      </c>
      <c r="F185" s="579"/>
      <c r="G185" s="579">
        <f>16869-4830</f>
        <v>12039</v>
      </c>
      <c r="H185" s="579">
        <f t="shared" si="3"/>
        <v>545510</v>
      </c>
      <c r="I185" s="8"/>
      <c r="J185" s="8"/>
      <c r="L185" s="8"/>
    </row>
    <row r="186" spans="1:12" ht="18.75" customHeight="1">
      <c r="A186" s="191"/>
      <c r="B186" s="193">
        <v>80120</v>
      </c>
      <c r="C186" s="193"/>
      <c r="D186" s="193" t="s">
        <v>500</v>
      </c>
      <c r="E186" s="361">
        <v>46093648</v>
      </c>
      <c r="F186" s="604">
        <f>F187+F190+F195</f>
        <v>16000</v>
      </c>
      <c r="G186" s="604">
        <f>G187+G190+G195</f>
        <v>515550</v>
      </c>
      <c r="H186" s="604">
        <f t="shared" si="3"/>
        <v>46593198</v>
      </c>
      <c r="I186" s="8"/>
      <c r="J186" s="8"/>
      <c r="L186" s="8"/>
    </row>
    <row r="187" spans="1:12" ht="18.75" customHeight="1">
      <c r="A187" s="191"/>
      <c r="B187" s="243"/>
      <c r="C187" s="191"/>
      <c r="D187" s="496" t="s">
        <v>747</v>
      </c>
      <c r="E187" s="602">
        <v>30523738</v>
      </c>
      <c r="F187" s="543">
        <f>SUM(F188:F189)</f>
        <v>16000</v>
      </c>
      <c r="G187" s="543">
        <f>SUM(G188:G189)</f>
        <v>214180</v>
      </c>
      <c r="H187" s="543">
        <f t="shared" si="3"/>
        <v>30721918</v>
      </c>
      <c r="I187" s="8"/>
      <c r="J187" s="8"/>
      <c r="L187" s="8"/>
    </row>
    <row r="188" spans="1:12" ht="18.75" customHeight="1">
      <c r="A188" s="191"/>
      <c r="B188" s="243"/>
      <c r="C188" s="189">
        <v>4010</v>
      </c>
      <c r="D188" s="189" t="s">
        <v>664</v>
      </c>
      <c r="E188" s="440">
        <v>28336450</v>
      </c>
      <c r="F188" s="579"/>
      <c r="G188" s="579">
        <f>482770-268590</f>
        <v>214180</v>
      </c>
      <c r="H188" s="579">
        <f t="shared" si="3"/>
        <v>28550630</v>
      </c>
      <c r="I188" s="8"/>
      <c r="J188" s="8"/>
      <c r="L188" s="8"/>
    </row>
    <row r="189" spans="1:12" ht="18.75" customHeight="1">
      <c r="A189" s="191"/>
      <c r="B189" s="243"/>
      <c r="C189" s="222">
        <v>4170</v>
      </c>
      <c r="D189" s="222" t="s">
        <v>681</v>
      </c>
      <c r="E189" s="253">
        <v>17600</v>
      </c>
      <c r="F189" s="548">
        <v>16000</v>
      </c>
      <c r="G189" s="548"/>
      <c r="H189" s="548">
        <f t="shared" si="3"/>
        <v>1600</v>
      </c>
      <c r="I189" s="8"/>
      <c r="J189" s="8"/>
      <c r="L189" s="8"/>
    </row>
    <row r="190" spans="1:12" ht="18.75" customHeight="1">
      <c r="A190" s="191"/>
      <c r="B190" s="191"/>
      <c r="C190" s="478"/>
      <c r="D190" s="496" t="s">
        <v>828</v>
      </c>
      <c r="E190" s="602">
        <v>4983751</v>
      </c>
      <c r="F190" s="543"/>
      <c r="G190" s="543">
        <f>SUM(G191:G194)</f>
        <v>141150</v>
      </c>
      <c r="H190" s="543">
        <f t="shared" si="3"/>
        <v>5124901</v>
      </c>
      <c r="I190" s="8"/>
      <c r="J190" s="8"/>
      <c r="L190" s="8"/>
    </row>
    <row r="191" spans="1:12" ht="18.75" customHeight="1">
      <c r="A191" s="191"/>
      <c r="B191" s="243"/>
      <c r="C191" s="189">
        <v>4210</v>
      </c>
      <c r="D191" s="189" t="s">
        <v>674</v>
      </c>
      <c r="E191" s="440">
        <v>230371</v>
      </c>
      <c r="F191" s="579"/>
      <c r="G191" s="579">
        <v>2000</v>
      </c>
      <c r="H191" s="579">
        <f t="shared" si="3"/>
        <v>232371</v>
      </c>
      <c r="I191" s="8"/>
      <c r="J191" s="8"/>
      <c r="L191" s="8"/>
    </row>
    <row r="192" spans="1:12" ht="18.75" customHeight="1">
      <c r="A192" s="191"/>
      <c r="B192" s="243"/>
      <c r="C192" s="222">
        <v>4260</v>
      </c>
      <c r="D192" s="222" t="s">
        <v>741</v>
      </c>
      <c r="E192" s="253">
        <v>1948785</v>
      </c>
      <c r="F192" s="548"/>
      <c r="G192" s="548">
        <f>23850-7700</f>
        <v>16150</v>
      </c>
      <c r="H192" s="548">
        <f t="shared" si="3"/>
        <v>1964935</v>
      </c>
      <c r="I192" s="8"/>
      <c r="J192" s="8"/>
      <c r="L192" s="8"/>
    </row>
    <row r="193" spans="1:12" ht="18.75" customHeight="1">
      <c r="A193" s="191"/>
      <c r="B193" s="191"/>
      <c r="C193" s="222">
        <v>4270</v>
      </c>
      <c r="D193" s="222" t="s">
        <v>11</v>
      </c>
      <c r="E193" s="253">
        <v>320126</v>
      </c>
      <c r="F193" s="548"/>
      <c r="G193" s="548">
        <v>80000</v>
      </c>
      <c r="H193" s="548">
        <f t="shared" si="3"/>
        <v>400126</v>
      </c>
      <c r="I193" s="8"/>
      <c r="J193" s="8"/>
      <c r="L193" s="8"/>
    </row>
    <row r="194" spans="1:12" ht="18.75" customHeight="1">
      <c r="A194" s="191"/>
      <c r="B194" s="191"/>
      <c r="C194" s="222">
        <v>4430</v>
      </c>
      <c r="D194" s="222" t="s">
        <v>612</v>
      </c>
      <c r="E194" s="253">
        <v>72493</v>
      </c>
      <c r="F194" s="548"/>
      <c r="G194" s="548">
        <v>43000</v>
      </c>
      <c r="H194" s="548">
        <f t="shared" si="3"/>
        <v>115493</v>
      </c>
      <c r="I194" s="8"/>
      <c r="J194" s="8"/>
      <c r="L194" s="8"/>
    </row>
    <row r="195" spans="1:12" ht="18.75" customHeight="1">
      <c r="A195" s="191"/>
      <c r="B195" s="191"/>
      <c r="C195" s="191"/>
      <c r="D195" s="496" t="s">
        <v>921</v>
      </c>
      <c r="E195" s="602">
        <v>5733550</v>
      </c>
      <c r="F195" s="543"/>
      <c r="G195" s="543">
        <f>SUM(G196:G197)</f>
        <v>160220</v>
      </c>
      <c r="H195" s="543">
        <f t="shared" si="3"/>
        <v>5893770</v>
      </c>
      <c r="I195" s="8"/>
      <c r="J195" s="8"/>
      <c r="L195" s="8"/>
    </row>
    <row r="196" spans="1:12" ht="18.75" customHeight="1">
      <c r="A196" s="191"/>
      <c r="B196" s="191"/>
      <c r="C196" s="189">
        <v>4110</v>
      </c>
      <c r="D196" s="189" t="s">
        <v>665</v>
      </c>
      <c r="E196" s="440">
        <v>5012180</v>
      </c>
      <c r="F196" s="579"/>
      <c r="G196" s="579">
        <f>171100-21300</f>
        <v>149800</v>
      </c>
      <c r="H196" s="579">
        <f t="shared" si="3"/>
        <v>5161980</v>
      </c>
      <c r="I196" s="8"/>
      <c r="J196" s="8"/>
      <c r="L196" s="8"/>
    </row>
    <row r="197" spans="1:12" ht="18.75" customHeight="1">
      <c r="A197" s="191"/>
      <c r="B197" s="191"/>
      <c r="C197" s="222">
        <v>4120</v>
      </c>
      <c r="D197" s="222" t="s">
        <v>666</v>
      </c>
      <c r="E197" s="253">
        <v>721370</v>
      </c>
      <c r="F197" s="548"/>
      <c r="G197" s="548">
        <f>10850-430</f>
        <v>10420</v>
      </c>
      <c r="H197" s="548">
        <f t="shared" si="3"/>
        <v>731790</v>
      </c>
      <c r="I197" s="8"/>
      <c r="J197" s="8"/>
      <c r="L197" s="8"/>
    </row>
    <row r="198" spans="1:12" ht="18.75" customHeight="1">
      <c r="A198" s="864"/>
      <c r="B198" s="203">
        <v>80121</v>
      </c>
      <c r="C198" s="193"/>
      <c r="D198" s="193" t="s">
        <v>606</v>
      </c>
      <c r="E198" s="361">
        <v>1322000</v>
      </c>
      <c r="F198" s="604">
        <f>F199+F201+F204</f>
        <v>272512</v>
      </c>
      <c r="G198" s="604"/>
      <c r="H198" s="604">
        <f t="shared" si="3"/>
        <v>1049488</v>
      </c>
      <c r="I198" s="8"/>
      <c r="J198" s="8"/>
      <c r="L198" s="8"/>
    </row>
    <row r="199" spans="1:12" ht="18.75" customHeight="1">
      <c r="A199" s="191"/>
      <c r="B199" s="510"/>
      <c r="C199" s="510"/>
      <c r="D199" s="496" t="s">
        <v>747</v>
      </c>
      <c r="E199" s="602">
        <v>1015400</v>
      </c>
      <c r="F199" s="543">
        <f>F200</f>
        <v>221239</v>
      </c>
      <c r="G199" s="543"/>
      <c r="H199" s="543">
        <f t="shared" si="3"/>
        <v>794161</v>
      </c>
      <c r="I199" s="8"/>
      <c r="J199" s="8"/>
      <c r="L199" s="8"/>
    </row>
    <row r="200" spans="1:12" ht="18.75" customHeight="1">
      <c r="A200" s="191"/>
      <c r="B200" s="510"/>
      <c r="C200" s="189">
        <v>4010</v>
      </c>
      <c r="D200" s="189" t="s">
        <v>664</v>
      </c>
      <c r="E200" s="440">
        <v>932882</v>
      </c>
      <c r="F200" s="579">
        <v>221239</v>
      </c>
      <c r="G200" s="579"/>
      <c r="H200" s="579">
        <f t="shared" si="3"/>
        <v>711643</v>
      </c>
      <c r="I200" s="8"/>
      <c r="J200" s="8"/>
      <c r="L200" s="8"/>
    </row>
    <row r="201" spans="1:12" ht="18.75" customHeight="1">
      <c r="A201" s="191"/>
      <c r="B201" s="191"/>
      <c r="C201" s="191"/>
      <c r="D201" s="511" t="s">
        <v>828</v>
      </c>
      <c r="E201" s="602">
        <v>110000</v>
      </c>
      <c r="F201" s="543">
        <f>SUM(F202:F203)</f>
        <v>16443</v>
      </c>
      <c r="G201" s="543"/>
      <c r="H201" s="543">
        <f t="shared" si="3"/>
        <v>93557</v>
      </c>
      <c r="I201" s="8"/>
      <c r="J201" s="8"/>
      <c r="L201" s="8"/>
    </row>
    <row r="202" spans="1:12" ht="18.75" customHeight="1">
      <c r="A202" s="191"/>
      <c r="B202" s="191"/>
      <c r="C202" s="189">
        <v>4260</v>
      </c>
      <c r="D202" s="189" t="s">
        <v>741</v>
      </c>
      <c r="E202" s="440">
        <v>36640</v>
      </c>
      <c r="F202" s="579">
        <v>2000</v>
      </c>
      <c r="G202" s="579"/>
      <c r="H202" s="579">
        <f t="shared" si="3"/>
        <v>34640</v>
      </c>
      <c r="I202" s="8"/>
      <c r="J202" s="8"/>
      <c r="L202" s="8"/>
    </row>
    <row r="203" spans="1:12" ht="18.75" customHeight="1">
      <c r="A203" s="191"/>
      <c r="B203" s="191"/>
      <c r="C203" s="862">
        <v>4440</v>
      </c>
      <c r="D203" s="199" t="s">
        <v>613</v>
      </c>
      <c r="E203" s="253">
        <v>49960</v>
      </c>
      <c r="F203" s="548">
        <v>14443</v>
      </c>
      <c r="G203" s="548"/>
      <c r="H203" s="548">
        <f t="shared" si="3"/>
        <v>35517</v>
      </c>
      <c r="I203" s="8"/>
      <c r="J203" s="8"/>
      <c r="L203" s="8"/>
    </row>
    <row r="204" spans="1:12" ht="18.75" customHeight="1">
      <c r="A204" s="191"/>
      <c r="B204" s="191"/>
      <c r="C204" s="191"/>
      <c r="D204" s="511" t="s">
        <v>921</v>
      </c>
      <c r="E204" s="602">
        <v>196600</v>
      </c>
      <c r="F204" s="543">
        <f>SUM(F205:F206)</f>
        <v>34830</v>
      </c>
      <c r="G204" s="543"/>
      <c r="H204" s="543">
        <f t="shared" si="3"/>
        <v>161770</v>
      </c>
      <c r="I204" s="8"/>
      <c r="J204" s="8"/>
      <c r="L204" s="8"/>
    </row>
    <row r="205" spans="1:12" ht="18.75" customHeight="1">
      <c r="A205" s="191"/>
      <c r="B205" s="191"/>
      <c r="C205" s="189">
        <v>4110</v>
      </c>
      <c r="D205" s="189" t="s">
        <v>665</v>
      </c>
      <c r="E205" s="440">
        <v>172700</v>
      </c>
      <c r="F205" s="579">
        <v>30980</v>
      </c>
      <c r="G205" s="579"/>
      <c r="H205" s="579">
        <f t="shared" si="3"/>
        <v>141720</v>
      </c>
      <c r="I205" s="8"/>
      <c r="J205" s="8"/>
      <c r="L205" s="8"/>
    </row>
    <row r="206" spans="1:12" ht="18.75" customHeight="1">
      <c r="A206" s="191"/>
      <c r="B206" s="201"/>
      <c r="C206" s="862">
        <v>4120</v>
      </c>
      <c r="D206" s="199" t="s">
        <v>666</v>
      </c>
      <c r="E206" s="253">
        <v>23900</v>
      </c>
      <c r="F206" s="548">
        <v>3850</v>
      </c>
      <c r="G206" s="548"/>
      <c r="H206" s="548">
        <f t="shared" si="3"/>
        <v>20050</v>
      </c>
      <c r="I206" s="8"/>
      <c r="J206" s="8"/>
      <c r="L206" s="8"/>
    </row>
    <row r="207" spans="1:12" ht="18.75" customHeight="1">
      <c r="A207" s="191"/>
      <c r="B207" s="193">
        <v>80123</v>
      </c>
      <c r="C207" s="193"/>
      <c r="D207" s="193" t="s">
        <v>926</v>
      </c>
      <c r="E207" s="361">
        <v>8353776</v>
      </c>
      <c r="F207" s="604">
        <f>F208</f>
        <v>20160</v>
      </c>
      <c r="G207" s="604">
        <f>G210+G213</f>
        <v>15160</v>
      </c>
      <c r="H207" s="604">
        <f t="shared" si="3"/>
        <v>8348776</v>
      </c>
      <c r="I207" s="8"/>
      <c r="J207" s="8"/>
      <c r="L207" s="8"/>
    </row>
    <row r="208" spans="1:12" ht="18.75" customHeight="1">
      <c r="A208" s="191"/>
      <c r="B208" s="510"/>
      <c r="C208" s="191"/>
      <c r="D208" s="511" t="s">
        <v>747</v>
      </c>
      <c r="E208" s="602">
        <v>6150853</v>
      </c>
      <c r="F208" s="543">
        <f>SUM(F209)</f>
        <v>20160</v>
      </c>
      <c r="G208" s="543"/>
      <c r="H208" s="543">
        <f t="shared" si="3"/>
        <v>6130693</v>
      </c>
      <c r="I208" s="8"/>
      <c r="J208" s="8"/>
      <c r="L208" s="8"/>
    </row>
    <row r="209" spans="1:12" ht="18.75" customHeight="1">
      <c r="A209" s="191"/>
      <c r="B209" s="510"/>
      <c r="C209" s="189">
        <v>4010</v>
      </c>
      <c r="D209" s="189" t="s">
        <v>664</v>
      </c>
      <c r="E209" s="440">
        <v>5744059</v>
      </c>
      <c r="F209" s="579">
        <f>198930-178770</f>
        <v>20160</v>
      </c>
      <c r="G209" s="579"/>
      <c r="H209" s="579">
        <f t="shared" si="3"/>
        <v>5723899</v>
      </c>
      <c r="I209" s="8"/>
      <c r="J209" s="8"/>
      <c r="L209" s="8"/>
    </row>
    <row r="210" spans="1:12" ht="18.75" customHeight="1">
      <c r="A210" s="191"/>
      <c r="B210" s="191"/>
      <c r="C210" s="191"/>
      <c r="D210" s="511" t="s">
        <v>828</v>
      </c>
      <c r="E210" s="602">
        <v>618500</v>
      </c>
      <c r="F210" s="543"/>
      <c r="G210" s="543">
        <f>SUM(G211:G212)</f>
        <v>10310</v>
      </c>
      <c r="H210" s="543">
        <f t="shared" si="3"/>
        <v>628810</v>
      </c>
      <c r="I210" s="8"/>
      <c r="J210" s="8"/>
      <c r="L210" s="8"/>
    </row>
    <row r="211" spans="1:12" ht="18.75" customHeight="1">
      <c r="A211" s="191"/>
      <c r="B211" s="191"/>
      <c r="C211" s="189">
        <v>4260</v>
      </c>
      <c r="D211" s="189" t="s">
        <v>741</v>
      </c>
      <c r="E211" s="440">
        <v>173188</v>
      </c>
      <c r="F211" s="579"/>
      <c r="G211" s="579">
        <v>2900</v>
      </c>
      <c r="H211" s="579">
        <f t="shared" si="3"/>
        <v>176088</v>
      </c>
      <c r="I211" s="8"/>
      <c r="J211" s="8"/>
      <c r="L211" s="8"/>
    </row>
    <row r="212" spans="1:12" ht="18.75" customHeight="1">
      <c r="A212" s="191"/>
      <c r="B212" s="191"/>
      <c r="C212" s="862">
        <v>4440</v>
      </c>
      <c r="D212" s="199" t="s">
        <v>613</v>
      </c>
      <c r="E212" s="253">
        <v>360102</v>
      </c>
      <c r="F212" s="548"/>
      <c r="G212" s="548">
        <v>7410</v>
      </c>
      <c r="H212" s="548">
        <f t="shared" si="3"/>
        <v>367512</v>
      </c>
      <c r="I212" s="8"/>
      <c r="J212" s="8"/>
      <c r="L212" s="8"/>
    </row>
    <row r="213" spans="1:12" ht="18.75" customHeight="1">
      <c r="A213" s="191"/>
      <c r="B213" s="191"/>
      <c r="C213" s="191"/>
      <c r="D213" s="511" t="s">
        <v>921</v>
      </c>
      <c r="E213" s="602">
        <v>1184402</v>
      </c>
      <c r="F213" s="543"/>
      <c r="G213" s="543">
        <f>SUM(G214:G215)</f>
        <v>4850</v>
      </c>
      <c r="H213" s="543">
        <f t="shared" si="3"/>
        <v>1189252</v>
      </c>
      <c r="I213" s="8"/>
      <c r="J213" s="8"/>
      <c r="L213" s="8"/>
    </row>
    <row r="214" spans="1:12" ht="18.75" customHeight="1">
      <c r="A214" s="191"/>
      <c r="B214" s="191"/>
      <c r="C214" s="189">
        <v>4110</v>
      </c>
      <c r="D214" s="189" t="s">
        <v>665</v>
      </c>
      <c r="E214" s="440">
        <v>1038511</v>
      </c>
      <c r="F214" s="579"/>
      <c r="G214" s="579">
        <f>25300-22810</f>
        <v>2490</v>
      </c>
      <c r="H214" s="579">
        <f t="shared" si="3"/>
        <v>1041001</v>
      </c>
      <c r="I214" s="8"/>
      <c r="J214" s="8"/>
      <c r="L214" s="8"/>
    </row>
    <row r="215" spans="1:12" ht="18.75" customHeight="1">
      <c r="A215" s="201"/>
      <c r="B215" s="201"/>
      <c r="C215" s="862">
        <v>4120</v>
      </c>
      <c r="D215" s="199" t="s">
        <v>666</v>
      </c>
      <c r="E215" s="253">
        <v>145891</v>
      </c>
      <c r="F215" s="548"/>
      <c r="G215" s="548">
        <f>3260-900</f>
        <v>2360</v>
      </c>
      <c r="H215" s="548">
        <f t="shared" si="3"/>
        <v>148251</v>
      </c>
      <c r="I215" s="8"/>
      <c r="J215" s="8"/>
      <c r="L215" s="8"/>
    </row>
    <row r="216" ht="29.25" customHeight="1"/>
    <row r="217" spans="1:12" ht="18.75" customHeight="1">
      <c r="A217" s="194"/>
      <c r="B217" s="203">
        <v>80130</v>
      </c>
      <c r="C217" s="203"/>
      <c r="D217" s="203" t="s">
        <v>14</v>
      </c>
      <c r="E217" s="252">
        <v>45082736</v>
      </c>
      <c r="F217" s="552">
        <f>F218+F220+F227+F230</f>
        <v>395580</v>
      </c>
      <c r="G217" s="552">
        <f>G218+G220+G227+G230</f>
        <v>122390</v>
      </c>
      <c r="H217" s="552">
        <f t="shared" si="3"/>
        <v>44809546</v>
      </c>
      <c r="I217" s="8"/>
      <c r="J217" s="8"/>
      <c r="L217" s="8"/>
    </row>
    <row r="218" spans="1:12" ht="18.75" customHeight="1">
      <c r="A218" s="191"/>
      <c r="B218" s="243"/>
      <c r="C218" s="191"/>
      <c r="D218" s="511" t="s">
        <v>747</v>
      </c>
      <c r="E218" s="602">
        <v>26280167</v>
      </c>
      <c r="F218" s="543">
        <f>F219</f>
        <v>300660</v>
      </c>
      <c r="G218" s="543">
        <f>G219</f>
        <v>0</v>
      </c>
      <c r="H218" s="543">
        <f t="shared" si="3"/>
        <v>25979507</v>
      </c>
      <c r="I218" s="8"/>
      <c r="J218" s="8"/>
      <c r="L218" s="8"/>
    </row>
    <row r="219" spans="1:12" ht="18.75" customHeight="1">
      <c r="A219" s="191"/>
      <c r="B219" s="243"/>
      <c r="C219" s="189">
        <v>4010</v>
      </c>
      <c r="D219" s="189" t="s">
        <v>664</v>
      </c>
      <c r="E219" s="440">
        <v>24310306</v>
      </c>
      <c r="F219" s="579">
        <f>694650-393990</f>
        <v>300660</v>
      </c>
      <c r="G219" s="579"/>
      <c r="H219" s="579">
        <f t="shared" si="3"/>
        <v>24009646</v>
      </c>
      <c r="I219" s="8"/>
      <c r="J219" s="8"/>
      <c r="L219" s="8"/>
    </row>
    <row r="220" spans="1:12" ht="18.75" customHeight="1">
      <c r="A220" s="191"/>
      <c r="B220" s="191"/>
      <c r="C220" s="191"/>
      <c r="D220" s="511" t="s">
        <v>828</v>
      </c>
      <c r="E220" s="602">
        <v>5353490</v>
      </c>
      <c r="F220" s="543">
        <f>SUM(F221:F226)</f>
        <v>94920</v>
      </c>
      <c r="G220" s="543">
        <f>SUM(G221:G226)</f>
        <v>100000</v>
      </c>
      <c r="H220" s="543">
        <f t="shared" si="3"/>
        <v>5358570</v>
      </c>
      <c r="I220" s="8"/>
      <c r="J220" s="8"/>
      <c r="L220" s="8"/>
    </row>
    <row r="221" spans="1:12" ht="18.75" customHeight="1">
      <c r="A221" s="191"/>
      <c r="B221" s="191"/>
      <c r="C221" s="189">
        <v>4210</v>
      </c>
      <c r="D221" s="189" t="s">
        <v>674</v>
      </c>
      <c r="E221" s="440">
        <v>644326</v>
      </c>
      <c r="F221" s="579">
        <f>20000-6000</f>
        <v>14000</v>
      </c>
      <c r="G221" s="579"/>
      <c r="H221" s="579">
        <f t="shared" si="3"/>
        <v>630326</v>
      </c>
      <c r="I221" s="8"/>
      <c r="J221" s="8"/>
      <c r="L221" s="8"/>
    </row>
    <row r="222" spans="1:12" ht="18.75" customHeight="1">
      <c r="A222" s="191"/>
      <c r="B222" s="191"/>
      <c r="C222" s="188">
        <v>4240</v>
      </c>
      <c r="D222" s="188" t="s">
        <v>39</v>
      </c>
      <c r="E222" s="440">
        <v>55533</v>
      </c>
      <c r="F222" s="579"/>
      <c r="G222" s="579">
        <v>10000</v>
      </c>
      <c r="H222" s="548">
        <f t="shared" si="3"/>
        <v>65533</v>
      </c>
      <c r="I222" s="8"/>
      <c r="J222" s="8"/>
      <c r="L222" s="8"/>
    </row>
    <row r="223" spans="1:12" ht="18.75" customHeight="1">
      <c r="A223" s="191"/>
      <c r="B223" s="191"/>
      <c r="C223" s="478">
        <v>4260</v>
      </c>
      <c r="D223" s="478" t="s">
        <v>741</v>
      </c>
      <c r="E223" s="440">
        <v>1912166</v>
      </c>
      <c r="F223" s="579">
        <f>107550-36000</f>
        <v>71550</v>
      </c>
      <c r="G223" s="579"/>
      <c r="H223" s="548">
        <f t="shared" si="3"/>
        <v>1840616</v>
      </c>
      <c r="I223" s="8"/>
      <c r="J223" s="8"/>
      <c r="L223" s="8"/>
    </row>
    <row r="224" spans="1:12" ht="18.75" customHeight="1">
      <c r="A224" s="191"/>
      <c r="B224" s="191"/>
      <c r="C224" s="478">
        <v>4270</v>
      </c>
      <c r="D224" s="603" t="s">
        <v>11</v>
      </c>
      <c r="E224" s="440">
        <v>496832</v>
      </c>
      <c r="F224" s="579"/>
      <c r="G224" s="579">
        <v>75000</v>
      </c>
      <c r="H224" s="548">
        <f t="shared" si="3"/>
        <v>571832</v>
      </c>
      <c r="I224" s="8"/>
      <c r="J224" s="8"/>
      <c r="L224" s="8"/>
    </row>
    <row r="225" spans="1:12" ht="18.75" customHeight="1">
      <c r="A225" s="191"/>
      <c r="B225" s="191"/>
      <c r="C225" s="478">
        <v>4300</v>
      </c>
      <c r="D225" s="478" t="s">
        <v>742</v>
      </c>
      <c r="E225" s="440">
        <v>449015</v>
      </c>
      <c r="F225" s="579"/>
      <c r="G225" s="579">
        <v>15000</v>
      </c>
      <c r="H225" s="548">
        <f t="shared" si="3"/>
        <v>464015</v>
      </c>
      <c r="I225" s="8"/>
      <c r="J225" s="8"/>
      <c r="L225" s="8"/>
    </row>
    <row r="226" spans="1:12" ht="18.75" customHeight="1">
      <c r="A226" s="191"/>
      <c r="B226" s="191"/>
      <c r="C226" s="222">
        <v>4440</v>
      </c>
      <c r="D226" s="222" t="s">
        <v>613</v>
      </c>
      <c r="E226" s="440">
        <v>1557853</v>
      </c>
      <c r="F226" s="579">
        <v>9370</v>
      </c>
      <c r="G226" s="579"/>
      <c r="H226" s="548">
        <f t="shared" si="3"/>
        <v>1548483</v>
      </c>
      <c r="I226" s="8"/>
      <c r="J226" s="8"/>
      <c r="L226" s="8"/>
    </row>
    <row r="227" spans="1:12" ht="18.75" customHeight="1">
      <c r="A227" s="191"/>
      <c r="B227" s="191"/>
      <c r="C227" s="191"/>
      <c r="D227" s="473" t="s">
        <v>921</v>
      </c>
      <c r="E227" s="602">
        <v>5018172</v>
      </c>
      <c r="F227" s="543"/>
      <c r="G227" s="543">
        <f>SUM(G228:G229)</f>
        <v>15790</v>
      </c>
      <c r="H227" s="543">
        <f t="shared" si="3"/>
        <v>5033962</v>
      </c>
      <c r="I227" s="8"/>
      <c r="J227" s="8"/>
      <c r="L227" s="8"/>
    </row>
    <row r="228" spans="1:12" ht="18.75" customHeight="1">
      <c r="A228" s="191"/>
      <c r="B228" s="191"/>
      <c r="C228" s="189">
        <v>4110</v>
      </c>
      <c r="D228" s="189" t="s">
        <v>665</v>
      </c>
      <c r="E228" s="440">
        <v>4394705</v>
      </c>
      <c r="F228" s="579"/>
      <c r="G228" s="579">
        <f>87590-74270</f>
        <v>13320</v>
      </c>
      <c r="H228" s="579">
        <f t="shared" si="3"/>
        <v>4408025</v>
      </c>
      <c r="I228" s="8"/>
      <c r="J228" s="8"/>
      <c r="L228" s="8"/>
    </row>
    <row r="229" spans="1:12" ht="18.75" customHeight="1">
      <c r="A229" s="191"/>
      <c r="B229" s="191"/>
      <c r="C229" s="862">
        <v>4120</v>
      </c>
      <c r="D229" s="199" t="s">
        <v>666</v>
      </c>
      <c r="E229" s="253">
        <v>623467</v>
      </c>
      <c r="F229" s="548"/>
      <c r="G229" s="548">
        <f>7800-5330</f>
        <v>2470</v>
      </c>
      <c r="H229" s="548">
        <f t="shared" si="3"/>
        <v>625937</v>
      </c>
      <c r="I229" s="8"/>
      <c r="J229" s="8"/>
      <c r="L229" s="8"/>
    </row>
    <row r="230" spans="1:12" ht="18.75" customHeight="1">
      <c r="A230" s="191"/>
      <c r="B230" s="191"/>
      <c r="C230" s="191"/>
      <c r="D230" s="511" t="s">
        <v>655</v>
      </c>
      <c r="E230" s="602">
        <v>3404000</v>
      </c>
      <c r="F230" s="543"/>
      <c r="G230" s="543">
        <f>G232</f>
        <v>6600</v>
      </c>
      <c r="H230" s="543">
        <f t="shared" si="3"/>
        <v>3410600</v>
      </c>
      <c r="I230" s="8"/>
      <c r="J230" s="8"/>
      <c r="L230" s="8"/>
    </row>
    <row r="231" spans="1:12" ht="18.75" customHeight="1">
      <c r="A231" s="191"/>
      <c r="B231" s="191"/>
      <c r="C231" s="191"/>
      <c r="D231" s="901" t="s">
        <v>30</v>
      </c>
      <c r="E231" s="1274"/>
      <c r="F231" s="990"/>
      <c r="G231" s="990">
        <v>6600</v>
      </c>
      <c r="H231" s="990">
        <v>6600</v>
      </c>
      <c r="I231" s="8"/>
      <c r="J231" s="8"/>
      <c r="L231" s="8"/>
    </row>
    <row r="232" spans="1:12" ht="18.75" customHeight="1">
      <c r="A232" s="191"/>
      <c r="B232" s="201"/>
      <c r="C232" s="189">
        <v>6050</v>
      </c>
      <c r="D232" s="189" t="s">
        <v>670</v>
      </c>
      <c r="E232" s="440">
        <v>3400000</v>
      </c>
      <c r="F232" s="579"/>
      <c r="G232" s="579">
        <f>6600</f>
        <v>6600</v>
      </c>
      <c r="H232" s="579">
        <f t="shared" si="3"/>
        <v>3406600</v>
      </c>
      <c r="I232" s="8"/>
      <c r="J232" s="8"/>
      <c r="L232" s="8"/>
    </row>
    <row r="233" spans="1:12" ht="18.75" customHeight="1">
      <c r="A233" s="191"/>
      <c r="B233" s="193">
        <v>80134</v>
      </c>
      <c r="C233" s="193"/>
      <c r="D233" s="193" t="s">
        <v>607</v>
      </c>
      <c r="E233" s="361">
        <v>4487400</v>
      </c>
      <c r="F233" s="604">
        <f>F234+F237+F239</f>
        <v>69470</v>
      </c>
      <c r="G233" s="604"/>
      <c r="H233" s="552">
        <f aca="true" t="shared" si="4" ref="H233:H304">E233-F233+G233</f>
        <v>4417930</v>
      </c>
      <c r="I233" s="8"/>
      <c r="J233" s="8"/>
      <c r="L233" s="8"/>
    </row>
    <row r="234" spans="1:12" ht="18.75" customHeight="1">
      <c r="A234" s="191"/>
      <c r="B234" s="191"/>
      <c r="C234" s="191"/>
      <c r="D234" s="511" t="s">
        <v>747</v>
      </c>
      <c r="E234" s="602">
        <v>3399500</v>
      </c>
      <c r="F234" s="543">
        <f>SUM(F235:F236)</f>
        <v>44200</v>
      </c>
      <c r="G234" s="543"/>
      <c r="H234" s="543">
        <f t="shared" si="4"/>
        <v>3355300</v>
      </c>
      <c r="I234" s="8"/>
      <c r="J234" s="8"/>
      <c r="L234" s="8"/>
    </row>
    <row r="235" spans="1:12" ht="18.75" customHeight="1">
      <c r="A235" s="191"/>
      <c r="B235" s="191"/>
      <c r="C235" s="189">
        <v>4010</v>
      </c>
      <c r="D235" s="189" t="s">
        <v>664</v>
      </c>
      <c r="E235" s="440">
        <v>3157179</v>
      </c>
      <c r="F235" s="579">
        <f>105200-70000</f>
        <v>35200</v>
      </c>
      <c r="G235" s="579"/>
      <c r="H235" s="579">
        <f t="shared" si="4"/>
        <v>3121979</v>
      </c>
      <c r="I235" s="8"/>
      <c r="J235" s="8"/>
      <c r="L235" s="8"/>
    </row>
    <row r="236" spans="1:12" ht="18.75" customHeight="1">
      <c r="A236" s="191"/>
      <c r="B236" s="191"/>
      <c r="C236" s="862">
        <v>4170</v>
      </c>
      <c r="D236" s="199" t="s">
        <v>681</v>
      </c>
      <c r="E236" s="253">
        <v>9000</v>
      </c>
      <c r="F236" s="548">
        <v>9000</v>
      </c>
      <c r="G236" s="548"/>
      <c r="H236" s="548">
        <f t="shared" si="4"/>
        <v>0</v>
      </c>
      <c r="I236" s="8"/>
      <c r="J236" s="8"/>
      <c r="L236" s="8"/>
    </row>
    <row r="237" spans="1:12" ht="18.75" customHeight="1">
      <c r="A237" s="191"/>
      <c r="B237" s="191"/>
      <c r="C237" s="191"/>
      <c r="D237" s="511" t="s">
        <v>828</v>
      </c>
      <c r="E237" s="602">
        <v>430000</v>
      </c>
      <c r="F237" s="543">
        <f>F238</f>
        <v>5000</v>
      </c>
      <c r="G237" s="543"/>
      <c r="H237" s="543">
        <f t="shared" si="4"/>
        <v>425000</v>
      </c>
      <c r="I237" s="8"/>
      <c r="J237" s="8"/>
      <c r="L237" s="8"/>
    </row>
    <row r="238" spans="1:12" ht="18.75" customHeight="1">
      <c r="A238" s="191"/>
      <c r="B238" s="191"/>
      <c r="C238" s="189">
        <v>4260</v>
      </c>
      <c r="D238" s="189" t="s">
        <v>741</v>
      </c>
      <c r="E238" s="440">
        <v>182000</v>
      </c>
      <c r="F238" s="579">
        <v>5000</v>
      </c>
      <c r="G238" s="579"/>
      <c r="H238" s="579">
        <f t="shared" si="4"/>
        <v>177000</v>
      </c>
      <c r="I238" s="8"/>
      <c r="J238" s="8"/>
      <c r="L238" s="8"/>
    </row>
    <row r="239" spans="1:12" ht="18.75" customHeight="1">
      <c r="A239" s="191"/>
      <c r="B239" s="191"/>
      <c r="C239" s="191"/>
      <c r="D239" s="511" t="s">
        <v>921</v>
      </c>
      <c r="E239" s="602">
        <v>657900</v>
      </c>
      <c r="F239" s="543">
        <f>SUM(F240:F241)</f>
        <v>20270</v>
      </c>
      <c r="G239" s="543"/>
      <c r="H239" s="543">
        <f t="shared" si="4"/>
        <v>637630</v>
      </c>
      <c r="I239" s="8"/>
      <c r="J239" s="8"/>
      <c r="L239" s="8"/>
    </row>
    <row r="240" spans="1:12" ht="18.75" customHeight="1">
      <c r="A240" s="191"/>
      <c r="B240" s="191"/>
      <c r="C240" s="189">
        <v>4110</v>
      </c>
      <c r="D240" s="189" t="s">
        <v>665</v>
      </c>
      <c r="E240" s="440">
        <v>575300</v>
      </c>
      <c r="F240" s="579">
        <f>21160-3000</f>
        <v>18160</v>
      </c>
      <c r="G240" s="579"/>
      <c r="H240" s="579">
        <f t="shared" si="4"/>
        <v>557140</v>
      </c>
      <c r="I240" s="8"/>
      <c r="J240" s="8"/>
      <c r="L240" s="8"/>
    </row>
    <row r="241" spans="1:12" ht="18.75" customHeight="1">
      <c r="A241" s="191"/>
      <c r="B241" s="191"/>
      <c r="C241" s="862">
        <v>4120</v>
      </c>
      <c r="D241" s="199" t="s">
        <v>666</v>
      </c>
      <c r="E241" s="253">
        <v>82600</v>
      </c>
      <c r="F241" s="548">
        <v>2110</v>
      </c>
      <c r="G241" s="548"/>
      <c r="H241" s="548">
        <f t="shared" si="4"/>
        <v>80490</v>
      </c>
      <c r="I241" s="8"/>
      <c r="J241" s="8"/>
      <c r="L241" s="8"/>
    </row>
    <row r="242" spans="1:12" ht="27" customHeight="1">
      <c r="A242" s="191"/>
      <c r="B242" s="203">
        <v>80140</v>
      </c>
      <c r="C242" s="203"/>
      <c r="D242" s="223" t="s">
        <v>398</v>
      </c>
      <c r="E242" s="361">
        <v>9673115</v>
      </c>
      <c r="F242" s="604">
        <f>F243+F246+F248</f>
        <v>59770</v>
      </c>
      <c r="G242" s="604"/>
      <c r="H242" s="552">
        <f t="shared" si="4"/>
        <v>9613345</v>
      </c>
      <c r="I242" s="8"/>
      <c r="J242" s="8"/>
      <c r="L242" s="8"/>
    </row>
    <row r="243" spans="1:12" ht="18.75" customHeight="1">
      <c r="A243" s="191"/>
      <c r="B243" s="191"/>
      <c r="C243" s="191"/>
      <c r="D243" s="511" t="s">
        <v>747</v>
      </c>
      <c r="E243" s="602">
        <v>6828400</v>
      </c>
      <c r="F243" s="543">
        <f>SUM(F244:F245)</f>
        <v>16770</v>
      </c>
      <c r="G243" s="543"/>
      <c r="H243" s="543">
        <f t="shared" si="4"/>
        <v>6811630</v>
      </c>
      <c r="I243" s="8"/>
      <c r="J243" s="8"/>
      <c r="L243" s="8"/>
    </row>
    <row r="244" spans="1:12" ht="18.75" customHeight="1">
      <c r="A244" s="191"/>
      <c r="B244" s="191"/>
      <c r="C244" s="189">
        <v>4010</v>
      </c>
      <c r="D244" s="189" t="s">
        <v>664</v>
      </c>
      <c r="E244" s="440">
        <v>6344719</v>
      </c>
      <c r="F244" s="579">
        <f>122370-118600</f>
        <v>3770</v>
      </c>
      <c r="G244" s="579"/>
      <c r="H244" s="579">
        <f t="shared" si="4"/>
        <v>6340949</v>
      </c>
      <c r="I244" s="8"/>
      <c r="J244" s="8"/>
      <c r="L244" s="8"/>
    </row>
    <row r="245" spans="1:12" ht="18.75" customHeight="1">
      <c r="A245" s="191"/>
      <c r="B245" s="191"/>
      <c r="C245" s="862">
        <v>4170</v>
      </c>
      <c r="D245" s="199" t="s">
        <v>681</v>
      </c>
      <c r="E245" s="253">
        <v>15050</v>
      </c>
      <c r="F245" s="548">
        <v>13000</v>
      </c>
      <c r="G245" s="548"/>
      <c r="H245" s="548">
        <f t="shared" si="4"/>
        <v>2050</v>
      </c>
      <c r="I245" s="8"/>
      <c r="J245" s="8"/>
      <c r="L245" s="8"/>
    </row>
    <row r="246" spans="1:12" ht="18.75" customHeight="1">
      <c r="A246" s="191"/>
      <c r="B246" s="191"/>
      <c r="C246" s="191"/>
      <c r="D246" s="511" t="s">
        <v>828</v>
      </c>
      <c r="E246" s="602">
        <v>1407619</v>
      </c>
      <c r="F246" s="543">
        <f>F247</f>
        <v>3000</v>
      </c>
      <c r="G246" s="543"/>
      <c r="H246" s="543">
        <f t="shared" si="4"/>
        <v>1404619</v>
      </c>
      <c r="I246" s="8"/>
      <c r="J246" s="8"/>
      <c r="L246" s="8"/>
    </row>
    <row r="247" spans="1:12" ht="18.75" customHeight="1">
      <c r="A247" s="201"/>
      <c r="B247" s="201"/>
      <c r="C247" s="189">
        <v>4440</v>
      </c>
      <c r="D247" s="189" t="s">
        <v>613</v>
      </c>
      <c r="E247" s="440">
        <v>401582</v>
      </c>
      <c r="F247" s="579">
        <v>3000</v>
      </c>
      <c r="G247" s="579"/>
      <c r="H247" s="579">
        <f t="shared" si="4"/>
        <v>398582</v>
      </c>
      <c r="I247" s="8"/>
      <c r="J247" s="8"/>
      <c r="L247" s="8"/>
    </row>
    <row r="248" spans="1:12" ht="18.75" customHeight="1">
      <c r="A248" s="191"/>
      <c r="B248" s="191"/>
      <c r="C248" s="191"/>
      <c r="D248" s="473" t="s">
        <v>921</v>
      </c>
      <c r="E248" s="452">
        <v>1344446</v>
      </c>
      <c r="F248" s="631">
        <f>SUM(F249:F250)</f>
        <v>40000</v>
      </c>
      <c r="G248" s="631"/>
      <c r="H248" s="631">
        <f t="shared" si="4"/>
        <v>1304446</v>
      </c>
      <c r="I248" s="8"/>
      <c r="J248" s="8"/>
      <c r="L248" s="8"/>
    </row>
    <row r="249" spans="1:12" ht="18.75" customHeight="1">
      <c r="A249" s="191"/>
      <c r="B249" s="191"/>
      <c r="C249" s="189">
        <v>4110</v>
      </c>
      <c r="D249" s="189" t="s">
        <v>665</v>
      </c>
      <c r="E249" s="440">
        <v>1183146</v>
      </c>
      <c r="F249" s="579">
        <v>37500</v>
      </c>
      <c r="G249" s="579"/>
      <c r="H249" s="579">
        <f t="shared" si="4"/>
        <v>1145646</v>
      </c>
      <c r="I249" s="8"/>
      <c r="J249" s="8"/>
      <c r="L249" s="8"/>
    </row>
    <row r="250" spans="1:12" ht="18.75" customHeight="1">
      <c r="A250" s="191"/>
      <c r="B250" s="191"/>
      <c r="C250" s="862">
        <v>4120</v>
      </c>
      <c r="D250" s="199" t="s">
        <v>666</v>
      </c>
      <c r="E250" s="253">
        <v>161300</v>
      </c>
      <c r="F250" s="548">
        <v>2500</v>
      </c>
      <c r="G250" s="548"/>
      <c r="H250" s="548">
        <f t="shared" si="4"/>
        <v>158800</v>
      </c>
      <c r="I250" s="8"/>
      <c r="J250" s="8"/>
      <c r="L250" s="8"/>
    </row>
    <row r="251" spans="1:12" ht="18.75" customHeight="1">
      <c r="A251" s="191"/>
      <c r="B251" s="203">
        <v>80146</v>
      </c>
      <c r="C251" s="203"/>
      <c r="D251" s="203" t="s">
        <v>927</v>
      </c>
      <c r="E251" s="361">
        <v>1500000</v>
      </c>
      <c r="F251" s="604">
        <f>F252</f>
        <v>4820</v>
      </c>
      <c r="G251" s="604">
        <f>G252</f>
        <v>4820</v>
      </c>
      <c r="H251" s="552">
        <f t="shared" si="4"/>
        <v>1500000</v>
      </c>
      <c r="I251" s="8"/>
      <c r="J251" s="8"/>
      <c r="L251" s="8"/>
    </row>
    <row r="252" spans="1:12" ht="18.75" customHeight="1">
      <c r="A252" s="191"/>
      <c r="B252" s="191"/>
      <c r="C252" s="191"/>
      <c r="D252" s="511" t="s">
        <v>928</v>
      </c>
      <c r="E252" s="602">
        <v>1500000</v>
      </c>
      <c r="F252" s="543">
        <f>SUM(F253:F255)</f>
        <v>4820</v>
      </c>
      <c r="G252" s="543">
        <f>SUM(G253:G255)</f>
        <v>4820</v>
      </c>
      <c r="H252" s="543">
        <f t="shared" si="4"/>
        <v>1500000</v>
      </c>
      <c r="I252" s="8"/>
      <c r="J252" s="8"/>
      <c r="L252" s="8"/>
    </row>
    <row r="253" spans="1:12" ht="18.75" customHeight="1">
      <c r="A253" s="191"/>
      <c r="B253" s="191"/>
      <c r="C253" s="189">
        <v>4170</v>
      </c>
      <c r="D253" s="189" t="s">
        <v>681</v>
      </c>
      <c r="E253" s="440">
        <v>65400</v>
      </c>
      <c r="F253" s="579">
        <v>4820</v>
      </c>
      <c r="G253" s="579"/>
      <c r="H253" s="579">
        <f t="shared" si="4"/>
        <v>60580</v>
      </c>
      <c r="I253" s="8"/>
      <c r="J253" s="8"/>
      <c r="L253" s="8"/>
    </row>
    <row r="254" spans="1:12" ht="18.75" customHeight="1">
      <c r="A254" s="191"/>
      <c r="B254" s="191"/>
      <c r="C254" s="862">
        <v>4210</v>
      </c>
      <c r="D254" s="199" t="s">
        <v>674</v>
      </c>
      <c r="E254" s="253">
        <v>11400</v>
      </c>
      <c r="F254" s="548"/>
      <c r="G254" s="548">
        <v>250</v>
      </c>
      <c r="H254" s="548">
        <f t="shared" si="4"/>
        <v>11650</v>
      </c>
      <c r="I254" s="8"/>
      <c r="J254" s="8"/>
      <c r="L254" s="8"/>
    </row>
    <row r="255" spans="1:12" ht="18.75" customHeight="1">
      <c r="A255" s="191"/>
      <c r="B255" s="191"/>
      <c r="C255" s="478">
        <v>4300</v>
      </c>
      <c r="D255" s="478" t="s">
        <v>742</v>
      </c>
      <c r="E255" s="440">
        <v>839887</v>
      </c>
      <c r="F255" s="579"/>
      <c r="G255" s="579">
        <v>4570</v>
      </c>
      <c r="H255" s="548">
        <f t="shared" si="4"/>
        <v>844457</v>
      </c>
      <c r="I255" s="8"/>
      <c r="J255" s="8"/>
      <c r="L255" s="8"/>
    </row>
    <row r="256" spans="1:12" ht="18.75" customHeight="1">
      <c r="A256" s="412">
        <v>851</v>
      </c>
      <c r="B256" s="412"/>
      <c r="C256" s="412"/>
      <c r="D256" s="412" t="s">
        <v>877</v>
      </c>
      <c r="E256" s="244">
        <v>9910000</v>
      </c>
      <c r="F256" s="605">
        <f>F257+F261+F270+F275+F297</f>
        <v>161546</v>
      </c>
      <c r="G256" s="605">
        <f>G257+G261+G270+G275+G297</f>
        <v>161546</v>
      </c>
      <c r="H256" s="863">
        <f t="shared" si="4"/>
        <v>9910000</v>
      </c>
      <c r="I256" s="8"/>
      <c r="J256" s="8"/>
      <c r="L256" s="8"/>
    </row>
    <row r="257" spans="1:12" s="13" customFormat="1" ht="18.75" customHeight="1">
      <c r="A257" s="567"/>
      <c r="B257" s="203">
        <v>85121</v>
      </c>
      <c r="C257" s="203"/>
      <c r="D257" s="203" t="s">
        <v>485</v>
      </c>
      <c r="E257" s="763">
        <v>4455000</v>
      </c>
      <c r="F257" s="604">
        <f>F258</f>
        <v>20000</v>
      </c>
      <c r="G257" s="604">
        <f>G258</f>
        <v>20000</v>
      </c>
      <c r="H257" s="552">
        <f t="shared" si="4"/>
        <v>4455000</v>
      </c>
      <c r="I257" s="14"/>
      <c r="J257" s="14"/>
      <c r="L257" s="14"/>
    </row>
    <row r="258" spans="1:12" s="13" customFormat="1" ht="32.25" customHeight="1">
      <c r="A258" s="567"/>
      <c r="B258" s="762"/>
      <c r="C258" s="191"/>
      <c r="D258" s="511" t="s">
        <v>487</v>
      </c>
      <c r="E258" s="602">
        <v>2955000</v>
      </c>
      <c r="F258" s="543">
        <f>F259</f>
        <v>20000</v>
      </c>
      <c r="G258" s="543">
        <f>G260</f>
        <v>20000</v>
      </c>
      <c r="H258" s="543">
        <f t="shared" si="4"/>
        <v>2955000</v>
      </c>
      <c r="I258" s="14"/>
      <c r="J258" s="14"/>
      <c r="L258" s="14"/>
    </row>
    <row r="259" spans="1:12" s="13" customFormat="1" ht="39.75" customHeight="1">
      <c r="A259" s="567"/>
      <c r="B259" s="567"/>
      <c r="C259" s="189">
        <v>4160</v>
      </c>
      <c r="D259" s="10" t="s">
        <v>486</v>
      </c>
      <c r="E259" s="440">
        <v>2955000</v>
      </c>
      <c r="F259" s="579">
        <v>20000</v>
      </c>
      <c r="G259" s="579"/>
      <c r="H259" s="579">
        <f t="shared" si="4"/>
        <v>2935000</v>
      </c>
      <c r="I259" s="14"/>
      <c r="J259" s="14"/>
      <c r="L259" s="14"/>
    </row>
    <row r="260" spans="1:12" s="13" customFormat="1" ht="18.75" customHeight="1">
      <c r="A260" s="567"/>
      <c r="B260" s="567"/>
      <c r="C260" s="862">
        <v>4170</v>
      </c>
      <c r="D260" s="199" t="s">
        <v>681</v>
      </c>
      <c r="E260" s="253"/>
      <c r="F260" s="548"/>
      <c r="G260" s="548">
        <v>20000</v>
      </c>
      <c r="H260" s="548">
        <f t="shared" si="4"/>
        <v>20000</v>
      </c>
      <c r="I260" s="14"/>
      <c r="J260" s="14"/>
      <c r="L260" s="14"/>
    </row>
    <row r="261" spans="1:12" ht="18.75" customHeight="1">
      <c r="A261" s="580"/>
      <c r="B261" s="203">
        <v>85149</v>
      </c>
      <c r="C261" s="203"/>
      <c r="D261" s="203" t="s">
        <v>453</v>
      </c>
      <c r="E261" s="361">
        <v>100000</v>
      </c>
      <c r="F261" s="604">
        <f>F262</f>
        <v>30000</v>
      </c>
      <c r="G261" s="604">
        <f>G262</f>
        <v>30000</v>
      </c>
      <c r="H261" s="552">
        <f t="shared" si="4"/>
        <v>100000</v>
      </c>
      <c r="I261" s="8"/>
      <c r="J261" s="8"/>
      <c r="L261" s="8"/>
    </row>
    <row r="262" spans="1:12" ht="18.75" customHeight="1">
      <c r="A262" s="580"/>
      <c r="B262" s="191"/>
      <c r="C262" s="194"/>
      <c r="D262" s="195" t="s">
        <v>454</v>
      </c>
      <c r="E262" s="602">
        <v>100000</v>
      </c>
      <c r="F262" s="543">
        <f>SUM(F263:F269)</f>
        <v>30000</v>
      </c>
      <c r="G262" s="543">
        <f>SUM(G263:G269)</f>
        <v>30000</v>
      </c>
      <c r="H262" s="543">
        <f t="shared" si="4"/>
        <v>100000</v>
      </c>
      <c r="I262" s="8"/>
      <c r="J262" s="8"/>
      <c r="L262" s="8"/>
    </row>
    <row r="263" spans="1:12" ht="18.75" customHeight="1">
      <c r="A263" s="580"/>
      <c r="B263" s="580"/>
      <c r="C263" s="1422">
        <v>4110</v>
      </c>
      <c r="D263" s="10" t="s">
        <v>665</v>
      </c>
      <c r="E263" s="440"/>
      <c r="F263" s="579"/>
      <c r="G263" s="579">
        <v>772</v>
      </c>
      <c r="H263" s="579">
        <f t="shared" si="4"/>
        <v>772</v>
      </c>
      <c r="I263" s="8"/>
      <c r="J263" s="8"/>
      <c r="L263" s="8"/>
    </row>
    <row r="264" spans="1:12" ht="18.75" customHeight="1">
      <c r="A264" s="580"/>
      <c r="B264" s="580"/>
      <c r="C264" s="862">
        <v>4120</v>
      </c>
      <c r="D264" s="199" t="s">
        <v>666</v>
      </c>
      <c r="E264" s="253"/>
      <c r="F264" s="548"/>
      <c r="G264" s="548">
        <v>106</v>
      </c>
      <c r="H264" s="548">
        <f t="shared" si="4"/>
        <v>106</v>
      </c>
      <c r="I264" s="8"/>
      <c r="J264" s="8"/>
      <c r="L264" s="8"/>
    </row>
    <row r="265" spans="1:12" ht="18.75" customHeight="1">
      <c r="A265" s="580"/>
      <c r="B265" s="580"/>
      <c r="C265" s="862">
        <v>4170</v>
      </c>
      <c r="D265" s="222" t="s">
        <v>681</v>
      </c>
      <c r="E265" s="253"/>
      <c r="F265" s="548"/>
      <c r="G265" s="548">
        <v>5332</v>
      </c>
      <c r="H265" s="548">
        <f t="shared" si="4"/>
        <v>5332</v>
      </c>
      <c r="I265" s="8"/>
      <c r="J265" s="8"/>
      <c r="L265" s="8"/>
    </row>
    <row r="266" spans="1:12" ht="18.75" customHeight="1">
      <c r="A266" s="580"/>
      <c r="B266" s="580"/>
      <c r="C266" s="862">
        <v>4210</v>
      </c>
      <c r="D266" s="222" t="s">
        <v>674</v>
      </c>
      <c r="E266" s="253"/>
      <c r="F266" s="548"/>
      <c r="G266" s="548">
        <v>16100</v>
      </c>
      <c r="H266" s="548">
        <f t="shared" si="4"/>
        <v>16100</v>
      </c>
      <c r="I266" s="8"/>
      <c r="J266" s="8"/>
      <c r="L266" s="8"/>
    </row>
    <row r="267" spans="1:12" ht="18.75" customHeight="1">
      <c r="A267" s="580"/>
      <c r="B267" s="580"/>
      <c r="C267" s="862">
        <v>4240</v>
      </c>
      <c r="D267" s="862" t="s">
        <v>39</v>
      </c>
      <c r="E267" s="253"/>
      <c r="F267" s="548"/>
      <c r="G267" s="548">
        <v>6890</v>
      </c>
      <c r="H267" s="548">
        <f t="shared" si="4"/>
        <v>6890</v>
      </c>
      <c r="I267" s="8"/>
      <c r="J267" s="8"/>
      <c r="L267" s="8"/>
    </row>
    <row r="268" spans="1:12" ht="18.75" customHeight="1">
      <c r="A268" s="580"/>
      <c r="B268" s="191"/>
      <c r="C268" s="189">
        <v>4280</v>
      </c>
      <c r="D268" s="189" t="s">
        <v>40</v>
      </c>
      <c r="E268" s="440">
        <v>100000</v>
      </c>
      <c r="F268" s="579">
        <v>30000</v>
      </c>
      <c r="G268" s="579"/>
      <c r="H268" s="579">
        <f>E268-F268+G268</f>
        <v>70000</v>
      </c>
      <c r="I268" s="8"/>
      <c r="J268" s="8"/>
      <c r="L268" s="8"/>
    </row>
    <row r="269" spans="1:12" ht="18.75" customHeight="1">
      <c r="A269" s="580"/>
      <c r="B269" s="580"/>
      <c r="C269" s="862">
        <v>4300</v>
      </c>
      <c r="D269" s="222" t="s">
        <v>742</v>
      </c>
      <c r="E269" s="253"/>
      <c r="F269" s="548"/>
      <c r="G269" s="548">
        <v>800</v>
      </c>
      <c r="H269" s="548">
        <f t="shared" si="4"/>
        <v>800</v>
      </c>
      <c r="I269" s="8"/>
      <c r="J269" s="8"/>
      <c r="L269" s="8"/>
    </row>
    <row r="270" spans="1:12" ht="18.75" customHeight="1">
      <c r="A270" s="580"/>
      <c r="B270" s="203">
        <v>85153</v>
      </c>
      <c r="C270" s="203"/>
      <c r="D270" s="203" t="s">
        <v>450</v>
      </c>
      <c r="E270" s="361">
        <v>110000</v>
      </c>
      <c r="F270" s="604">
        <f>F271</f>
        <v>500</v>
      </c>
      <c r="G270" s="604">
        <f>G271</f>
        <v>500</v>
      </c>
      <c r="H270" s="552">
        <f t="shared" si="4"/>
        <v>110000</v>
      </c>
      <c r="I270" s="8"/>
      <c r="J270" s="8"/>
      <c r="L270" s="8"/>
    </row>
    <row r="271" spans="1:12" ht="28.5" customHeight="1">
      <c r="A271" s="580"/>
      <c r="B271" s="580"/>
      <c r="C271" s="188"/>
      <c r="D271" s="195" t="s">
        <v>514</v>
      </c>
      <c r="E271" s="442">
        <v>110000</v>
      </c>
      <c r="F271" s="106">
        <f>F272</f>
        <v>500</v>
      </c>
      <c r="G271" s="106">
        <f>G272</f>
        <v>500</v>
      </c>
      <c r="H271" s="632">
        <f t="shared" si="4"/>
        <v>110000</v>
      </c>
      <c r="I271" s="8"/>
      <c r="J271" s="8"/>
      <c r="L271" s="8"/>
    </row>
    <row r="272" spans="1:12" ht="18.75" customHeight="1">
      <c r="A272" s="580"/>
      <c r="B272" s="580"/>
      <c r="C272" s="188"/>
      <c r="D272" s="653" t="s">
        <v>240</v>
      </c>
      <c r="E272" s="861">
        <v>60000</v>
      </c>
      <c r="F272" s="860">
        <f>SUM(F273:F274)</f>
        <v>500</v>
      </c>
      <c r="G272" s="860">
        <f>SUM(G273:G274)</f>
        <v>500</v>
      </c>
      <c r="H272" s="860">
        <f t="shared" si="4"/>
        <v>60000</v>
      </c>
      <c r="I272" s="8"/>
      <c r="J272" s="8"/>
      <c r="L272" s="8"/>
    </row>
    <row r="273" spans="1:12" ht="18.75" customHeight="1">
      <c r="A273" s="580"/>
      <c r="B273" s="580"/>
      <c r="C273" s="188">
        <v>4170</v>
      </c>
      <c r="D273" s="415" t="s">
        <v>681</v>
      </c>
      <c r="E273" s="440">
        <v>4090</v>
      </c>
      <c r="F273" s="579"/>
      <c r="G273" s="579">
        <v>500</v>
      </c>
      <c r="H273" s="579">
        <f t="shared" si="4"/>
        <v>4590</v>
      </c>
      <c r="I273" s="8"/>
      <c r="J273" s="8"/>
      <c r="L273" s="8"/>
    </row>
    <row r="274" spans="1:12" ht="18.75" customHeight="1">
      <c r="A274" s="580"/>
      <c r="B274" s="580"/>
      <c r="C274" s="478">
        <v>4300</v>
      </c>
      <c r="D274" s="603" t="s">
        <v>742</v>
      </c>
      <c r="E274" s="440">
        <v>20609</v>
      </c>
      <c r="F274" s="579">
        <v>500</v>
      </c>
      <c r="G274" s="579"/>
      <c r="H274" s="548">
        <f t="shared" si="4"/>
        <v>20109</v>
      </c>
      <c r="I274" s="8"/>
      <c r="J274" s="8"/>
      <c r="L274" s="8"/>
    </row>
    <row r="275" spans="1:12" ht="18.75" customHeight="1">
      <c r="A275" s="580"/>
      <c r="B275" s="203">
        <v>85154</v>
      </c>
      <c r="C275" s="203"/>
      <c r="D275" s="203" t="s">
        <v>878</v>
      </c>
      <c r="E275" s="361">
        <v>4800000</v>
      </c>
      <c r="F275" s="604">
        <f>F276</f>
        <v>103126</v>
      </c>
      <c r="G275" s="604">
        <f>G276</f>
        <v>103126</v>
      </c>
      <c r="H275" s="552">
        <f t="shared" si="4"/>
        <v>4800000</v>
      </c>
      <c r="I275" s="8"/>
      <c r="J275" s="8"/>
      <c r="L275" s="8"/>
    </row>
    <row r="276" spans="1:12" ht="26.25" customHeight="1">
      <c r="A276" s="201"/>
      <c r="B276" s="201"/>
      <c r="C276" s="189"/>
      <c r="D276" s="241" t="s">
        <v>383</v>
      </c>
      <c r="E276" s="391">
        <v>4800000</v>
      </c>
      <c r="F276" s="625">
        <f>F277+F280+F284+F289+F293</f>
        <v>103126</v>
      </c>
      <c r="G276" s="625">
        <f>G277+G280+G284+G289+G293</f>
        <v>103126</v>
      </c>
      <c r="H276" s="625">
        <f t="shared" si="4"/>
        <v>4800000</v>
      </c>
      <c r="I276" s="8"/>
      <c r="J276" s="8"/>
      <c r="L276" s="8"/>
    </row>
    <row r="277" spans="1:12" ht="26.25" customHeight="1">
      <c r="A277" s="191"/>
      <c r="B277" s="191"/>
      <c r="C277" s="188"/>
      <c r="D277" s="654" t="s">
        <v>552</v>
      </c>
      <c r="E277" s="858">
        <v>900000</v>
      </c>
      <c r="F277" s="859">
        <f>SUM(F278:F279)</f>
        <v>1355</v>
      </c>
      <c r="G277" s="859">
        <f>SUM(G278:G279)</f>
        <v>1355</v>
      </c>
      <c r="H277" s="859">
        <f t="shared" si="4"/>
        <v>900000</v>
      </c>
      <c r="I277" s="8"/>
      <c r="J277" s="8"/>
      <c r="L277" s="8"/>
    </row>
    <row r="278" spans="1:12" ht="28.5" customHeight="1">
      <c r="A278" s="191"/>
      <c r="B278" s="191"/>
      <c r="C278" s="189">
        <v>2810</v>
      </c>
      <c r="D278" s="10" t="s">
        <v>553</v>
      </c>
      <c r="E278" s="440">
        <v>23800</v>
      </c>
      <c r="F278" s="579"/>
      <c r="G278" s="579">
        <v>1355</v>
      </c>
      <c r="H278" s="579">
        <f t="shared" si="4"/>
        <v>25155</v>
      </c>
      <c r="I278" s="8"/>
      <c r="J278" s="8"/>
      <c r="L278" s="8"/>
    </row>
    <row r="279" spans="1:12" ht="27.75" customHeight="1">
      <c r="A279" s="191"/>
      <c r="B279" s="191"/>
      <c r="C279" s="222">
        <v>2820</v>
      </c>
      <c r="D279" s="199" t="s">
        <v>554</v>
      </c>
      <c r="E279" s="253">
        <v>555200</v>
      </c>
      <c r="F279" s="548">
        <v>1355</v>
      </c>
      <c r="G279" s="548"/>
      <c r="H279" s="548">
        <f t="shared" si="4"/>
        <v>553845</v>
      </c>
      <c r="I279" s="8"/>
      <c r="J279" s="8"/>
      <c r="L279" s="8"/>
    </row>
    <row r="280" spans="1:12" ht="40.5" customHeight="1">
      <c r="A280" s="191"/>
      <c r="B280" s="191"/>
      <c r="C280" s="191"/>
      <c r="D280" s="740" t="s">
        <v>555</v>
      </c>
      <c r="E280" s="858">
        <v>900000</v>
      </c>
      <c r="F280" s="859">
        <f>SUM(F281:F283)</f>
        <v>47500</v>
      </c>
      <c r="G280" s="859">
        <f>SUM(G281:G283)</f>
        <v>47500</v>
      </c>
      <c r="H280" s="859">
        <f t="shared" si="4"/>
        <v>900000</v>
      </c>
      <c r="I280" s="8"/>
      <c r="J280" s="8"/>
      <c r="L280" s="8"/>
    </row>
    <row r="281" spans="1:12" ht="29.25" customHeight="1">
      <c r="A281" s="191"/>
      <c r="B281" s="191"/>
      <c r="C281" s="188">
        <v>2810</v>
      </c>
      <c r="D281" s="415" t="s">
        <v>553</v>
      </c>
      <c r="E281" s="440">
        <v>236000</v>
      </c>
      <c r="F281" s="579"/>
      <c r="G281" s="579">
        <v>47500</v>
      </c>
      <c r="H281" s="579">
        <f t="shared" si="4"/>
        <v>283500</v>
      </c>
      <c r="I281" s="8"/>
      <c r="J281" s="8"/>
      <c r="L281" s="8"/>
    </row>
    <row r="282" spans="1:12" ht="29.25" customHeight="1">
      <c r="A282" s="191"/>
      <c r="B282" s="191"/>
      <c r="C282" s="222">
        <v>2820</v>
      </c>
      <c r="D282" s="199" t="s">
        <v>554</v>
      </c>
      <c r="E282" s="253">
        <v>252500</v>
      </c>
      <c r="F282" s="548">
        <v>27500</v>
      </c>
      <c r="G282" s="548"/>
      <c r="H282" s="548">
        <f t="shared" si="4"/>
        <v>225000</v>
      </c>
      <c r="I282" s="8"/>
      <c r="J282" s="8"/>
      <c r="L282" s="8"/>
    </row>
    <row r="283" spans="1:12" ht="42" customHeight="1">
      <c r="A283" s="191"/>
      <c r="B283" s="191"/>
      <c r="C283" s="483">
        <v>2830</v>
      </c>
      <c r="D283" s="199" t="s">
        <v>556</v>
      </c>
      <c r="E283" s="253">
        <v>45500</v>
      </c>
      <c r="F283" s="548">
        <v>20000</v>
      </c>
      <c r="G283" s="548"/>
      <c r="H283" s="548">
        <f t="shared" si="4"/>
        <v>25500</v>
      </c>
      <c r="I283" s="8"/>
      <c r="J283" s="8"/>
      <c r="L283" s="8"/>
    </row>
    <row r="284" spans="1:12" ht="80.25" customHeight="1">
      <c r="A284" s="191"/>
      <c r="B284" s="191"/>
      <c r="C284" s="422"/>
      <c r="D284" s="740" t="s">
        <v>452</v>
      </c>
      <c r="E284" s="858">
        <v>1200000</v>
      </c>
      <c r="F284" s="859">
        <f>SUM(F285:F288)</f>
        <v>24271</v>
      </c>
      <c r="G284" s="859">
        <f>SUM(G285:G288)</f>
        <v>24271</v>
      </c>
      <c r="H284" s="859">
        <f t="shared" si="4"/>
        <v>1200000</v>
      </c>
      <c r="I284" s="8"/>
      <c r="J284" s="8"/>
      <c r="L284" s="8"/>
    </row>
    <row r="285" spans="1:12" ht="21.75" customHeight="1">
      <c r="A285" s="191"/>
      <c r="B285" s="191"/>
      <c r="C285" s="188">
        <v>4110</v>
      </c>
      <c r="D285" s="415" t="s">
        <v>665</v>
      </c>
      <c r="E285" s="453">
        <v>35181</v>
      </c>
      <c r="F285" s="542"/>
      <c r="G285" s="542">
        <f>44-26</f>
        <v>18</v>
      </c>
      <c r="H285" s="542">
        <f t="shared" si="4"/>
        <v>35199</v>
      </c>
      <c r="I285" s="8"/>
      <c r="J285" s="8"/>
      <c r="L285" s="8"/>
    </row>
    <row r="286" spans="1:12" ht="20.25" customHeight="1">
      <c r="A286" s="191"/>
      <c r="B286" s="191"/>
      <c r="C286" s="222">
        <v>4120</v>
      </c>
      <c r="D286" s="199" t="s">
        <v>666</v>
      </c>
      <c r="E286" s="253">
        <v>4806</v>
      </c>
      <c r="F286" s="548">
        <f>30-7</f>
        <v>23</v>
      </c>
      <c r="G286" s="548"/>
      <c r="H286" s="548">
        <f t="shared" si="4"/>
        <v>4783</v>
      </c>
      <c r="I286" s="8"/>
      <c r="J286" s="8"/>
      <c r="L286" s="8"/>
    </row>
    <row r="287" spans="1:12" ht="18.75" customHeight="1">
      <c r="A287" s="191"/>
      <c r="B287" s="191"/>
      <c r="C287" s="222">
        <v>4170</v>
      </c>
      <c r="D287" s="199" t="s">
        <v>681</v>
      </c>
      <c r="E287" s="253">
        <v>232244</v>
      </c>
      <c r="F287" s="548"/>
      <c r="G287" s="548">
        <f>24304-51</f>
        <v>24253</v>
      </c>
      <c r="H287" s="548">
        <f t="shared" si="4"/>
        <v>256497</v>
      </c>
      <c r="I287" s="8"/>
      <c r="J287" s="8"/>
      <c r="L287" s="8"/>
    </row>
    <row r="288" spans="1:12" ht="18" customHeight="1">
      <c r="A288" s="191"/>
      <c r="B288" s="191"/>
      <c r="C288" s="222">
        <v>4300</v>
      </c>
      <c r="D288" s="199" t="s">
        <v>742</v>
      </c>
      <c r="E288" s="253">
        <v>383366</v>
      </c>
      <c r="F288" s="548">
        <v>24248</v>
      </c>
      <c r="G288" s="548"/>
      <c r="H288" s="548">
        <f t="shared" si="4"/>
        <v>359118</v>
      </c>
      <c r="I288" s="8"/>
      <c r="J288" s="8"/>
      <c r="L288" s="8"/>
    </row>
    <row r="289" spans="1:12" ht="27.75" customHeight="1">
      <c r="A289" s="191"/>
      <c r="B289" s="191"/>
      <c r="C289" s="188"/>
      <c r="D289" s="1409" t="s">
        <v>656</v>
      </c>
      <c r="E289" s="657">
        <v>150000</v>
      </c>
      <c r="F289" s="1423">
        <f>F290</f>
        <v>6000</v>
      </c>
      <c r="G289" s="1423">
        <f>G292</f>
        <v>6000</v>
      </c>
      <c r="H289" s="1423">
        <f t="shared" si="4"/>
        <v>150000</v>
      </c>
      <c r="I289" s="8"/>
      <c r="J289" s="8"/>
      <c r="L289" s="8"/>
    </row>
    <row r="290" spans="1:12" ht="21" customHeight="1">
      <c r="A290" s="191"/>
      <c r="B290" s="191"/>
      <c r="C290" s="189">
        <v>4300</v>
      </c>
      <c r="D290" s="10" t="s">
        <v>742</v>
      </c>
      <c r="E290" s="440">
        <v>70370</v>
      </c>
      <c r="F290" s="579">
        <v>6000</v>
      </c>
      <c r="G290" s="579"/>
      <c r="H290" s="579">
        <f t="shared" si="4"/>
        <v>64370</v>
      </c>
      <c r="I290" s="8"/>
      <c r="J290" s="8"/>
      <c r="L290" s="8"/>
    </row>
    <row r="291" spans="1:12" ht="19.5" customHeight="1">
      <c r="A291" s="191"/>
      <c r="B291" s="191"/>
      <c r="C291" s="478"/>
      <c r="D291" s="975" t="s">
        <v>647</v>
      </c>
      <c r="E291" s="976"/>
      <c r="F291" s="981"/>
      <c r="G291" s="981">
        <v>6000</v>
      </c>
      <c r="H291" s="981">
        <f>E291-F291+G291</f>
        <v>6000</v>
      </c>
      <c r="I291" s="8"/>
      <c r="J291" s="8"/>
      <c r="L291" s="8"/>
    </row>
    <row r="292" spans="1:12" ht="22.5" customHeight="1">
      <c r="A292" s="191"/>
      <c r="B292" s="191"/>
      <c r="C292" s="189">
        <v>6060</v>
      </c>
      <c r="D292" s="10" t="s">
        <v>671</v>
      </c>
      <c r="E292" s="440"/>
      <c r="F292" s="579"/>
      <c r="G292" s="579">
        <v>6000</v>
      </c>
      <c r="H292" s="579">
        <f t="shared" si="4"/>
        <v>6000</v>
      </c>
      <c r="I292" s="8"/>
      <c r="J292" s="8"/>
      <c r="L292" s="8"/>
    </row>
    <row r="293" spans="1:12" ht="22.5" customHeight="1">
      <c r="A293" s="191"/>
      <c r="B293" s="191"/>
      <c r="C293" s="188"/>
      <c r="D293" s="654" t="s">
        <v>484</v>
      </c>
      <c r="E293" s="657">
        <v>450000</v>
      </c>
      <c r="F293" s="1423">
        <f>F294</f>
        <v>24000</v>
      </c>
      <c r="G293" s="1423">
        <f>G296</f>
        <v>24000</v>
      </c>
      <c r="H293" s="1423">
        <f t="shared" si="4"/>
        <v>450000</v>
      </c>
      <c r="I293" s="8"/>
      <c r="J293" s="8"/>
      <c r="L293" s="8"/>
    </row>
    <row r="294" spans="1:12" ht="18.75" customHeight="1">
      <c r="A294" s="191"/>
      <c r="B294" s="191"/>
      <c r="C294" s="189">
        <v>4300</v>
      </c>
      <c r="D294" s="10" t="s">
        <v>742</v>
      </c>
      <c r="E294" s="440">
        <v>250140</v>
      </c>
      <c r="F294" s="579">
        <v>24000</v>
      </c>
      <c r="G294" s="579"/>
      <c r="H294" s="579">
        <f t="shared" si="4"/>
        <v>226140</v>
      </c>
      <c r="I294" s="8"/>
      <c r="J294" s="8"/>
      <c r="L294" s="8"/>
    </row>
    <row r="295" spans="1:12" ht="18" customHeight="1">
      <c r="A295" s="191"/>
      <c r="B295" s="191"/>
      <c r="C295" s="478"/>
      <c r="D295" s="975" t="s">
        <v>647</v>
      </c>
      <c r="E295" s="976">
        <v>65000</v>
      </c>
      <c r="F295" s="981"/>
      <c r="G295" s="981">
        <v>24000</v>
      </c>
      <c r="H295" s="981">
        <f>E295-F295+G295</f>
        <v>89000</v>
      </c>
      <c r="I295" s="8"/>
      <c r="J295" s="8"/>
      <c r="L295" s="8"/>
    </row>
    <row r="296" spans="1:12" ht="19.5" customHeight="1">
      <c r="A296" s="191"/>
      <c r="B296" s="201"/>
      <c r="C296" s="189">
        <v>6060</v>
      </c>
      <c r="D296" s="10" t="s">
        <v>671</v>
      </c>
      <c r="E296" s="440">
        <v>65000</v>
      </c>
      <c r="F296" s="579"/>
      <c r="G296" s="579">
        <v>24000</v>
      </c>
      <c r="H296" s="579">
        <f t="shared" si="4"/>
        <v>89000</v>
      </c>
      <c r="I296" s="8"/>
      <c r="J296" s="8"/>
      <c r="L296" s="8"/>
    </row>
    <row r="297" spans="1:12" ht="21" customHeight="1">
      <c r="A297" s="191"/>
      <c r="B297" s="203">
        <v>85195</v>
      </c>
      <c r="C297" s="203"/>
      <c r="D297" s="203" t="s">
        <v>829</v>
      </c>
      <c r="E297" s="252">
        <v>445000</v>
      </c>
      <c r="F297" s="552">
        <f>F298</f>
        <v>7920</v>
      </c>
      <c r="G297" s="552">
        <f>G298</f>
        <v>7920</v>
      </c>
      <c r="H297" s="552">
        <f t="shared" si="4"/>
        <v>445000</v>
      </c>
      <c r="I297" s="8"/>
      <c r="J297" s="8"/>
      <c r="L297" s="8"/>
    </row>
    <row r="298" spans="1:12" ht="28.5" customHeight="1">
      <c r="A298" s="201"/>
      <c r="B298" s="201"/>
      <c r="C298" s="201"/>
      <c r="D298" s="241" t="s">
        <v>386</v>
      </c>
      <c r="E298" s="391">
        <v>425000</v>
      </c>
      <c r="F298" s="625">
        <f>F299</f>
        <v>7920</v>
      </c>
      <c r="G298" s="625">
        <f>G299</f>
        <v>7920</v>
      </c>
      <c r="H298" s="625">
        <f t="shared" si="4"/>
        <v>425000</v>
      </c>
      <c r="I298" s="8"/>
      <c r="J298" s="8"/>
      <c r="L298" s="8"/>
    </row>
    <row r="299" spans="1:12" ht="29.25" customHeight="1">
      <c r="A299" s="191"/>
      <c r="B299" s="191"/>
      <c r="C299" s="191"/>
      <c r="D299" s="473" t="s">
        <v>385</v>
      </c>
      <c r="E299" s="452">
        <v>86000</v>
      </c>
      <c r="F299" s="850">
        <f>SUM(F300:F304)</f>
        <v>7920</v>
      </c>
      <c r="G299" s="850">
        <f>SUM(G300:G304)</f>
        <v>7920</v>
      </c>
      <c r="H299" s="850">
        <f t="shared" si="4"/>
        <v>86000</v>
      </c>
      <c r="I299" s="8"/>
      <c r="J299" s="8"/>
      <c r="L299" s="8"/>
    </row>
    <row r="300" spans="1:12" ht="24.75" customHeight="1">
      <c r="A300" s="191"/>
      <c r="B300" s="191"/>
      <c r="C300" s="189">
        <v>4110</v>
      </c>
      <c r="D300" s="10" t="s">
        <v>665</v>
      </c>
      <c r="E300" s="440"/>
      <c r="F300" s="402"/>
      <c r="G300" s="402">
        <v>324</v>
      </c>
      <c r="H300" s="402">
        <f t="shared" si="4"/>
        <v>324</v>
      </c>
      <c r="I300" s="8"/>
      <c r="J300" s="8"/>
      <c r="L300" s="8"/>
    </row>
    <row r="301" spans="1:12" ht="20.25" customHeight="1">
      <c r="A301" s="191"/>
      <c r="B301" s="191"/>
      <c r="C301" s="222">
        <v>4120</v>
      </c>
      <c r="D301" s="199" t="s">
        <v>666</v>
      </c>
      <c r="E301" s="253"/>
      <c r="F301" s="572"/>
      <c r="G301" s="572">
        <v>47</v>
      </c>
      <c r="H301" s="572">
        <f t="shared" si="4"/>
        <v>47</v>
      </c>
      <c r="I301" s="8"/>
      <c r="J301" s="8"/>
      <c r="L301" s="8"/>
    </row>
    <row r="302" spans="1:12" ht="18.75" customHeight="1">
      <c r="A302" s="191"/>
      <c r="B302" s="191"/>
      <c r="C302" s="222">
        <v>4170</v>
      </c>
      <c r="D302" s="199" t="s">
        <v>681</v>
      </c>
      <c r="E302" s="253">
        <v>2800</v>
      </c>
      <c r="F302" s="572"/>
      <c r="G302" s="572">
        <f>7920-371</f>
        <v>7549</v>
      </c>
      <c r="H302" s="572">
        <f t="shared" si="4"/>
        <v>10349</v>
      </c>
      <c r="I302" s="8"/>
      <c r="J302" s="8"/>
      <c r="L302" s="8"/>
    </row>
    <row r="303" spans="1:12" ht="18.75" customHeight="1">
      <c r="A303" s="191"/>
      <c r="B303" s="191"/>
      <c r="C303" s="222">
        <v>4210</v>
      </c>
      <c r="D303" s="199" t="s">
        <v>674</v>
      </c>
      <c r="E303" s="253">
        <v>28588</v>
      </c>
      <c r="F303" s="572">
        <v>1820</v>
      </c>
      <c r="G303" s="572"/>
      <c r="H303" s="572">
        <f t="shared" si="4"/>
        <v>26768</v>
      </c>
      <c r="I303" s="8"/>
      <c r="J303" s="8"/>
      <c r="L303" s="8"/>
    </row>
    <row r="304" spans="1:12" ht="18.75" customHeight="1">
      <c r="A304" s="112"/>
      <c r="B304" s="112"/>
      <c r="C304" s="222">
        <v>4300</v>
      </c>
      <c r="D304" s="199" t="s">
        <v>742</v>
      </c>
      <c r="E304" s="253">
        <v>18612</v>
      </c>
      <c r="F304" s="572">
        <v>6100</v>
      </c>
      <c r="G304" s="572"/>
      <c r="H304" s="572">
        <f t="shared" si="4"/>
        <v>12512</v>
      </c>
      <c r="I304" s="8"/>
      <c r="J304" s="8"/>
      <c r="L304" s="8"/>
    </row>
    <row r="305" spans="1:8" ht="20.25" customHeight="1">
      <c r="A305" s="412">
        <v>852</v>
      </c>
      <c r="B305" s="412"/>
      <c r="C305" s="412"/>
      <c r="D305" s="412" t="s">
        <v>746</v>
      </c>
      <c r="E305" s="390">
        <v>87638430</v>
      </c>
      <c r="F305" s="650">
        <f>F306+F314+F317</f>
        <v>1112700</v>
      </c>
      <c r="G305" s="650">
        <f>G306+G314+G317</f>
        <v>455628</v>
      </c>
      <c r="H305" s="650">
        <f aca="true" t="shared" si="5" ref="H305:H316">E305-F305+G305</f>
        <v>86981358</v>
      </c>
    </row>
    <row r="306" spans="1:8" ht="19.5" customHeight="1">
      <c r="A306" s="580"/>
      <c r="B306" s="193">
        <v>85202</v>
      </c>
      <c r="C306" s="193"/>
      <c r="D306" s="193" t="s">
        <v>497</v>
      </c>
      <c r="E306" s="582">
        <v>15089892</v>
      </c>
      <c r="F306" s="582">
        <f>F307</f>
        <v>12700</v>
      </c>
      <c r="G306" s="582">
        <f>G307+G311</f>
        <v>12700</v>
      </c>
      <c r="H306" s="582">
        <f t="shared" si="5"/>
        <v>15089892</v>
      </c>
    </row>
    <row r="307" spans="1:8" ht="19.5" customHeight="1">
      <c r="A307" s="580"/>
      <c r="B307" s="583"/>
      <c r="C307" s="191"/>
      <c r="D307" s="496" t="s">
        <v>828</v>
      </c>
      <c r="E307" s="602">
        <v>3745400</v>
      </c>
      <c r="F307" s="578">
        <f>F309</f>
        <v>12700</v>
      </c>
      <c r="G307" s="578">
        <f>G308+G310</f>
        <v>11000</v>
      </c>
      <c r="H307" s="578">
        <f t="shared" si="5"/>
        <v>3743700</v>
      </c>
    </row>
    <row r="308" spans="1:8" ht="19.5" customHeight="1">
      <c r="A308" s="580"/>
      <c r="B308" s="580"/>
      <c r="C308" s="189">
        <v>4210</v>
      </c>
      <c r="D308" s="10" t="s">
        <v>674</v>
      </c>
      <c r="E308" s="440">
        <v>699050</v>
      </c>
      <c r="F308" s="402"/>
      <c r="G308" s="402">
        <v>8500</v>
      </c>
      <c r="H308" s="402">
        <f t="shared" si="5"/>
        <v>707550</v>
      </c>
    </row>
    <row r="309" spans="1:8" ht="19.5" customHeight="1">
      <c r="A309" s="580"/>
      <c r="B309" s="580"/>
      <c r="C309" s="222">
        <v>4270</v>
      </c>
      <c r="D309" s="199" t="s">
        <v>679</v>
      </c>
      <c r="E309" s="253">
        <v>60000</v>
      </c>
      <c r="F309" s="572">
        <v>12700</v>
      </c>
      <c r="G309" s="572"/>
      <c r="H309" s="572">
        <f t="shared" si="5"/>
        <v>47300</v>
      </c>
    </row>
    <row r="310" spans="1:8" ht="19.5" customHeight="1">
      <c r="A310" s="580"/>
      <c r="B310" s="580"/>
      <c r="C310" s="222">
        <v>4300</v>
      </c>
      <c r="D310" s="199" t="s">
        <v>742</v>
      </c>
      <c r="E310" s="253">
        <v>424650</v>
      </c>
      <c r="F310" s="572"/>
      <c r="G310" s="572">
        <v>2500</v>
      </c>
      <c r="H310" s="572">
        <f t="shared" si="5"/>
        <v>427150</v>
      </c>
    </row>
    <row r="311" spans="1:8" ht="19.5" customHeight="1">
      <c r="A311" s="580"/>
      <c r="B311" s="580"/>
      <c r="C311" s="191"/>
      <c r="D311" s="496" t="s">
        <v>655</v>
      </c>
      <c r="E311" s="602">
        <v>1747292</v>
      </c>
      <c r="F311" s="578"/>
      <c r="G311" s="578">
        <f>G313</f>
        <v>1700</v>
      </c>
      <c r="H311" s="578">
        <f t="shared" si="5"/>
        <v>1748992</v>
      </c>
    </row>
    <row r="312" spans="1:8" ht="19.5" customHeight="1">
      <c r="A312" s="580"/>
      <c r="B312" s="580"/>
      <c r="C312" s="191"/>
      <c r="D312" s="1421" t="s">
        <v>20</v>
      </c>
      <c r="E312" s="846">
        <v>54500</v>
      </c>
      <c r="F312" s="847"/>
      <c r="G312" s="847">
        <f>G313</f>
        <v>1700</v>
      </c>
      <c r="H312" s="847">
        <f t="shared" si="5"/>
        <v>56200</v>
      </c>
    </row>
    <row r="313" spans="1:8" ht="19.5" customHeight="1">
      <c r="A313" s="580"/>
      <c r="B313" s="581"/>
      <c r="C313" s="189">
        <v>6060</v>
      </c>
      <c r="D313" s="10" t="s">
        <v>671</v>
      </c>
      <c r="E313" s="440">
        <v>54500</v>
      </c>
      <c r="F313" s="402"/>
      <c r="G313" s="402">
        <v>1700</v>
      </c>
      <c r="H313" s="402">
        <f t="shared" si="5"/>
        <v>56200</v>
      </c>
    </row>
    <row r="314" spans="1:8" ht="28.5" customHeight="1">
      <c r="A314" s="580"/>
      <c r="B314" s="193">
        <v>85214</v>
      </c>
      <c r="C314" s="193"/>
      <c r="D314" s="429" t="s">
        <v>595</v>
      </c>
      <c r="E314" s="582">
        <v>9500000</v>
      </c>
      <c r="F314" s="582">
        <f>F315</f>
        <v>1100000</v>
      </c>
      <c r="G314" s="582"/>
      <c r="H314" s="582">
        <f t="shared" si="5"/>
        <v>8400000</v>
      </c>
    </row>
    <row r="315" spans="1:8" ht="19.5" customHeight="1">
      <c r="A315" s="580"/>
      <c r="B315" s="191"/>
      <c r="C315" s="194"/>
      <c r="D315" s="496" t="s">
        <v>591</v>
      </c>
      <c r="E315" s="642">
        <v>9500000</v>
      </c>
      <c r="F315" s="642">
        <f>F316</f>
        <v>1100000</v>
      </c>
      <c r="G315" s="642"/>
      <c r="H315" s="642">
        <f t="shared" si="5"/>
        <v>8400000</v>
      </c>
    </row>
    <row r="316" spans="1:8" ht="19.5" customHeight="1">
      <c r="A316" s="580"/>
      <c r="B316" s="191"/>
      <c r="C316" s="189">
        <v>3110</v>
      </c>
      <c r="D316" s="189" t="s">
        <v>729</v>
      </c>
      <c r="E316" s="643">
        <v>9500000</v>
      </c>
      <c r="F316" s="643">
        <v>1100000</v>
      </c>
      <c r="G316" s="643"/>
      <c r="H316" s="643">
        <f t="shared" si="5"/>
        <v>8400000</v>
      </c>
    </row>
    <row r="317" spans="1:8" ht="19.5" customHeight="1">
      <c r="A317" s="191"/>
      <c r="B317" s="203">
        <v>85295</v>
      </c>
      <c r="C317" s="203"/>
      <c r="D317" s="203" t="s">
        <v>829</v>
      </c>
      <c r="E317" s="252">
        <v>2321470</v>
      </c>
      <c r="F317" s="252"/>
      <c r="G317" s="252">
        <f>G318</f>
        <v>442928</v>
      </c>
      <c r="H317" s="252">
        <f>E317+G317-F317</f>
        <v>2764398</v>
      </c>
    </row>
    <row r="318" spans="1:8" ht="19.5" customHeight="1">
      <c r="A318" s="191"/>
      <c r="B318" s="191"/>
      <c r="C318" s="191"/>
      <c r="D318" s="511" t="s">
        <v>937</v>
      </c>
      <c r="E318" s="269">
        <v>1506470</v>
      </c>
      <c r="F318" s="269"/>
      <c r="G318" s="269">
        <f>G319</f>
        <v>442928</v>
      </c>
      <c r="H318" s="269">
        <f>E318+G318-F318</f>
        <v>1949398</v>
      </c>
    </row>
    <row r="319" spans="1:8" ht="18" customHeight="1">
      <c r="A319" s="89"/>
      <c r="B319" s="89"/>
      <c r="C319" s="188">
        <v>3110</v>
      </c>
      <c r="D319" s="415" t="s">
        <v>729</v>
      </c>
      <c r="E319" s="453">
        <v>1506470</v>
      </c>
      <c r="F319" s="454"/>
      <c r="G319" s="454">
        <v>442928</v>
      </c>
      <c r="H319" s="454">
        <f>E319+G319-F319</f>
        <v>1949398</v>
      </c>
    </row>
    <row r="320" spans="1:8" ht="19.5" customHeight="1">
      <c r="A320" s="412">
        <v>853</v>
      </c>
      <c r="B320" s="412"/>
      <c r="C320" s="412"/>
      <c r="D320" s="412" t="s">
        <v>752</v>
      </c>
      <c r="E320" s="390">
        <v>8419900</v>
      </c>
      <c r="F320" s="650">
        <f>F321</f>
        <v>17400</v>
      </c>
      <c r="G320" s="650">
        <f>G321</f>
        <v>17400</v>
      </c>
      <c r="H320" s="650">
        <f aca="true" t="shared" si="6" ref="H320:H329">E320-F320+G320</f>
        <v>8419900</v>
      </c>
    </row>
    <row r="321" spans="1:8" ht="21" customHeight="1">
      <c r="A321" s="360"/>
      <c r="B321" s="203">
        <v>85333</v>
      </c>
      <c r="C321" s="203"/>
      <c r="D321" s="203" t="s">
        <v>668</v>
      </c>
      <c r="E321" s="252">
        <v>3673900</v>
      </c>
      <c r="F321" s="687">
        <f>F324</f>
        <v>17400</v>
      </c>
      <c r="G321" s="687">
        <f>G322+G327</f>
        <v>17400</v>
      </c>
      <c r="H321" s="687">
        <f t="shared" si="6"/>
        <v>3673900</v>
      </c>
    </row>
    <row r="322" spans="1:8" ht="19.5" customHeight="1">
      <c r="A322" s="243"/>
      <c r="B322" s="243"/>
      <c r="C322" s="191"/>
      <c r="D322" s="496" t="s">
        <v>564</v>
      </c>
      <c r="E322" s="602">
        <v>2016198</v>
      </c>
      <c r="F322" s="578"/>
      <c r="G322" s="578">
        <f>G323</f>
        <v>9600</v>
      </c>
      <c r="H322" s="578">
        <f>E322-F322+G322</f>
        <v>2025798</v>
      </c>
    </row>
    <row r="323" spans="1:8" ht="21.75" customHeight="1">
      <c r="A323" s="243"/>
      <c r="B323" s="243"/>
      <c r="C323" s="189">
        <v>4170</v>
      </c>
      <c r="D323" s="10" t="s">
        <v>681</v>
      </c>
      <c r="E323" s="440">
        <v>2500</v>
      </c>
      <c r="F323" s="402"/>
      <c r="G323" s="402">
        <v>9600</v>
      </c>
      <c r="H323" s="402">
        <f>E323-F323+G323</f>
        <v>12100</v>
      </c>
    </row>
    <row r="324" spans="1:8" ht="21" customHeight="1">
      <c r="A324" s="89"/>
      <c r="B324" s="89"/>
      <c r="C324" s="194"/>
      <c r="D324" s="496" t="s">
        <v>828</v>
      </c>
      <c r="E324" s="602">
        <v>611821</v>
      </c>
      <c r="F324" s="578">
        <f>F325+F326</f>
        <v>17400</v>
      </c>
      <c r="G324" s="578"/>
      <c r="H324" s="578">
        <f t="shared" si="6"/>
        <v>594421</v>
      </c>
    </row>
    <row r="325" spans="1:8" ht="19.5" customHeight="1">
      <c r="A325" s="89"/>
      <c r="B325" s="89"/>
      <c r="C325" s="189">
        <v>4270</v>
      </c>
      <c r="D325" s="10" t="s">
        <v>669</v>
      </c>
      <c r="E325" s="440">
        <v>38321</v>
      </c>
      <c r="F325" s="402">
        <f>3500+4300</f>
        <v>7800</v>
      </c>
      <c r="G325" s="402"/>
      <c r="H325" s="402">
        <f t="shared" si="6"/>
        <v>30521</v>
      </c>
    </row>
    <row r="326" spans="1:8" ht="21" customHeight="1">
      <c r="A326" s="90"/>
      <c r="B326" s="90"/>
      <c r="C326" s="222">
        <v>4300</v>
      </c>
      <c r="D326" s="199" t="s">
        <v>742</v>
      </c>
      <c r="E326" s="253">
        <v>230860</v>
      </c>
      <c r="F326" s="572">
        <v>9600</v>
      </c>
      <c r="G326" s="572"/>
      <c r="H326" s="572">
        <f t="shared" si="6"/>
        <v>221260</v>
      </c>
    </row>
    <row r="327" spans="1:8" ht="22.5" customHeight="1">
      <c r="A327" s="89"/>
      <c r="B327" s="89"/>
      <c r="C327" s="191"/>
      <c r="D327" s="446" t="s">
        <v>655</v>
      </c>
      <c r="E327" s="452">
        <v>439679</v>
      </c>
      <c r="F327" s="850"/>
      <c r="G327" s="850">
        <f>G329+G331</f>
        <v>7800</v>
      </c>
      <c r="H327" s="850">
        <f t="shared" si="6"/>
        <v>447479</v>
      </c>
    </row>
    <row r="328" spans="1:8" ht="19.5" customHeight="1">
      <c r="A328" s="89"/>
      <c r="B328" s="89"/>
      <c r="C328" s="191"/>
      <c r="D328" s="1421" t="s">
        <v>21</v>
      </c>
      <c r="E328" s="846">
        <v>94000</v>
      </c>
      <c r="F328" s="847"/>
      <c r="G328" s="847">
        <v>3500</v>
      </c>
      <c r="H328" s="847">
        <f t="shared" si="6"/>
        <v>97500</v>
      </c>
    </row>
    <row r="329" spans="1:8" ht="19.5" customHeight="1">
      <c r="A329" s="89"/>
      <c r="B329" s="89"/>
      <c r="C329" s="189">
        <v>6050</v>
      </c>
      <c r="D329" s="10" t="s">
        <v>670</v>
      </c>
      <c r="E329" s="440">
        <v>439679</v>
      </c>
      <c r="F329" s="402"/>
      <c r="G329" s="402">
        <v>3500</v>
      </c>
      <c r="H329" s="402">
        <f t="shared" si="6"/>
        <v>443179</v>
      </c>
    </row>
    <row r="330" spans="1:8" ht="19.5" customHeight="1">
      <c r="A330" s="89"/>
      <c r="B330" s="89"/>
      <c r="C330" s="194"/>
      <c r="D330" s="664" t="s">
        <v>20</v>
      </c>
      <c r="E330" s="1420"/>
      <c r="F330" s="1424"/>
      <c r="G330" s="1424">
        <v>4300</v>
      </c>
      <c r="H330" s="1424">
        <f>H331</f>
        <v>4300</v>
      </c>
    </row>
    <row r="331" spans="1:8" ht="19.5" customHeight="1">
      <c r="A331" s="89"/>
      <c r="B331" s="89"/>
      <c r="C331" s="189">
        <v>6060</v>
      </c>
      <c r="D331" s="10" t="s">
        <v>671</v>
      </c>
      <c r="E331" s="440"/>
      <c r="F331" s="402"/>
      <c r="G331" s="402">
        <v>4300</v>
      </c>
      <c r="H331" s="402">
        <f aca="true" t="shared" si="7" ref="H331:H424">E331-F331+G331</f>
        <v>4300</v>
      </c>
    </row>
    <row r="332" spans="1:8" ht="17.25" customHeight="1">
      <c r="A332" s="412">
        <v>854</v>
      </c>
      <c r="B332" s="412"/>
      <c r="C332" s="412"/>
      <c r="D332" s="412" t="s">
        <v>503</v>
      </c>
      <c r="E332" s="390">
        <v>39276000</v>
      </c>
      <c r="F332" s="650">
        <f>F333+F344+F358+F367+F376+F390+F395+F398+F401+F405</f>
        <v>721031</v>
      </c>
      <c r="G332" s="650">
        <f>G333+G344+G358+G367+G376+G390+G395+G398+G401+G405</f>
        <v>721031</v>
      </c>
      <c r="H332" s="650">
        <f t="shared" si="7"/>
        <v>39276000</v>
      </c>
    </row>
    <row r="333" spans="1:8" s="739" customFormat="1" ht="18" customHeight="1">
      <c r="A333" s="580"/>
      <c r="B333" s="477">
        <v>85401</v>
      </c>
      <c r="C333" s="205"/>
      <c r="D333" s="429" t="s">
        <v>929</v>
      </c>
      <c r="E333" s="856">
        <v>6947158</v>
      </c>
      <c r="F333" s="857">
        <f>F334+F337+F341</f>
        <v>4423</v>
      </c>
      <c r="G333" s="857">
        <f>G334+G337+G341</f>
        <v>149718</v>
      </c>
      <c r="H333" s="738">
        <f t="shared" si="7"/>
        <v>7092453</v>
      </c>
    </row>
    <row r="334" spans="1:8" s="739" customFormat="1" ht="19.5" customHeight="1">
      <c r="A334" s="580"/>
      <c r="B334" s="592"/>
      <c r="C334" s="191"/>
      <c r="D334" s="496" t="s">
        <v>747</v>
      </c>
      <c r="E334" s="602">
        <v>5489326</v>
      </c>
      <c r="F334" s="578">
        <f>SUM(F335:F336)</f>
        <v>1000</v>
      </c>
      <c r="G334" s="578">
        <f>SUM(G335:G336)</f>
        <v>117623</v>
      </c>
      <c r="H334" s="578">
        <f t="shared" si="7"/>
        <v>5605949</v>
      </c>
    </row>
    <row r="335" spans="1:8" s="739" customFormat="1" ht="18" customHeight="1">
      <c r="A335" s="580"/>
      <c r="B335" s="592"/>
      <c r="C335" s="189">
        <v>4010</v>
      </c>
      <c r="D335" s="10" t="s">
        <v>664</v>
      </c>
      <c r="E335" s="440">
        <v>5150390</v>
      </c>
      <c r="F335" s="402"/>
      <c r="G335" s="402">
        <f>289645-172022</f>
        <v>117623</v>
      </c>
      <c r="H335" s="402">
        <f t="shared" si="7"/>
        <v>5268013</v>
      </c>
    </row>
    <row r="336" spans="1:8" s="739" customFormat="1" ht="17.25" customHeight="1">
      <c r="A336" s="580"/>
      <c r="B336" s="592"/>
      <c r="C336" s="222">
        <v>4170</v>
      </c>
      <c r="D336" s="199" t="s">
        <v>681</v>
      </c>
      <c r="E336" s="253">
        <v>2500</v>
      </c>
      <c r="F336" s="572">
        <v>1000</v>
      </c>
      <c r="G336" s="572"/>
      <c r="H336" s="572">
        <f t="shared" si="7"/>
        <v>1500</v>
      </c>
    </row>
    <row r="337" spans="1:8" s="739" customFormat="1" ht="18" customHeight="1">
      <c r="A337" s="580"/>
      <c r="B337" s="592"/>
      <c r="C337" s="191"/>
      <c r="D337" s="496" t="s">
        <v>828</v>
      </c>
      <c r="E337" s="602">
        <v>399786</v>
      </c>
      <c r="F337" s="578"/>
      <c r="G337" s="578">
        <f>SUM(G338:G340)</f>
        <v>32095</v>
      </c>
      <c r="H337" s="578">
        <f t="shared" si="7"/>
        <v>431881</v>
      </c>
    </row>
    <row r="338" spans="1:8" s="739" customFormat="1" ht="19.5" customHeight="1">
      <c r="A338" s="580"/>
      <c r="B338" s="592"/>
      <c r="C338" s="189">
        <v>4260</v>
      </c>
      <c r="D338" s="10" t="s">
        <v>741</v>
      </c>
      <c r="E338" s="440">
        <v>2887</v>
      </c>
      <c r="F338" s="402"/>
      <c r="G338" s="402">
        <v>400</v>
      </c>
      <c r="H338" s="402">
        <f t="shared" si="7"/>
        <v>3287</v>
      </c>
    </row>
    <row r="339" spans="1:8" s="739" customFormat="1" ht="19.5" customHeight="1">
      <c r="A339" s="580"/>
      <c r="B339" s="592"/>
      <c r="C339" s="222">
        <v>4270</v>
      </c>
      <c r="D339" s="199" t="s">
        <v>654</v>
      </c>
      <c r="E339" s="253"/>
      <c r="F339" s="572"/>
      <c r="G339" s="572">
        <v>7900</v>
      </c>
      <c r="H339" s="572">
        <f t="shared" si="7"/>
        <v>7900</v>
      </c>
    </row>
    <row r="340" spans="1:8" s="739" customFormat="1" ht="17.25" customHeight="1">
      <c r="A340" s="580"/>
      <c r="B340" s="592"/>
      <c r="C340" s="222">
        <v>4440</v>
      </c>
      <c r="D340" s="199" t="s">
        <v>613</v>
      </c>
      <c r="E340" s="253">
        <v>359337</v>
      </c>
      <c r="F340" s="572"/>
      <c r="G340" s="572">
        <v>23795</v>
      </c>
      <c r="H340" s="572">
        <f t="shared" si="7"/>
        <v>383132</v>
      </c>
    </row>
    <row r="341" spans="1:8" s="739" customFormat="1" ht="18" customHeight="1">
      <c r="A341" s="580"/>
      <c r="B341" s="592"/>
      <c r="C341" s="191"/>
      <c r="D341" s="496" t="s">
        <v>921</v>
      </c>
      <c r="E341" s="602">
        <v>1058046</v>
      </c>
      <c r="F341" s="578">
        <f>SUM(F342:F343)</f>
        <v>3423</v>
      </c>
      <c r="G341" s="578"/>
      <c r="H341" s="578">
        <f t="shared" si="7"/>
        <v>1054623</v>
      </c>
    </row>
    <row r="342" spans="1:8" s="739" customFormat="1" ht="19.5" customHeight="1">
      <c r="A342" s="580"/>
      <c r="B342" s="592"/>
      <c r="C342" s="189">
        <v>4110</v>
      </c>
      <c r="D342" s="10" t="s">
        <v>665</v>
      </c>
      <c r="E342" s="440">
        <v>929967</v>
      </c>
      <c r="F342" s="402">
        <f>37932-35608</f>
        <v>2324</v>
      </c>
      <c r="G342" s="402"/>
      <c r="H342" s="402">
        <f t="shared" si="7"/>
        <v>927643</v>
      </c>
    </row>
    <row r="343" spans="1:8" s="739" customFormat="1" ht="19.5" customHeight="1">
      <c r="A343" s="580"/>
      <c r="B343" s="592"/>
      <c r="C343" s="222">
        <v>4120</v>
      </c>
      <c r="D343" s="199" t="s">
        <v>666</v>
      </c>
      <c r="E343" s="253">
        <v>128079</v>
      </c>
      <c r="F343" s="572">
        <f>3935-2836</f>
        <v>1099</v>
      </c>
      <c r="G343" s="572"/>
      <c r="H343" s="572">
        <f t="shared" si="7"/>
        <v>126980</v>
      </c>
    </row>
    <row r="344" spans="1:8" ht="18" customHeight="1">
      <c r="A344" s="89"/>
      <c r="B344" s="477">
        <v>85403</v>
      </c>
      <c r="C344" s="205"/>
      <c r="D344" s="429" t="s">
        <v>15</v>
      </c>
      <c r="E344" s="856">
        <v>8087793</v>
      </c>
      <c r="F344" s="857">
        <f>F345+F348+F352+F355</f>
        <v>27985</v>
      </c>
      <c r="G344" s="857">
        <f>G345+G348+G352+G355</f>
        <v>288872</v>
      </c>
      <c r="H344" s="738">
        <f t="shared" si="7"/>
        <v>8348680</v>
      </c>
    </row>
    <row r="345" spans="1:8" ht="18" customHeight="1">
      <c r="A345" s="89"/>
      <c r="B345" s="592"/>
      <c r="C345" s="191"/>
      <c r="D345" s="496" t="s">
        <v>747</v>
      </c>
      <c r="E345" s="602">
        <v>5009900</v>
      </c>
      <c r="F345" s="578">
        <f>SUM(F346:F347)</f>
        <v>2000</v>
      </c>
      <c r="G345" s="578">
        <f>SUM(G346:G347)</f>
        <v>219704</v>
      </c>
      <c r="H345" s="578">
        <f t="shared" si="7"/>
        <v>5227604</v>
      </c>
    </row>
    <row r="346" spans="1:8" ht="17.25" customHeight="1">
      <c r="A346" s="89"/>
      <c r="B346" s="592"/>
      <c r="C346" s="189">
        <v>4010</v>
      </c>
      <c r="D346" s="10" t="s">
        <v>664</v>
      </c>
      <c r="E346" s="440">
        <v>4635970</v>
      </c>
      <c r="F346" s="402"/>
      <c r="G346" s="402">
        <f>267604-47900</f>
        <v>219704</v>
      </c>
      <c r="H346" s="402">
        <f t="shared" si="7"/>
        <v>4855674</v>
      </c>
    </row>
    <row r="347" spans="1:8" ht="19.5" customHeight="1">
      <c r="A347" s="89"/>
      <c r="B347" s="592"/>
      <c r="C347" s="222">
        <v>4170</v>
      </c>
      <c r="D347" s="199" t="s">
        <v>681</v>
      </c>
      <c r="E347" s="253">
        <v>6200</v>
      </c>
      <c r="F347" s="572">
        <v>2000</v>
      </c>
      <c r="G347" s="572"/>
      <c r="H347" s="572">
        <f t="shared" si="7"/>
        <v>4200</v>
      </c>
    </row>
    <row r="348" spans="1:8" ht="19.5" customHeight="1">
      <c r="A348" s="89"/>
      <c r="B348" s="592"/>
      <c r="C348" s="191"/>
      <c r="D348" s="496" t="s">
        <v>828</v>
      </c>
      <c r="E348" s="602">
        <v>1480698</v>
      </c>
      <c r="F348" s="578"/>
      <c r="G348" s="578">
        <f>SUM(G349:G351)</f>
        <v>29681</v>
      </c>
      <c r="H348" s="578">
        <f t="shared" si="7"/>
        <v>1510379</v>
      </c>
    </row>
    <row r="349" spans="1:8" ht="19.5" customHeight="1">
      <c r="A349" s="89"/>
      <c r="B349" s="592"/>
      <c r="C349" s="189">
        <v>4260</v>
      </c>
      <c r="D349" s="10" t="s">
        <v>741</v>
      </c>
      <c r="E349" s="440">
        <v>534960</v>
      </c>
      <c r="F349" s="402"/>
      <c r="G349" s="402">
        <f>23000-10000</f>
        <v>13000</v>
      </c>
      <c r="H349" s="402">
        <f t="shared" si="7"/>
        <v>547960</v>
      </c>
    </row>
    <row r="350" spans="1:8" ht="19.5" customHeight="1">
      <c r="A350" s="89"/>
      <c r="B350" s="592"/>
      <c r="C350" s="222">
        <v>4270</v>
      </c>
      <c r="D350" s="199" t="s">
        <v>679</v>
      </c>
      <c r="E350" s="253">
        <v>365698</v>
      </c>
      <c r="F350" s="572"/>
      <c r="G350" s="572">
        <v>11333</v>
      </c>
      <c r="H350" s="572">
        <f t="shared" si="7"/>
        <v>377031</v>
      </c>
    </row>
    <row r="351" spans="1:8" ht="18" customHeight="1">
      <c r="A351" s="89"/>
      <c r="B351" s="592"/>
      <c r="C351" s="222">
        <v>4440</v>
      </c>
      <c r="D351" s="478" t="s">
        <v>613</v>
      </c>
      <c r="E351" s="253">
        <v>285800</v>
      </c>
      <c r="F351" s="572"/>
      <c r="G351" s="572">
        <v>5348</v>
      </c>
      <c r="H351" s="572">
        <f t="shared" si="7"/>
        <v>291148</v>
      </c>
    </row>
    <row r="352" spans="1:8" ht="19.5" customHeight="1">
      <c r="A352" s="89"/>
      <c r="B352" s="592"/>
      <c r="C352" s="191"/>
      <c r="D352" s="496" t="s">
        <v>921</v>
      </c>
      <c r="E352" s="602">
        <v>980780</v>
      </c>
      <c r="F352" s="578"/>
      <c r="G352" s="578">
        <f>SUM(G353:G354)</f>
        <v>39487</v>
      </c>
      <c r="H352" s="578">
        <f t="shared" si="7"/>
        <v>1020267</v>
      </c>
    </row>
    <row r="353" spans="1:8" ht="19.5" customHeight="1">
      <c r="A353" s="89"/>
      <c r="B353" s="592"/>
      <c r="C353" s="189">
        <v>4110</v>
      </c>
      <c r="D353" s="10" t="s">
        <v>665</v>
      </c>
      <c r="E353" s="440">
        <v>864300</v>
      </c>
      <c r="F353" s="402"/>
      <c r="G353" s="402">
        <f>43190-9700</f>
        <v>33490</v>
      </c>
      <c r="H353" s="402">
        <f t="shared" si="7"/>
        <v>897790</v>
      </c>
    </row>
    <row r="354" spans="1:8" ht="19.5" customHeight="1">
      <c r="A354" s="89"/>
      <c r="B354" s="592"/>
      <c r="C354" s="222">
        <v>4120</v>
      </c>
      <c r="D354" s="199" t="s">
        <v>666</v>
      </c>
      <c r="E354" s="253">
        <v>116480</v>
      </c>
      <c r="F354" s="572"/>
      <c r="G354" s="572">
        <v>5997</v>
      </c>
      <c r="H354" s="572">
        <f t="shared" si="7"/>
        <v>122477</v>
      </c>
    </row>
    <row r="355" spans="1:8" ht="19.5" customHeight="1">
      <c r="A355" s="89"/>
      <c r="B355" s="592"/>
      <c r="C355" s="191"/>
      <c r="D355" s="496" t="s">
        <v>649</v>
      </c>
      <c r="E355" s="602">
        <v>25985</v>
      </c>
      <c r="F355" s="578">
        <f>F357</f>
        <v>25985</v>
      </c>
      <c r="G355" s="578"/>
      <c r="H355" s="578">
        <f t="shared" si="7"/>
        <v>0</v>
      </c>
    </row>
    <row r="356" spans="1:8" ht="19.5" customHeight="1">
      <c r="A356" s="89"/>
      <c r="B356" s="592"/>
      <c r="C356" s="191"/>
      <c r="D356" s="1300" t="s">
        <v>653</v>
      </c>
      <c r="E356" s="1274">
        <v>25985</v>
      </c>
      <c r="F356" s="401">
        <f>F357</f>
        <v>25985</v>
      </c>
      <c r="G356" s="401"/>
      <c r="H356" s="401">
        <f t="shared" si="7"/>
        <v>0</v>
      </c>
    </row>
    <row r="357" spans="1:8" ht="19.5" customHeight="1">
      <c r="A357" s="90"/>
      <c r="B357" s="90"/>
      <c r="C357" s="189">
        <v>6050</v>
      </c>
      <c r="D357" s="10" t="s">
        <v>670</v>
      </c>
      <c r="E357" s="440">
        <v>25985</v>
      </c>
      <c r="F357" s="402">
        <v>25985</v>
      </c>
      <c r="G357" s="402"/>
      <c r="H357" s="402">
        <f t="shared" si="7"/>
        <v>0</v>
      </c>
    </row>
    <row r="358" spans="1:8" ht="30" customHeight="1">
      <c r="A358" s="89"/>
      <c r="B358" s="205">
        <v>85406</v>
      </c>
      <c r="C358" s="205"/>
      <c r="D358" s="429" t="s">
        <v>930</v>
      </c>
      <c r="E358" s="1425">
        <v>5771847</v>
      </c>
      <c r="F358" s="1426">
        <f>F359+F362+F364</f>
        <v>446324</v>
      </c>
      <c r="G358" s="1426">
        <f>G359+G362+G364</f>
        <v>250</v>
      </c>
      <c r="H358" s="1134">
        <f t="shared" si="7"/>
        <v>5325773</v>
      </c>
    </row>
    <row r="359" spans="1:8" ht="19.5" customHeight="1">
      <c r="A359" s="89"/>
      <c r="B359" s="89"/>
      <c r="C359" s="191"/>
      <c r="D359" s="496" t="s">
        <v>747</v>
      </c>
      <c r="E359" s="602">
        <v>4368200</v>
      </c>
      <c r="F359" s="578">
        <f>SUM(F360:F361)</f>
        <v>412380</v>
      </c>
      <c r="G359" s="578"/>
      <c r="H359" s="578">
        <f t="shared" si="7"/>
        <v>3955820</v>
      </c>
    </row>
    <row r="360" spans="1:8" ht="19.5" customHeight="1">
      <c r="A360" s="89"/>
      <c r="B360" s="89"/>
      <c r="C360" s="189">
        <v>4010</v>
      </c>
      <c r="D360" s="10" t="s">
        <v>664</v>
      </c>
      <c r="E360" s="440">
        <v>4089756</v>
      </c>
      <c r="F360" s="402">
        <f>428380-17000</f>
        <v>411380</v>
      </c>
      <c r="G360" s="402"/>
      <c r="H360" s="402">
        <f t="shared" si="7"/>
        <v>3678376</v>
      </c>
    </row>
    <row r="361" spans="1:8" ht="19.5" customHeight="1">
      <c r="A361" s="89"/>
      <c r="B361" s="89"/>
      <c r="C361" s="222">
        <v>4170</v>
      </c>
      <c r="D361" s="199" t="s">
        <v>681</v>
      </c>
      <c r="E361" s="253">
        <v>4620</v>
      </c>
      <c r="F361" s="572">
        <v>1000</v>
      </c>
      <c r="G361" s="572"/>
      <c r="H361" s="572">
        <f t="shared" si="7"/>
        <v>3620</v>
      </c>
    </row>
    <row r="362" spans="1:8" ht="19.5" customHeight="1">
      <c r="A362" s="89"/>
      <c r="B362" s="89"/>
      <c r="C362" s="191"/>
      <c r="D362" s="496" t="s">
        <v>828</v>
      </c>
      <c r="E362" s="602">
        <v>582917</v>
      </c>
      <c r="F362" s="578"/>
      <c r="G362" s="578">
        <f>G363</f>
        <v>250</v>
      </c>
      <c r="H362" s="578">
        <f t="shared" si="7"/>
        <v>583167</v>
      </c>
    </row>
    <row r="363" spans="1:8" ht="19.5" customHeight="1">
      <c r="A363" s="89"/>
      <c r="B363" s="89"/>
      <c r="C363" s="189">
        <v>4440</v>
      </c>
      <c r="D363" s="10" t="s">
        <v>613</v>
      </c>
      <c r="E363" s="440">
        <v>245734</v>
      </c>
      <c r="F363" s="402"/>
      <c r="G363" s="402">
        <f>2154-1904</f>
        <v>250</v>
      </c>
      <c r="H363" s="402">
        <f t="shared" si="7"/>
        <v>245984</v>
      </c>
    </row>
    <row r="364" spans="1:8" ht="19.5" customHeight="1">
      <c r="A364" s="89"/>
      <c r="B364" s="89"/>
      <c r="C364" s="191"/>
      <c r="D364" s="496" t="s">
        <v>921</v>
      </c>
      <c r="E364" s="602">
        <v>820730</v>
      </c>
      <c r="F364" s="578">
        <f>SUM(F365:F366)</f>
        <v>33944</v>
      </c>
      <c r="G364" s="578"/>
      <c r="H364" s="578">
        <f t="shared" si="7"/>
        <v>786786</v>
      </c>
    </row>
    <row r="365" spans="1:8" ht="19.5" customHeight="1">
      <c r="A365" s="89"/>
      <c r="B365" s="89"/>
      <c r="C365" s="189">
        <v>4110</v>
      </c>
      <c r="D365" s="10" t="s">
        <v>665</v>
      </c>
      <c r="E365" s="440">
        <v>722530</v>
      </c>
      <c r="F365" s="402">
        <f>36344-5100</f>
        <v>31244</v>
      </c>
      <c r="G365" s="402"/>
      <c r="H365" s="402">
        <f t="shared" si="7"/>
        <v>691286</v>
      </c>
    </row>
    <row r="366" spans="1:8" ht="19.5" customHeight="1">
      <c r="A366" s="89"/>
      <c r="B366" s="89"/>
      <c r="C366" s="222">
        <v>4120</v>
      </c>
      <c r="D366" s="199" t="s">
        <v>666</v>
      </c>
      <c r="E366" s="253">
        <v>98200</v>
      </c>
      <c r="F366" s="572">
        <f>4200-1500</f>
        <v>2700</v>
      </c>
      <c r="G366" s="572"/>
      <c r="H366" s="572">
        <f t="shared" si="7"/>
        <v>95500</v>
      </c>
    </row>
    <row r="367" spans="1:8" ht="19.5" customHeight="1">
      <c r="A367" s="89"/>
      <c r="B367" s="203">
        <v>85407</v>
      </c>
      <c r="C367" s="193"/>
      <c r="D367" s="193" t="s">
        <v>931</v>
      </c>
      <c r="E367" s="252">
        <v>2419000</v>
      </c>
      <c r="F367" s="687">
        <f>F368+F370+F373</f>
        <v>105720</v>
      </c>
      <c r="G367" s="687">
        <f>G368+G370+G373</f>
        <v>17645</v>
      </c>
      <c r="H367" s="738">
        <f t="shared" si="7"/>
        <v>2330925</v>
      </c>
    </row>
    <row r="368" spans="1:8" ht="19.5" customHeight="1">
      <c r="A368" s="89"/>
      <c r="B368" s="89"/>
      <c r="C368" s="191"/>
      <c r="D368" s="496" t="s">
        <v>747</v>
      </c>
      <c r="E368" s="602">
        <v>1747281</v>
      </c>
      <c r="F368" s="578">
        <f>F369</f>
        <v>77700</v>
      </c>
      <c r="G368" s="578"/>
      <c r="H368" s="578">
        <f t="shared" si="7"/>
        <v>1669581</v>
      </c>
    </row>
    <row r="369" spans="1:8" ht="19.5" customHeight="1">
      <c r="A369" s="89"/>
      <c r="B369" s="89"/>
      <c r="C369" s="189">
        <v>4010</v>
      </c>
      <c r="D369" s="10" t="s">
        <v>664</v>
      </c>
      <c r="E369" s="440">
        <v>1628980</v>
      </c>
      <c r="F369" s="402">
        <f>84800-7100</f>
        <v>77700</v>
      </c>
      <c r="G369" s="402"/>
      <c r="H369" s="402">
        <f t="shared" si="7"/>
        <v>1551280</v>
      </c>
    </row>
    <row r="370" spans="1:8" ht="19.5" customHeight="1">
      <c r="A370" s="89"/>
      <c r="B370" s="89"/>
      <c r="C370" s="191"/>
      <c r="D370" s="496" t="s">
        <v>828</v>
      </c>
      <c r="E370" s="602">
        <v>333519</v>
      </c>
      <c r="F370" s="578">
        <f>SUM(F371:F372)</f>
        <v>6000</v>
      </c>
      <c r="G370" s="578">
        <f>SUM(G371:G372)</f>
        <v>17305</v>
      </c>
      <c r="H370" s="578">
        <f t="shared" si="7"/>
        <v>344824</v>
      </c>
    </row>
    <row r="371" spans="1:8" ht="19.5" customHeight="1">
      <c r="A371" s="89"/>
      <c r="B371" s="89"/>
      <c r="C371" s="189">
        <v>4260</v>
      </c>
      <c r="D371" s="10" t="s">
        <v>741</v>
      </c>
      <c r="E371" s="440">
        <v>98000</v>
      </c>
      <c r="F371" s="402">
        <v>6000</v>
      </c>
      <c r="G371" s="402"/>
      <c r="H371" s="402">
        <f t="shared" si="7"/>
        <v>92000</v>
      </c>
    </row>
    <row r="372" spans="1:8" ht="18.75" customHeight="1">
      <c r="A372" s="89"/>
      <c r="B372" s="89"/>
      <c r="C372" s="222">
        <v>4270</v>
      </c>
      <c r="D372" s="199" t="s">
        <v>679</v>
      </c>
      <c r="E372" s="253">
        <v>5000</v>
      </c>
      <c r="F372" s="572"/>
      <c r="G372" s="572">
        <v>17305</v>
      </c>
      <c r="H372" s="572">
        <f t="shared" si="7"/>
        <v>22305</v>
      </c>
    </row>
    <row r="373" spans="1:8" ht="18.75" customHeight="1">
      <c r="A373" s="89"/>
      <c r="B373" s="89"/>
      <c r="C373" s="191"/>
      <c r="D373" s="496" t="s">
        <v>921</v>
      </c>
      <c r="E373" s="602">
        <v>338200</v>
      </c>
      <c r="F373" s="578">
        <f>SUM(F374:F375)</f>
        <v>22020</v>
      </c>
      <c r="G373" s="578">
        <f>SUM(G374:G375)</f>
        <v>340</v>
      </c>
      <c r="H373" s="578">
        <f t="shared" si="7"/>
        <v>316520</v>
      </c>
    </row>
    <row r="374" spans="1:8" ht="18.75" customHeight="1">
      <c r="A374" s="89"/>
      <c r="B374" s="89"/>
      <c r="C374" s="189">
        <v>4110</v>
      </c>
      <c r="D374" s="10" t="s">
        <v>665</v>
      </c>
      <c r="E374" s="440">
        <v>299200</v>
      </c>
      <c r="F374" s="402">
        <f>24000-1980</f>
        <v>22020</v>
      </c>
      <c r="G374" s="402"/>
      <c r="H374" s="402">
        <f t="shared" si="7"/>
        <v>277180</v>
      </c>
    </row>
    <row r="375" spans="1:8" ht="18.75" customHeight="1">
      <c r="A375" s="89"/>
      <c r="B375" s="89"/>
      <c r="C375" s="222">
        <v>4120</v>
      </c>
      <c r="D375" s="199" t="s">
        <v>666</v>
      </c>
      <c r="E375" s="253">
        <v>39000</v>
      </c>
      <c r="F375" s="572"/>
      <c r="G375" s="572">
        <v>340</v>
      </c>
      <c r="H375" s="572">
        <f t="shared" si="7"/>
        <v>39340</v>
      </c>
    </row>
    <row r="376" spans="1:8" ht="21.75" customHeight="1">
      <c r="A376" s="89"/>
      <c r="B376" s="477">
        <v>85410</v>
      </c>
      <c r="C376" s="477"/>
      <c r="D376" s="203" t="s">
        <v>932</v>
      </c>
      <c r="E376" s="252">
        <v>6923225</v>
      </c>
      <c r="F376" s="687">
        <f>F377+F380+F387</f>
        <v>12453</v>
      </c>
      <c r="G376" s="687">
        <f>G377+G380+G387</f>
        <v>149409</v>
      </c>
      <c r="H376" s="687">
        <f t="shared" si="7"/>
        <v>7060181</v>
      </c>
    </row>
    <row r="377" spans="1:8" ht="19.5" customHeight="1">
      <c r="A377" s="89"/>
      <c r="B377" s="592"/>
      <c r="C377" s="191"/>
      <c r="D377" s="496" t="s">
        <v>747</v>
      </c>
      <c r="E377" s="602">
        <v>4022800</v>
      </c>
      <c r="F377" s="578">
        <f>SUM(F378:F379)</f>
        <v>3000</v>
      </c>
      <c r="G377" s="578">
        <f>SUM(G378:G379)</f>
        <v>119521</v>
      </c>
      <c r="H377" s="578">
        <f t="shared" si="7"/>
        <v>4139321</v>
      </c>
    </row>
    <row r="378" spans="1:8" ht="19.5" customHeight="1">
      <c r="A378" s="89"/>
      <c r="B378" s="592"/>
      <c r="C378" s="189">
        <v>4010</v>
      </c>
      <c r="D378" s="10" t="s">
        <v>664</v>
      </c>
      <c r="E378" s="440">
        <v>3718148</v>
      </c>
      <c r="F378" s="402"/>
      <c r="G378" s="402">
        <f>156521-37000</f>
        <v>119521</v>
      </c>
      <c r="H378" s="402">
        <f t="shared" si="7"/>
        <v>3837669</v>
      </c>
    </row>
    <row r="379" spans="1:8" ht="19.5" customHeight="1">
      <c r="A379" s="89"/>
      <c r="B379" s="592"/>
      <c r="C379" s="222">
        <v>4170</v>
      </c>
      <c r="D379" s="1427" t="s">
        <v>681</v>
      </c>
      <c r="E379" s="573">
        <v>5944</v>
      </c>
      <c r="F379" s="574">
        <v>3000</v>
      </c>
      <c r="G379" s="574"/>
      <c r="H379" s="574">
        <f t="shared" si="7"/>
        <v>2944</v>
      </c>
    </row>
    <row r="380" spans="1:8" ht="19.5" customHeight="1">
      <c r="A380" s="89"/>
      <c r="B380" s="89"/>
      <c r="C380" s="191"/>
      <c r="D380" s="496" t="s">
        <v>828</v>
      </c>
      <c r="E380" s="602">
        <v>1533317</v>
      </c>
      <c r="F380" s="578">
        <f>SUM(F381:F385)</f>
        <v>9453</v>
      </c>
      <c r="G380" s="578">
        <f>SUM(G381:G385)</f>
        <v>17798</v>
      </c>
      <c r="H380" s="578">
        <f t="shared" si="7"/>
        <v>1541662</v>
      </c>
    </row>
    <row r="381" spans="1:8" ht="19.5" customHeight="1">
      <c r="A381" s="89"/>
      <c r="B381" s="89"/>
      <c r="C381" s="189">
        <v>4210</v>
      </c>
      <c r="D381" s="10" t="s">
        <v>674</v>
      </c>
      <c r="E381" s="440">
        <v>169350</v>
      </c>
      <c r="F381" s="402"/>
      <c r="G381" s="402">
        <v>12000</v>
      </c>
      <c r="H381" s="402">
        <f t="shared" si="7"/>
        <v>181350</v>
      </c>
    </row>
    <row r="382" spans="1:8" ht="19.5" customHeight="1">
      <c r="A382" s="89"/>
      <c r="B382" s="89"/>
      <c r="C382" s="222">
        <v>4260</v>
      </c>
      <c r="D382" s="199" t="s">
        <v>741</v>
      </c>
      <c r="E382" s="253">
        <v>780590</v>
      </c>
      <c r="F382" s="572"/>
      <c r="G382" s="572">
        <f>15900-15000</f>
        <v>900</v>
      </c>
      <c r="H382" s="572">
        <f t="shared" si="7"/>
        <v>781490</v>
      </c>
    </row>
    <row r="383" spans="1:8" ht="19.5" customHeight="1">
      <c r="A383" s="89"/>
      <c r="B383" s="89"/>
      <c r="C383" s="222">
        <v>4270</v>
      </c>
      <c r="D383" s="199" t="s">
        <v>679</v>
      </c>
      <c r="E383" s="253">
        <v>193317</v>
      </c>
      <c r="F383" s="572">
        <v>2653</v>
      </c>
      <c r="G383" s="572"/>
      <c r="H383" s="572">
        <f t="shared" si="7"/>
        <v>190664</v>
      </c>
    </row>
    <row r="384" spans="1:8" ht="19.5" customHeight="1">
      <c r="A384" s="89"/>
      <c r="B384" s="89"/>
      <c r="C384" s="222">
        <v>4300</v>
      </c>
      <c r="D384" s="199" t="s">
        <v>742</v>
      </c>
      <c r="E384" s="253">
        <v>102396</v>
      </c>
      <c r="F384" s="572">
        <v>6800</v>
      </c>
      <c r="G384" s="572"/>
      <c r="H384" s="572">
        <f t="shared" si="7"/>
        <v>95596</v>
      </c>
    </row>
    <row r="385" spans="1:8" ht="19.5" customHeight="1">
      <c r="A385" s="90"/>
      <c r="B385" s="90"/>
      <c r="C385" s="222">
        <v>4440</v>
      </c>
      <c r="D385" s="199" t="s">
        <v>613</v>
      </c>
      <c r="E385" s="253">
        <v>233853</v>
      </c>
      <c r="F385" s="572"/>
      <c r="G385" s="572">
        <v>4898</v>
      </c>
      <c r="H385" s="572">
        <f t="shared" si="7"/>
        <v>238751</v>
      </c>
    </row>
    <row r="386" ht="19.5" customHeight="1"/>
    <row r="387" spans="1:8" ht="21" customHeight="1">
      <c r="A387" s="89"/>
      <c r="B387" s="89"/>
      <c r="C387" s="191"/>
      <c r="D387" s="496" t="s">
        <v>921</v>
      </c>
      <c r="E387" s="602">
        <v>783800</v>
      </c>
      <c r="F387" s="578"/>
      <c r="G387" s="578">
        <f>SUM(G388:G389)</f>
        <v>12090</v>
      </c>
      <c r="H387" s="578">
        <f t="shared" si="7"/>
        <v>795890</v>
      </c>
    </row>
    <row r="388" spans="1:8" ht="19.5" customHeight="1">
      <c r="A388" s="89"/>
      <c r="B388" s="89"/>
      <c r="C388" s="189">
        <v>4110</v>
      </c>
      <c r="D388" s="10" t="s">
        <v>665</v>
      </c>
      <c r="E388" s="440">
        <v>689480</v>
      </c>
      <c r="F388" s="402"/>
      <c r="G388" s="402">
        <f>19150-10000</f>
        <v>9150</v>
      </c>
      <c r="H388" s="402">
        <f t="shared" si="7"/>
        <v>698630</v>
      </c>
    </row>
    <row r="389" spans="1:8" ht="19.5" customHeight="1">
      <c r="A389" s="89"/>
      <c r="B389" s="89"/>
      <c r="C389" s="222">
        <v>4120</v>
      </c>
      <c r="D389" s="199" t="s">
        <v>666</v>
      </c>
      <c r="E389" s="253">
        <v>94320</v>
      </c>
      <c r="F389" s="572"/>
      <c r="G389" s="572">
        <v>2940</v>
      </c>
      <c r="H389" s="572">
        <f t="shared" si="7"/>
        <v>97260</v>
      </c>
    </row>
    <row r="390" spans="1:8" ht="19.5" customHeight="1">
      <c r="A390" s="89"/>
      <c r="B390" s="203">
        <v>85415</v>
      </c>
      <c r="C390" s="203"/>
      <c r="D390" s="203" t="s">
        <v>933</v>
      </c>
      <c r="E390" s="252">
        <v>1938630</v>
      </c>
      <c r="F390" s="687">
        <f>F391+F393</f>
        <v>120326</v>
      </c>
      <c r="G390" s="687"/>
      <c r="H390" s="687">
        <f t="shared" si="7"/>
        <v>1818304</v>
      </c>
    </row>
    <row r="391" spans="1:8" ht="19.5" customHeight="1">
      <c r="A391" s="89"/>
      <c r="B391" s="191"/>
      <c r="C391" s="191"/>
      <c r="D391" s="496" t="s">
        <v>608</v>
      </c>
      <c r="E391" s="602">
        <v>450000</v>
      </c>
      <c r="F391" s="578">
        <f>F392</f>
        <v>57326</v>
      </c>
      <c r="G391" s="578"/>
      <c r="H391" s="578">
        <f t="shared" si="7"/>
        <v>392674</v>
      </c>
    </row>
    <row r="392" spans="1:8" ht="19.5" customHeight="1">
      <c r="A392" s="89"/>
      <c r="B392" s="89"/>
      <c r="C392" s="189">
        <v>3240</v>
      </c>
      <c r="D392" s="200" t="s">
        <v>609</v>
      </c>
      <c r="E392" s="440">
        <v>241000</v>
      </c>
      <c r="F392" s="402">
        <v>57326</v>
      </c>
      <c r="G392" s="402"/>
      <c r="H392" s="402">
        <f t="shared" si="7"/>
        <v>183674</v>
      </c>
    </row>
    <row r="393" spans="1:8" ht="19.5" customHeight="1">
      <c r="A393" s="89"/>
      <c r="B393" s="89"/>
      <c r="C393" s="191"/>
      <c r="D393" s="473" t="s">
        <v>934</v>
      </c>
      <c r="E393" s="602">
        <v>263418</v>
      </c>
      <c r="F393" s="578">
        <f>F394</f>
        <v>63000</v>
      </c>
      <c r="G393" s="578"/>
      <c r="H393" s="578">
        <f t="shared" si="7"/>
        <v>200418</v>
      </c>
    </row>
    <row r="394" spans="1:8" ht="19.5" customHeight="1">
      <c r="A394" s="89"/>
      <c r="B394" s="89"/>
      <c r="C394" s="189">
        <v>3260</v>
      </c>
      <c r="D394" s="10" t="s">
        <v>610</v>
      </c>
      <c r="E394" s="440">
        <v>263418</v>
      </c>
      <c r="F394" s="402">
        <v>63000</v>
      </c>
      <c r="G394" s="402"/>
      <c r="H394" s="402">
        <f t="shared" si="7"/>
        <v>200418</v>
      </c>
    </row>
    <row r="395" spans="1:8" ht="19.5" customHeight="1">
      <c r="A395" s="89"/>
      <c r="B395" s="203">
        <v>85417</v>
      </c>
      <c r="C395" s="193"/>
      <c r="D395" s="193" t="s">
        <v>448</v>
      </c>
      <c r="E395" s="252">
        <v>260200</v>
      </c>
      <c r="F395" s="687"/>
      <c r="G395" s="687">
        <f>G396</f>
        <v>5000</v>
      </c>
      <c r="H395" s="687">
        <f t="shared" si="7"/>
        <v>265200</v>
      </c>
    </row>
    <row r="396" spans="1:8" ht="19.5" customHeight="1">
      <c r="A396" s="89"/>
      <c r="B396" s="89"/>
      <c r="C396" s="478"/>
      <c r="D396" s="496" t="s">
        <v>828</v>
      </c>
      <c r="E396" s="602">
        <v>62000</v>
      </c>
      <c r="F396" s="578"/>
      <c r="G396" s="578">
        <f>G397</f>
        <v>5000</v>
      </c>
      <c r="H396" s="578">
        <f t="shared" si="7"/>
        <v>67000</v>
      </c>
    </row>
    <row r="397" spans="1:8" ht="19.5" customHeight="1">
      <c r="A397" s="89"/>
      <c r="B397" s="90"/>
      <c r="C397" s="189">
        <v>4260</v>
      </c>
      <c r="D397" s="189" t="s">
        <v>741</v>
      </c>
      <c r="E397" s="440">
        <v>20200</v>
      </c>
      <c r="F397" s="402"/>
      <c r="G397" s="402">
        <v>5000</v>
      </c>
      <c r="H397" s="402">
        <f t="shared" si="7"/>
        <v>25200</v>
      </c>
    </row>
    <row r="398" spans="1:8" ht="19.5" customHeight="1">
      <c r="A398" s="89"/>
      <c r="B398" s="193">
        <v>85421</v>
      </c>
      <c r="C398" s="193"/>
      <c r="D398" s="193" t="s">
        <v>449</v>
      </c>
      <c r="E398" s="361">
        <v>522000</v>
      </c>
      <c r="F398" s="402"/>
      <c r="G398" s="853">
        <f>G399</f>
        <v>1000</v>
      </c>
      <c r="H398" s="853">
        <f t="shared" si="7"/>
        <v>523000</v>
      </c>
    </row>
    <row r="399" spans="1:8" ht="19.5" customHeight="1">
      <c r="A399" s="89"/>
      <c r="B399" s="89"/>
      <c r="C399" s="191"/>
      <c r="D399" s="496" t="s">
        <v>921</v>
      </c>
      <c r="E399" s="602">
        <v>75400</v>
      </c>
      <c r="F399" s="578"/>
      <c r="G399" s="578">
        <f>G400</f>
        <v>1000</v>
      </c>
      <c r="H399" s="578">
        <f t="shared" si="7"/>
        <v>76400</v>
      </c>
    </row>
    <row r="400" spans="1:8" ht="19.5" customHeight="1">
      <c r="A400" s="89"/>
      <c r="B400" s="90"/>
      <c r="C400" s="189">
        <v>4110</v>
      </c>
      <c r="D400" s="10" t="s">
        <v>665</v>
      </c>
      <c r="E400" s="440">
        <v>66300</v>
      </c>
      <c r="F400" s="402"/>
      <c r="G400" s="402">
        <v>1000</v>
      </c>
      <c r="H400" s="402">
        <f t="shared" si="7"/>
        <v>67300</v>
      </c>
    </row>
    <row r="401" spans="1:8" ht="19.5" customHeight="1">
      <c r="A401" s="89"/>
      <c r="B401" s="193">
        <v>85446</v>
      </c>
      <c r="C401" s="193"/>
      <c r="D401" s="193" t="s">
        <v>927</v>
      </c>
      <c r="E401" s="252">
        <v>150000</v>
      </c>
      <c r="F401" s="687">
        <f>F402</f>
        <v>800</v>
      </c>
      <c r="G401" s="687">
        <f>G402</f>
        <v>800</v>
      </c>
      <c r="H401" s="687">
        <f t="shared" si="7"/>
        <v>150000</v>
      </c>
    </row>
    <row r="402" spans="1:8" ht="19.5" customHeight="1">
      <c r="A402" s="89"/>
      <c r="B402" s="191"/>
      <c r="C402" s="194"/>
      <c r="D402" s="496" t="s">
        <v>928</v>
      </c>
      <c r="E402" s="602">
        <v>150000</v>
      </c>
      <c r="F402" s="578">
        <f>SUM(F403:F404)</f>
        <v>800</v>
      </c>
      <c r="G402" s="578">
        <f>SUM(G403:G404)</f>
        <v>800</v>
      </c>
      <c r="H402" s="578">
        <f t="shared" si="7"/>
        <v>150000</v>
      </c>
    </row>
    <row r="403" spans="1:8" ht="19.5" customHeight="1">
      <c r="A403" s="89"/>
      <c r="B403" s="89"/>
      <c r="C403" s="189">
        <v>4170</v>
      </c>
      <c r="D403" s="189" t="s">
        <v>681</v>
      </c>
      <c r="E403" s="440">
        <v>11800</v>
      </c>
      <c r="F403" s="402">
        <v>800</v>
      </c>
      <c r="G403" s="402"/>
      <c r="H403" s="402">
        <f t="shared" si="7"/>
        <v>11000</v>
      </c>
    </row>
    <row r="404" spans="1:8" ht="19.5" customHeight="1">
      <c r="A404" s="89"/>
      <c r="B404" s="89"/>
      <c r="C404" s="189">
        <v>4300</v>
      </c>
      <c r="D404" s="189" t="s">
        <v>742</v>
      </c>
      <c r="E404" s="253">
        <v>80620</v>
      </c>
      <c r="F404" s="572"/>
      <c r="G404" s="572">
        <v>800</v>
      </c>
      <c r="H404" s="572">
        <f t="shared" si="7"/>
        <v>81420</v>
      </c>
    </row>
    <row r="405" spans="1:8" ht="19.5" customHeight="1">
      <c r="A405" s="89"/>
      <c r="B405" s="203">
        <v>85495</v>
      </c>
      <c r="C405" s="193"/>
      <c r="D405" s="193" t="s">
        <v>829</v>
      </c>
      <c r="E405" s="252">
        <v>6073147</v>
      </c>
      <c r="F405" s="687">
        <f>F406</f>
        <v>3000</v>
      </c>
      <c r="G405" s="687">
        <f>G406</f>
        <v>108337</v>
      </c>
      <c r="H405" s="687">
        <f t="shared" si="7"/>
        <v>6178484</v>
      </c>
    </row>
    <row r="406" spans="1:8" ht="19.5" customHeight="1">
      <c r="A406" s="89"/>
      <c r="B406" s="191"/>
      <c r="C406" s="191"/>
      <c r="D406" s="971" t="s">
        <v>652</v>
      </c>
      <c r="E406" s="854">
        <v>5873897</v>
      </c>
      <c r="F406" s="855">
        <f>F407+F410+F414</f>
        <v>3000</v>
      </c>
      <c r="G406" s="855">
        <f>G407+G410+G414</f>
        <v>108337</v>
      </c>
      <c r="H406" s="855">
        <f t="shared" si="7"/>
        <v>5979234</v>
      </c>
    </row>
    <row r="407" spans="1:8" ht="19.5" customHeight="1">
      <c r="A407" s="89"/>
      <c r="B407" s="510"/>
      <c r="C407" s="191"/>
      <c r="D407" s="972" t="s">
        <v>747</v>
      </c>
      <c r="E407" s="452">
        <v>3728438</v>
      </c>
      <c r="F407" s="850">
        <f>SUM(F408:F409)</f>
        <v>3000</v>
      </c>
      <c r="G407" s="850">
        <f>SUM(G408:G409)</f>
        <v>75543</v>
      </c>
      <c r="H407" s="850">
        <f t="shared" si="7"/>
        <v>3800981</v>
      </c>
    </row>
    <row r="408" spans="1:8" ht="19.5" customHeight="1">
      <c r="A408" s="89"/>
      <c r="B408" s="510"/>
      <c r="C408" s="188">
        <v>4010</v>
      </c>
      <c r="D408" s="188" t="s">
        <v>664</v>
      </c>
      <c r="E408" s="440">
        <v>3442321</v>
      </c>
      <c r="F408" s="402"/>
      <c r="G408" s="402">
        <f>155442-79899</f>
        <v>75543</v>
      </c>
      <c r="H408" s="402">
        <f t="shared" si="7"/>
        <v>3517864</v>
      </c>
    </row>
    <row r="409" spans="1:8" ht="19.5" customHeight="1">
      <c r="A409" s="89"/>
      <c r="B409" s="89"/>
      <c r="C409" s="222">
        <v>4170</v>
      </c>
      <c r="D409" s="222" t="s">
        <v>681</v>
      </c>
      <c r="E409" s="253">
        <v>7212</v>
      </c>
      <c r="F409" s="572">
        <v>3000</v>
      </c>
      <c r="G409" s="572"/>
      <c r="H409" s="572">
        <f t="shared" si="7"/>
        <v>4212</v>
      </c>
    </row>
    <row r="410" spans="1:8" ht="19.5" customHeight="1">
      <c r="A410" s="89"/>
      <c r="B410" s="89"/>
      <c r="C410" s="478"/>
      <c r="D410" s="495" t="s">
        <v>828</v>
      </c>
      <c r="E410" s="642">
        <v>1408469</v>
      </c>
      <c r="F410" s="852"/>
      <c r="G410" s="852">
        <f>SUM(G411:G413)</f>
        <v>10670</v>
      </c>
      <c r="H410" s="852">
        <f t="shared" si="7"/>
        <v>1419139</v>
      </c>
    </row>
    <row r="411" spans="1:8" ht="19.5" customHeight="1">
      <c r="A411" s="89"/>
      <c r="B411" s="89"/>
      <c r="C411" s="189">
        <v>4220</v>
      </c>
      <c r="D411" s="246" t="s">
        <v>611</v>
      </c>
      <c r="E411" s="440">
        <v>508560</v>
      </c>
      <c r="F411" s="402"/>
      <c r="G411" s="402">
        <f>17000-15960</f>
        <v>1040</v>
      </c>
      <c r="H411" s="402">
        <f t="shared" si="7"/>
        <v>509600</v>
      </c>
    </row>
    <row r="412" spans="1:8" ht="19.5" customHeight="1">
      <c r="A412" s="89"/>
      <c r="B412" s="89"/>
      <c r="C412" s="246">
        <v>4260</v>
      </c>
      <c r="D412" s="246" t="s">
        <v>741</v>
      </c>
      <c r="E412" s="253">
        <v>386564</v>
      </c>
      <c r="F412" s="572"/>
      <c r="G412" s="572">
        <v>8100</v>
      </c>
      <c r="H412" s="572">
        <f t="shared" si="7"/>
        <v>394664</v>
      </c>
    </row>
    <row r="413" spans="1:8" ht="19.5" customHeight="1">
      <c r="A413" s="89"/>
      <c r="B413" s="89"/>
      <c r="C413" s="246">
        <v>4440</v>
      </c>
      <c r="D413" s="246" t="s">
        <v>613</v>
      </c>
      <c r="E413" s="253">
        <v>168586</v>
      </c>
      <c r="F413" s="572"/>
      <c r="G413" s="572">
        <v>1530</v>
      </c>
      <c r="H413" s="572">
        <f t="shared" si="7"/>
        <v>170116</v>
      </c>
    </row>
    <row r="414" spans="1:8" ht="19.5" customHeight="1">
      <c r="A414" s="89"/>
      <c r="B414" s="89"/>
      <c r="C414" s="194"/>
      <c r="D414" s="496" t="s">
        <v>921</v>
      </c>
      <c r="E414" s="602">
        <v>711790</v>
      </c>
      <c r="F414" s="578"/>
      <c r="G414" s="578">
        <f>SUM(G415:G416)</f>
        <v>22124</v>
      </c>
      <c r="H414" s="578">
        <f t="shared" si="7"/>
        <v>733914</v>
      </c>
    </row>
    <row r="415" spans="1:8" ht="19.5" customHeight="1">
      <c r="A415" s="89"/>
      <c r="B415" s="89"/>
      <c r="C415" s="188">
        <v>4110</v>
      </c>
      <c r="D415" s="415" t="s">
        <v>665</v>
      </c>
      <c r="E415" s="440">
        <v>624780</v>
      </c>
      <c r="F415" s="402"/>
      <c r="G415" s="402">
        <f>34748-15110</f>
        <v>19638</v>
      </c>
      <c r="H415" s="402">
        <f t="shared" si="7"/>
        <v>644418</v>
      </c>
    </row>
    <row r="416" spans="1:8" ht="19.5" customHeight="1">
      <c r="A416" s="90"/>
      <c r="B416" s="90"/>
      <c r="C416" s="222">
        <v>4120</v>
      </c>
      <c r="D416" s="199" t="s">
        <v>666</v>
      </c>
      <c r="E416" s="253">
        <v>87010</v>
      </c>
      <c r="F416" s="572"/>
      <c r="G416" s="572">
        <f>3156-670</f>
        <v>2486</v>
      </c>
      <c r="H416" s="572">
        <f t="shared" si="7"/>
        <v>89496</v>
      </c>
    </row>
    <row r="417" spans="1:8" ht="19.5" customHeight="1">
      <c r="A417" s="412">
        <v>900</v>
      </c>
      <c r="B417" s="412"/>
      <c r="C417" s="412"/>
      <c r="D417" s="412" t="s">
        <v>751</v>
      </c>
      <c r="E417" s="390">
        <v>45516000</v>
      </c>
      <c r="F417" s="650">
        <f>F418</f>
        <v>259000</v>
      </c>
      <c r="G417" s="650">
        <f>G418</f>
        <v>259000</v>
      </c>
      <c r="H417" s="650">
        <f t="shared" si="7"/>
        <v>45516000</v>
      </c>
    </row>
    <row r="418" spans="1:8" ht="19.5" customHeight="1">
      <c r="A418" s="89"/>
      <c r="B418" s="193">
        <v>90015</v>
      </c>
      <c r="C418" s="193"/>
      <c r="D418" s="193" t="s">
        <v>600</v>
      </c>
      <c r="E418" s="601">
        <v>7460000</v>
      </c>
      <c r="F418" s="651">
        <f>F419+F421+F423</f>
        <v>259000</v>
      </c>
      <c r="G418" s="651">
        <f>G419+G421+G423</f>
        <v>259000</v>
      </c>
      <c r="H418" s="651">
        <f t="shared" si="7"/>
        <v>7460000</v>
      </c>
    </row>
    <row r="419" spans="1:8" ht="19.5" customHeight="1">
      <c r="A419" s="89"/>
      <c r="B419" s="191"/>
      <c r="C419" s="191"/>
      <c r="D419" s="495" t="s">
        <v>601</v>
      </c>
      <c r="E419" s="602">
        <v>4534000</v>
      </c>
      <c r="F419" s="578">
        <v>233000</v>
      </c>
      <c r="G419" s="578"/>
      <c r="H419" s="578">
        <f t="shared" si="7"/>
        <v>4301000</v>
      </c>
    </row>
    <row r="420" spans="1:8" ht="19.5" customHeight="1">
      <c r="A420" s="89"/>
      <c r="B420" s="191"/>
      <c r="C420" s="189">
        <v>4260</v>
      </c>
      <c r="D420" s="10" t="s">
        <v>741</v>
      </c>
      <c r="E420" s="453">
        <v>4534000</v>
      </c>
      <c r="F420" s="454">
        <v>233000</v>
      </c>
      <c r="G420" s="454"/>
      <c r="H420" s="454">
        <f t="shared" si="7"/>
        <v>4301000</v>
      </c>
    </row>
    <row r="421" spans="1:8" ht="19.5" customHeight="1">
      <c r="A421" s="89"/>
      <c r="B421" s="191"/>
      <c r="C421" s="188"/>
      <c r="D421" s="495" t="s">
        <v>602</v>
      </c>
      <c r="E421" s="602">
        <v>2850000</v>
      </c>
      <c r="F421" s="578"/>
      <c r="G421" s="578">
        <f>G422</f>
        <v>259000</v>
      </c>
      <c r="H421" s="578">
        <f t="shared" si="7"/>
        <v>3109000</v>
      </c>
    </row>
    <row r="422" spans="1:8" ht="19.5" customHeight="1">
      <c r="A422" s="89"/>
      <c r="B422" s="191"/>
      <c r="C422" s="189">
        <v>4300</v>
      </c>
      <c r="D422" s="10" t="s">
        <v>742</v>
      </c>
      <c r="E422" s="453">
        <v>2800000</v>
      </c>
      <c r="F422" s="454"/>
      <c r="G422" s="454">
        <v>259000</v>
      </c>
      <c r="H422" s="454">
        <f t="shared" si="7"/>
        <v>3059000</v>
      </c>
    </row>
    <row r="423" spans="1:8" ht="19.5" customHeight="1">
      <c r="A423" s="89"/>
      <c r="B423" s="191"/>
      <c r="C423" s="188"/>
      <c r="D423" s="496" t="s">
        <v>651</v>
      </c>
      <c r="E423" s="642">
        <v>76000</v>
      </c>
      <c r="F423" s="852">
        <f>F424</f>
        <v>26000</v>
      </c>
      <c r="G423" s="852"/>
      <c r="H423" s="578">
        <f t="shared" si="7"/>
        <v>50000</v>
      </c>
    </row>
    <row r="424" spans="1:8" ht="19.5" customHeight="1">
      <c r="A424" s="89"/>
      <c r="B424" s="89"/>
      <c r="C424" s="189">
        <v>6050</v>
      </c>
      <c r="D424" s="189" t="s">
        <v>670</v>
      </c>
      <c r="E424" s="378">
        <v>76000</v>
      </c>
      <c r="F424" s="571">
        <v>26000</v>
      </c>
      <c r="G424" s="571"/>
      <c r="H424" s="571">
        <f t="shared" si="7"/>
        <v>50000</v>
      </c>
    </row>
    <row r="425" spans="1:8" ht="25.5" customHeight="1" thickBot="1">
      <c r="A425" s="89"/>
      <c r="B425" s="89"/>
      <c r="C425" s="188"/>
      <c r="D425" s="96" t="s">
        <v>650</v>
      </c>
      <c r="E425" s="88">
        <v>5263913</v>
      </c>
      <c r="F425" s="88"/>
      <c r="G425" s="88">
        <f>G426</f>
        <v>24000</v>
      </c>
      <c r="H425" s="118">
        <f aca="true" t="shared" si="8" ref="H425:H430">E425-F425+G425</f>
        <v>5287913</v>
      </c>
    </row>
    <row r="426" spans="1:8" ht="19.5" customHeight="1" thickTop="1">
      <c r="A426" s="509">
        <v>754</v>
      </c>
      <c r="B426" s="509"/>
      <c r="C426" s="413"/>
      <c r="D426" s="229" t="s">
        <v>724</v>
      </c>
      <c r="E426" s="248"/>
      <c r="F426" s="248"/>
      <c r="G426" s="248">
        <f>G427</f>
        <v>24000</v>
      </c>
      <c r="H426" s="248">
        <f t="shared" si="8"/>
        <v>24000</v>
      </c>
    </row>
    <row r="427" spans="1:8" ht="19.5" customHeight="1">
      <c r="A427" s="204"/>
      <c r="B427" s="205">
        <v>75411</v>
      </c>
      <c r="C427" s="364"/>
      <c r="D427" s="416" t="s">
        <v>489</v>
      </c>
      <c r="E427" s="253"/>
      <c r="F427" s="572"/>
      <c r="G427" s="687">
        <f>G428</f>
        <v>24000</v>
      </c>
      <c r="H427" s="832">
        <f t="shared" si="8"/>
        <v>24000</v>
      </c>
    </row>
    <row r="428" spans="1:8" ht="19.5" customHeight="1">
      <c r="A428" s="89"/>
      <c r="B428" s="89"/>
      <c r="C428" s="188"/>
      <c r="D428" s="496" t="s">
        <v>649</v>
      </c>
      <c r="E428" s="575"/>
      <c r="F428" s="576"/>
      <c r="G428" s="850">
        <f>G429</f>
        <v>24000</v>
      </c>
      <c r="H428" s="851">
        <f t="shared" si="8"/>
        <v>24000</v>
      </c>
    </row>
    <row r="429" spans="1:8" ht="18" customHeight="1">
      <c r="A429" s="89"/>
      <c r="B429" s="89"/>
      <c r="C429" s="188"/>
      <c r="D429" s="845" t="s">
        <v>208</v>
      </c>
      <c r="E429" s="846"/>
      <c r="F429" s="847"/>
      <c r="G429" s="847">
        <f>G430</f>
        <v>24000</v>
      </c>
      <c r="H429" s="847">
        <f t="shared" si="8"/>
        <v>24000</v>
      </c>
    </row>
    <row r="430" spans="1:8" ht="21.75" customHeight="1">
      <c r="A430" s="89"/>
      <c r="B430" s="89"/>
      <c r="C430" s="189">
        <v>6060</v>
      </c>
      <c r="D430" s="10" t="s">
        <v>671</v>
      </c>
      <c r="E430" s="848"/>
      <c r="F430" s="849"/>
      <c r="G430" s="849">
        <v>24000</v>
      </c>
      <c r="H430" s="402">
        <f t="shared" si="8"/>
        <v>24000</v>
      </c>
    </row>
    <row r="431" spans="1:12" ht="21" customHeight="1" thickBot="1">
      <c r="A431" s="122"/>
      <c r="B431" s="121"/>
      <c r="C431" s="121"/>
      <c r="D431" s="148" t="s">
        <v>802</v>
      </c>
      <c r="E431" s="140">
        <v>79702382</v>
      </c>
      <c r="F431" s="140">
        <f>F432+F461</f>
        <v>38400</v>
      </c>
      <c r="G431" s="140">
        <f>G432+G461</f>
        <v>719411</v>
      </c>
      <c r="H431" s="140">
        <f>E431-F431+G431</f>
        <v>80383393</v>
      </c>
      <c r="I431" s="8"/>
      <c r="J431" s="8"/>
      <c r="L431" s="8"/>
    </row>
    <row r="432" spans="1:12" ht="18" customHeight="1" thickBot="1">
      <c r="A432" s="86"/>
      <c r="B432" s="86"/>
      <c r="C432" s="86"/>
      <c r="D432" s="130" t="s">
        <v>830</v>
      </c>
      <c r="E432" s="126">
        <v>58419064</v>
      </c>
      <c r="F432" s="126">
        <f>F433+F437+F442+F448</f>
        <v>9795</v>
      </c>
      <c r="G432" s="126">
        <f>G433+G437+G442+G448</f>
        <v>538820</v>
      </c>
      <c r="H432" s="844">
        <f>E432+G432-F432</f>
        <v>58948089</v>
      </c>
      <c r="I432" s="8"/>
      <c r="J432" s="8"/>
      <c r="L432" s="8"/>
    </row>
    <row r="433" spans="1:12" s="11" customFormat="1" ht="27" customHeight="1" thickTop="1">
      <c r="A433" s="229">
        <v>751</v>
      </c>
      <c r="B433" s="229"/>
      <c r="C433" s="229"/>
      <c r="D433" s="229" t="s">
        <v>754</v>
      </c>
      <c r="E433" s="248">
        <v>850166</v>
      </c>
      <c r="F433" s="248"/>
      <c r="G433" s="248">
        <f>G434</f>
        <v>483820</v>
      </c>
      <c r="H433" s="248">
        <f>E433+G433-F433</f>
        <v>1333986</v>
      </c>
      <c r="I433" s="12"/>
      <c r="J433" s="12"/>
      <c r="L433" s="12"/>
    </row>
    <row r="434" spans="1:12" s="11" customFormat="1" ht="18.75" customHeight="1">
      <c r="A434" s="285"/>
      <c r="B434" s="223">
        <v>75107</v>
      </c>
      <c r="C434" s="286"/>
      <c r="D434" s="286" t="s">
        <v>490</v>
      </c>
      <c r="E434" s="240">
        <v>315306</v>
      </c>
      <c r="F434" s="240"/>
      <c r="G434" s="240">
        <f>G435</f>
        <v>483820</v>
      </c>
      <c r="H434" s="240">
        <f>E434+G434-F434</f>
        <v>799126</v>
      </c>
      <c r="I434" s="12"/>
      <c r="J434" s="12"/>
      <c r="L434" s="12"/>
    </row>
    <row r="435" spans="1:12" s="11" customFormat="1" ht="18.75" customHeight="1">
      <c r="A435" s="191"/>
      <c r="B435" s="194"/>
      <c r="C435" s="194"/>
      <c r="D435" s="195" t="s">
        <v>330</v>
      </c>
      <c r="E435" s="219">
        <v>315306</v>
      </c>
      <c r="F435" s="219"/>
      <c r="G435" s="219">
        <f>G436</f>
        <v>483820</v>
      </c>
      <c r="H435" s="219">
        <f>E435+G435-F435</f>
        <v>799126</v>
      </c>
      <c r="I435" s="12"/>
      <c r="J435" s="12"/>
      <c r="L435" s="12"/>
    </row>
    <row r="436" spans="1:12" s="11" customFormat="1" ht="18.75" customHeight="1">
      <c r="A436" s="191"/>
      <c r="B436" s="191"/>
      <c r="C436" s="189">
        <v>3030</v>
      </c>
      <c r="D436" s="233" t="s">
        <v>488</v>
      </c>
      <c r="E436" s="275"/>
      <c r="F436" s="275"/>
      <c r="G436" s="275">
        <f>241900+241920</f>
        <v>483820</v>
      </c>
      <c r="H436" s="275">
        <f aca="true" t="shared" si="9" ref="H436:H443">E436-F436+G436</f>
        <v>483820</v>
      </c>
      <c r="I436" s="12"/>
      <c r="J436" s="12"/>
      <c r="L436" s="12"/>
    </row>
    <row r="437" spans="1:12" s="11" customFormat="1" ht="17.25" customHeight="1">
      <c r="A437" s="368">
        <v>754</v>
      </c>
      <c r="B437" s="412"/>
      <c r="C437" s="192"/>
      <c r="D437" s="238" t="s">
        <v>724</v>
      </c>
      <c r="E437" s="629">
        <v>1800</v>
      </c>
      <c r="F437" s="629">
        <f>F438</f>
        <v>200</v>
      </c>
      <c r="G437" s="629">
        <f>G438</f>
        <v>200</v>
      </c>
      <c r="H437" s="629">
        <f t="shared" si="9"/>
        <v>1800</v>
      </c>
      <c r="I437" s="12"/>
      <c r="J437" s="12"/>
      <c r="L437" s="12"/>
    </row>
    <row r="438" spans="1:12" s="11" customFormat="1" ht="17.25" customHeight="1">
      <c r="A438" s="194"/>
      <c r="B438" s="481">
        <v>75414</v>
      </c>
      <c r="C438" s="431"/>
      <c r="D438" s="429" t="s">
        <v>672</v>
      </c>
      <c r="E438" s="414">
        <v>1800</v>
      </c>
      <c r="F438" s="414">
        <f>F439</f>
        <v>200</v>
      </c>
      <c r="G438" s="414">
        <f>G439</f>
        <v>200</v>
      </c>
      <c r="H438" s="414">
        <f t="shared" si="9"/>
        <v>1800</v>
      </c>
      <c r="I438" s="12"/>
      <c r="J438" s="12"/>
      <c r="L438" s="12"/>
    </row>
    <row r="439" spans="1:12" s="11" customFormat="1" ht="18.75" customHeight="1">
      <c r="A439" s="191"/>
      <c r="B439" s="194"/>
      <c r="C439" s="191"/>
      <c r="D439" s="495" t="s">
        <v>673</v>
      </c>
      <c r="E439" s="493">
        <v>1800</v>
      </c>
      <c r="F439" s="493">
        <f>F440</f>
        <v>200</v>
      </c>
      <c r="G439" s="493">
        <f>G441</f>
        <v>200</v>
      </c>
      <c r="H439" s="493">
        <f t="shared" si="9"/>
        <v>1800</v>
      </c>
      <c r="I439" s="12"/>
      <c r="J439" s="12"/>
      <c r="L439" s="12"/>
    </row>
    <row r="440" spans="1:12" s="11" customFormat="1" ht="18.75" customHeight="1">
      <c r="A440" s="191"/>
      <c r="B440" s="191"/>
      <c r="C440" s="189">
        <v>4210</v>
      </c>
      <c r="D440" s="189" t="s">
        <v>674</v>
      </c>
      <c r="E440" s="270">
        <v>200</v>
      </c>
      <c r="F440" s="270">
        <v>200</v>
      </c>
      <c r="G440" s="270"/>
      <c r="H440" s="270">
        <f t="shared" si="9"/>
        <v>0</v>
      </c>
      <c r="I440" s="12"/>
      <c r="J440" s="12"/>
      <c r="L440" s="12"/>
    </row>
    <row r="441" spans="1:12" s="11" customFormat="1" ht="17.25" customHeight="1">
      <c r="A441" s="201"/>
      <c r="B441" s="201"/>
      <c r="C441" s="222">
        <v>4300</v>
      </c>
      <c r="D441" s="222" t="s">
        <v>742</v>
      </c>
      <c r="E441" s="298">
        <v>1600</v>
      </c>
      <c r="F441" s="298"/>
      <c r="G441" s="298">
        <v>200</v>
      </c>
      <c r="H441" s="298">
        <f t="shared" si="9"/>
        <v>1800</v>
      </c>
      <c r="I441" s="12"/>
      <c r="J441" s="12"/>
      <c r="L441" s="12"/>
    </row>
    <row r="442" spans="1:12" s="11" customFormat="1" ht="18" customHeight="1">
      <c r="A442" s="413">
        <v>851</v>
      </c>
      <c r="B442" s="509"/>
      <c r="C442" s="509"/>
      <c r="D442" s="509" t="s">
        <v>877</v>
      </c>
      <c r="E442" s="628"/>
      <c r="F442" s="628"/>
      <c r="G442" s="369">
        <f>G443</f>
        <v>1605</v>
      </c>
      <c r="H442" s="839">
        <f t="shared" si="9"/>
        <v>1605</v>
      </c>
      <c r="I442" s="12"/>
      <c r="J442" s="12"/>
      <c r="L442" s="12"/>
    </row>
    <row r="443" spans="1:12" s="11" customFormat="1" ht="17.25" customHeight="1">
      <c r="A443" s="285"/>
      <c r="B443" s="223">
        <v>85195</v>
      </c>
      <c r="C443" s="286"/>
      <c r="D443" s="286" t="s">
        <v>829</v>
      </c>
      <c r="E443" s="627"/>
      <c r="F443" s="627"/>
      <c r="G443" s="838">
        <f>G444</f>
        <v>1605</v>
      </c>
      <c r="H443" s="837">
        <f t="shared" si="9"/>
        <v>1605</v>
      </c>
      <c r="I443" s="12"/>
      <c r="J443" s="12"/>
      <c r="L443" s="12"/>
    </row>
    <row r="444" spans="1:12" s="11" customFormat="1" ht="18.75" customHeight="1">
      <c r="A444" s="287"/>
      <c r="B444" s="288"/>
      <c r="C444" s="289"/>
      <c r="D444" s="230" t="s">
        <v>648</v>
      </c>
      <c r="E444" s="499"/>
      <c r="F444" s="499"/>
      <c r="G444" s="269">
        <f>SUM(G445:G447)</f>
        <v>1605</v>
      </c>
      <c r="H444" s="269">
        <f>E444-F444+G444</f>
        <v>1605</v>
      </c>
      <c r="I444" s="12"/>
      <c r="J444" s="12"/>
      <c r="L444" s="12"/>
    </row>
    <row r="445" spans="1:12" s="11" customFormat="1" ht="17.25" customHeight="1">
      <c r="A445" s="191"/>
      <c r="B445" s="191"/>
      <c r="C445" s="189">
        <v>4010</v>
      </c>
      <c r="D445" s="189" t="s">
        <v>664</v>
      </c>
      <c r="E445" s="275"/>
      <c r="F445" s="275"/>
      <c r="G445" s="275">
        <v>1341</v>
      </c>
      <c r="H445" s="275">
        <f>E445-F445+G445</f>
        <v>1341</v>
      </c>
      <c r="I445" s="12"/>
      <c r="J445" s="12"/>
      <c r="L445" s="12"/>
    </row>
    <row r="446" spans="1:12" s="11" customFormat="1" ht="17.25" customHeight="1">
      <c r="A446" s="191"/>
      <c r="B446" s="191"/>
      <c r="C446" s="189">
        <v>4110</v>
      </c>
      <c r="D446" s="10" t="s">
        <v>665</v>
      </c>
      <c r="E446" s="275"/>
      <c r="F446" s="275"/>
      <c r="G446" s="275">
        <v>231</v>
      </c>
      <c r="H446" s="275">
        <f>E446-F446+G446</f>
        <v>231</v>
      </c>
      <c r="I446" s="12"/>
      <c r="J446" s="12"/>
      <c r="L446" s="12"/>
    </row>
    <row r="447" spans="1:12" s="11" customFormat="1" ht="16.5" customHeight="1">
      <c r="A447" s="201"/>
      <c r="B447" s="201"/>
      <c r="C447" s="189">
        <v>4120</v>
      </c>
      <c r="D447" s="199" t="s">
        <v>666</v>
      </c>
      <c r="E447" s="275"/>
      <c r="F447" s="275"/>
      <c r="G447" s="275">
        <v>33</v>
      </c>
      <c r="H447" s="275">
        <f>E447-F447+G447</f>
        <v>33</v>
      </c>
      <c r="I447" s="12"/>
      <c r="J447" s="12"/>
      <c r="L447" s="12"/>
    </row>
    <row r="448" spans="1:12" s="11" customFormat="1" ht="18.75" customHeight="1">
      <c r="A448" s="412">
        <v>852</v>
      </c>
      <c r="B448" s="412"/>
      <c r="C448" s="412"/>
      <c r="D448" s="412" t="s">
        <v>746</v>
      </c>
      <c r="E448" s="369">
        <v>55966200</v>
      </c>
      <c r="F448" s="369">
        <f>F449+F454+F458</f>
        <v>9595</v>
      </c>
      <c r="G448" s="369">
        <f>G449+G454+G458</f>
        <v>53195</v>
      </c>
      <c r="H448" s="369">
        <f>E448-F448+G448</f>
        <v>56009800</v>
      </c>
      <c r="I448" s="12"/>
      <c r="J448" s="12"/>
      <c r="L448" s="12"/>
    </row>
    <row r="449" spans="1:12" s="11" customFormat="1" ht="26.25" customHeight="1">
      <c r="A449" s="191"/>
      <c r="B449" s="193">
        <v>85212</v>
      </c>
      <c r="C449" s="205"/>
      <c r="D449" s="429" t="s">
        <v>561</v>
      </c>
      <c r="E449" s="414">
        <v>45881000</v>
      </c>
      <c r="F449" s="414">
        <f>F450</f>
        <v>9400</v>
      </c>
      <c r="G449" s="414">
        <f>G450</f>
        <v>9400</v>
      </c>
      <c r="H449" s="414">
        <f aca="true" t="shared" si="10" ref="H449:H460">E449-F449+G449</f>
        <v>45881000</v>
      </c>
      <c r="I449" s="12"/>
      <c r="J449" s="12"/>
      <c r="L449" s="12"/>
    </row>
    <row r="450" spans="1:12" s="11" customFormat="1" ht="16.5" customHeight="1">
      <c r="A450" s="191"/>
      <c r="B450" s="191"/>
      <c r="C450" s="478"/>
      <c r="D450" s="496" t="s">
        <v>828</v>
      </c>
      <c r="E450" s="269">
        <v>361039</v>
      </c>
      <c r="F450" s="269">
        <f>SUM(F451:F453)</f>
        <v>9400</v>
      </c>
      <c r="G450" s="269">
        <f>SUM(G451:G453)</f>
        <v>9400</v>
      </c>
      <c r="H450" s="269">
        <f t="shared" si="10"/>
        <v>361039</v>
      </c>
      <c r="I450" s="12"/>
      <c r="J450" s="12"/>
      <c r="L450" s="12"/>
    </row>
    <row r="451" spans="1:12" s="11" customFormat="1" ht="17.25" customHeight="1">
      <c r="A451" s="191"/>
      <c r="B451" s="191"/>
      <c r="C451" s="188">
        <v>4260</v>
      </c>
      <c r="D451" s="188" t="s">
        <v>741</v>
      </c>
      <c r="E451" s="270">
        <v>20000</v>
      </c>
      <c r="F451" s="270"/>
      <c r="G451" s="270">
        <v>9000</v>
      </c>
      <c r="H451" s="270">
        <f t="shared" si="10"/>
        <v>29000</v>
      </c>
      <c r="I451" s="12"/>
      <c r="J451" s="12"/>
      <c r="L451" s="12"/>
    </row>
    <row r="452" spans="1:12" s="11" customFormat="1" ht="18" customHeight="1">
      <c r="A452" s="191"/>
      <c r="B452" s="191"/>
      <c r="C452" s="478">
        <v>4300</v>
      </c>
      <c r="D452" s="478" t="s">
        <v>742</v>
      </c>
      <c r="E452" s="298">
        <v>185450</v>
      </c>
      <c r="F452" s="298">
        <v>9400</v>
      </c>
      <c r="G452" s="298"/>
      <c r="H452" s="298">
        <f t="shared" si="10"/>
        <v>176050</v>
      </c>
      <c r="I452" s="12"/>
      <c r="J452" s="12"/>
      <c r="L452" s="12"/>
    </row>
    <row r="453" spans="1:12" s="11" customFormat="1" ht="17.25" customHeight="1">
      <c r="A453" s="191"/>
      <c r="B453" s="201"/>
      <c r="C453" s="222">
        <v>4350</v>
      </c>
      <c r="D453" s="222" t="s">
        <v>589</v>
      </c>
      <c r="E453" s="298">
        <v>900</v>
      </c>
      <c r="F453" s="298"/>
      <c r="G453" s="298">
        <v>400</v>
      </c>
      <c r="H453" s="298">
        <f t="shared" si="10"/>
        <v>1300</v>
      </c>
      <c r="I453" s="12"/>
      <c r="J453" s="12"/>
      <c r="L453" s="12"/>
    </row>
    <row r="454" spans="1:12" s="11" customFormat="1" ht="24" customHeight="1">
      <c r="A454" s="191"/>
      <c r="B454" s="205">
        <v>85214</v>
      </c>
      <c r="C454" s="205"/>
      <c r="D454" s="429" t="s">
        <v>590</v>
      </c>
      <c r="E454" s="414">
        <v>7704200</v>
      </c>
      <c r="F454" s="414">
        <f>F455</f>
        <v>195</v>
      </c>
      <c r="G454" s="414">
        <f>G455</f>
        <v>195</v>
      </c>
      <c r="H454" s="432">
        <f t="shared" si="10"/>
        <v>7704200</v>
      </c>
      <c r="I454" s="12"/>
      <c r="J454" s="12"/>
      <c r="L454" s="12"/>
    </row>
    <row r="455" spans="1:12" s="11" customFormat="1" ht="17.25" customHeight="1">
      <c r="A455" s="191"/>
      <c r="B455" s="194"/>
      <c r="C455" s="194"/>
      <c r="D455" s="496" t="s">
        <v>591</v>
      </c>
      <c r="E455" s="470">
        <v>7704200</v>
      </c>
      <c r="F455" s="470">
        <f>SUM(F456:F457)</f>
        <v>195</v>
      </c>
      <c r="G455" s="470">
        <f>SUM(G456:G457)</f>
        <v>195</v>
      </c>
      <c r="H455" s="470">
        <f t="shared" si="10"/>
        <v>7704200</v>
      </c>
      <c r="I455" s="12"/>
      <c r="J455" s="12"/>
      <c r="L455" s="12"/>
    </row>
    <row r="456" spans="1:12" s="11" customFormat="1" ht="16.5" customHeight="1">
      <c r="A456" s="191"/>
      <c r="B456" s="191"/>
      <c r="C456" s="189">
        <v>3110</v>
      </c>
      <c r="D456" s="189" t="s">
        <v>729</v>
      </c>
      <c r="E456" s="275">
        <v>7702970</v>
      </c>
      <c r="F456" s="275">
        <v>195</v>
      </c>
      <c r="G456" s="275"/>
      <c r="H456" s="275">
        <f t="shared" si="10"/>
        <v>7702775</v>
      </c>
      <c r="I456" s="12"/>
      <c r="J456" s="12"/>
      <c r="L456" s="12"/>
    </row>
    <row r="457" spans="1:12" s="11" customFormat="1" ht="16.5" customHeight="1">
      <c r="A457" s="191"/>
      <c r="B457" s="191"/>
      <c r="C457" s="222">
        <v>4110</v>
      </c>
      <c r="D457" s="199" t="s">
        <v>665</v>
      </c>
      <c r="E457" s="298">
        <v>1230</v>
      </c>
      <c r="F457" s="298"/>
      <c r="G457" s="298">
        <v>195</v>
      </c>
      <c r="H457" s="275">
        <f t="shared" si="10"/>
        <v>1425</v>
      </c>
      <c r="I457" s="12"/>
      <c r="J457" s="12"/>
      <c r="L457" s="12"/>
    </row>
    <row r="458" spans="1:12" s="11" customFormat="1" ht="17.25" customHeight="1">
      <c r="A458" s="191"/>
      <c r="B458" s="203">
        <v>85278</v>
      </c>
      <c r="C458" s="203"/>
      <c r="D458" s="383" t="s">
        <v>727</v>
      </c>
      <c r="E458" s="414">
        <v>82000</v>
      </c>
      <c r="F458" s="414"/>
      <c r="G458" s="414">
        <v>43600</v>
      </c>
      <c r="H458" s="432">
        <f t="shared" si="10"/>
        <v>125600</v>
      </c>
      <c r="I458" s="12"/>
      <c r="J458" s="12"/>
      <c r="L458" s="12"/>
    </row>
    <row r="459" spans="1:12" s="11" customFormat="1" ht="18" customHeight="1">
      <c r="A459" s="191"/>
      <c r="B459" s="191"/>
      <c r="C459" s="194"/>
      <c r="D459" s="496" t="s">
        <v>728</v>
      </c>
      <c r="E459" s="269">
        <v>82000</v>
      </c>
      <c r="F459" s="269"/>
      <c r="G459" s="269">
        <v>43600</v>
      </c>
      <c r="H459" s="269">
        <f t="shared" si="10"/>
        <v>125600</v>
      </c>
      <c r="I459" s="12"/>
      <c r="J459" s="12"/>
      <c r="L459" s="12"/>
    </row>
    <row r="460" spans="1:12" s="11" customFormat="1" ht="17.25" customHeight="1">
      <c r="A460" s="191"/>
      <c r="B460" s="191"/>
      <c r="C460" s="189">
        <v>3110</v>
      </c>
      <c r="D460" s="233" t="s">
        <v>729</v>
      </c>
      <c r="E460" s="275">
        <v>82000</v>
      </c>
      <c r="F460" s="275"/>
      <c r="G460" s="275">
        <v>43600</v>
      </c>
      <c r="H460" s="275">
        <f t="shared" si="10"/>
        <v>125600</v>
      </c>
      <c r="I460" s="12"/>
      <c r="J460" s="12"/>
      <c r="L460" s="12"/>
    </row>
    <row r="461" spans="1:8" ht="27" customHeight="1" thickBot="1">
      <c r="A461" s="201"/>
      <c r="B461" s="201"/>
      <c r="C461" s="201"/>
      <c r="D461" s="97" t="s">
        <v>831</v>
      </c>
      <c r="E461" s="97">
        <v>21283318</v>
      </c>
      <c r="F461" s="97">
        <f>F462+F469+F475</f>
        <v>28605</v>
      </c>
      <c r="G461" s="97">
        <f>G462+G469+G475</f>
        <v>180591</v>
      </c>
      <c r="H461" s="97">
        <f>E461-F461+G461</f>
        <v>21435304</v>
      </c>
    </row>
    <row r="462" spans="1:8" ht="18" customHeight="1" thickTop="1">
      <c r="A462" s="385" t="s">
        <v>434</v>
      </c>
      <c r="B462" s="192"/>
      <c r="C462" s="192"/>
      <c r="D462" s="192" t="s">
        <v>496</v>
      </c>
      <c r="E462" s="524">
        <v>930003</v>
      </c>
      <c r="F462" s="524">
        <f>F463</f>
        <v>28605</v>
      </c>
      <c r="G462" s="524">
        <f>G463</f>
        <v>28605</v>
      </c>
      <c r="H462" s="561">
        <f>E462-F462+G462</f>
        <v>930003</v>
      </c>
    </row>
    <row r="463" spans="1:8" ht="18" customHeight="1">
      <c r="A463" s="194"/>
      <c r="B463" s="203">
        <v>70005</v>
      </c>
      <c r="C463" s="203"/>
      <c r="D463" s="383" t="s">
        <v>856</v>
      </c>
      <c r="E463" s="522">
        <v>930003</v>
      </c>
      <c r="F463" s="522">
        <f>F464</f>
        <v>28605</v>
      </c>
      <c r="G463" s="522">
        <f>G464</f>
        <v>28605</v>
      </c>
      <c r="H463" s="562">
        <f aca="true" t="shared" si="11" ref="H463:H471">E463-F463+G463</f>
        <v>930003</v>
      </c>
    </row>
    <row r="464" spans="1:8" ht="18" customHeight="1">
      <c r="A464" s="191"/>
      <c r="B464" s="191"/>
      <c r="C464" s="194"/>
      <c r="D464" s="384" t="s">
        <v>767</v>
      </c>
      <c r="E464" s="276">
        <v>930003</v>
      </c>
      <c r="F464" s="276">
        <f>F465</f>
        <v>28605</v>
      </c>
      <c r="G464" s="276">
        <f>G466+G467+G468</f>
        <v>28605</v>
      </c>
      <c r="H464" s="521">
        <f t="shared" si="11"/>
        <v>930003</v>
      </c>
    </row>
    <row r="465" spans="1:8" ht="18" customHeight="1">
      <c r="A465" s="191"/>
      <c r="B465" s="191"/>
      <c r="C465" s="189">
        <v>4300</v>
      </c>
      <c r="D465" s="444" t="s">
        <v>742</v>
      </c>
      <c r="E465" s="560">
        <v>91934</v>
      </c>
      <c r="F465" s="560">
        <v>28605</v>
      </c>
      <c r="G465" s="560"/>
      <c r="H465" s="92">
        <f t="shared" si="11"/>
        <v>63329</v>
      </c>
    </row>
    <row r="466" spans="1:8" ht="18" customHeight="1">
      <c r="A466" s="191"/>
      <c r="B466" s="191"/>
      <c r="C466" s="222">
        <v>4480</v>
      </c>
      <c r="D466" s="377" t="s">
        <v>745</v>
      </c>
      <c r="E466" s="377"/>
      <c r="F466" s="377"/>
      <c r="G466" s="377">
        <v>4000</v>
      </c>
      <c r="H466" s="377">
        <f t="shared" si="11"/>
        <v>4000</v>
      </c>
    </row>
    <row r="467" spans="1:8" ht="18" customHeight="1">
      <c r="A467" s="191"/>
      <c r="B467" s="191"/>
      <c r="C467" s="222">
        <v>4590</v>
      </c>
      <c r="D467" s="485" t="s">
        <v>744</v>
      </c>
      <c r="E467" s="377">
        <v>811128</v>
      </c>
      <c r="F467" s="377"/>
      <c r="G467" s="377">
        <v>24046</v>
      </c>
      <c r="H467" s="377">
        <f t="shared" si="11"/>
        <v>835174</v>
      </c>
    </row>
    <row r="468" spans="1:8" ht="16.5" customHeight="1">
      <c r="A468" s="201"/>
      <c r="B468" s="201"/>
      <c r="C468" s="222">
        <v>4610</v>
      </c>
      <c r="D468" s="445" t="s">
        <v>743</v>
      </c>
      <c r="E468" s="377">
        <v>26941</v>
      </c>
      <c r="F468" s="377"/>
      <c r="G468" s="377">
        <v>559</v>
      </c>
      <c r="H468" s="377">
        <f t="shared" si="11"/>
        <v>27500</v>
      </c>
    </row>
    <row r="469" spans="1:8" ht="18" customHeight="1">
      <c r="A469" s="211">
        <v>754</v>
      </c>
      <c r="B469" s="192"/>
      <c r="C469" s="192"/>
      <c r="D469" s="238" t="s">
        <v>724</v>
      </c>
      <c r="E469" s="98">
        <v>12853000</v>
      </c>
      <c r="F469" s="98"/>
      <c r="G469" s="98">
        <f>G470</f>
        <v>142000</v>
      </c>
      <c r="H469" s="98">
        <f t="shared" si="11"/>
        <v>12995000</v>
      </c>
    </row>
    <row r="470" spans="1:8" ht="16.5" customHeight="1">
      <c r="A470" s="191"/>
      <c r="B470" s="193">
        <v>75411</v>
      </c>
      <c r="C470" s="193"/>
      <c r="D470" s="481" t="s">
        <v>489</v>
      </c>
      <c r="E470" s="596">
        <v>12841000</v>
      </c>
      <c r="F470" s="92"/>
      <c r="G470" s="596">
        <f>G471+G473</f>
        <v>142000</v>
      </c>
      <c r="H470" s="596">
        <f t="shared" si="11"/>
        <v>12983000</v>
      </c>
    </row>
    <row r="471" spans="1:8" ht="16.5" customHeight="1">
      <c r="A471" s="191"/>
      <c r="B471" s="191"/>
      <c r="C471" s="478"/>
      <c r="D471" s="384" t="s">
        <v>828</v>
      </c>
      <c r="E471" s="521">
        <v>3007700</v>
      </c>
      <c r="F471" s="595"/>
      <c r="G471" s="521">
        <f>G472</f>
        <v>42000</v>
      </c>
      <c r="H471" s="521">
        <f t="shared" si="11"/>
        <v>3049700</v>
      </c>
    </row>
    <row r="472" spans="1:8" ht="16.5" customHeight="1">
      <c r="A472" s="191"/>
      <c r="B472" s="191"/>
      <c r="C472" s="189">
        <v>4210</v>
      </c>
      <c r="D472" s="497" t="s">
        <v>674</v>
      </c>
      <c r="E472" s="92">
        <v>407300</v>
      </c>
      <c r="F472" s="92"/>
      <c r="G472" s="92">
        <v>42000</v>
      </c>
      <c r="H472" s="92">
        <f>E472-F472+G472</f>
        <v>449300</v>
      </c>
    </row>
    <row r="473" spans="1:8" ht="16.5" customHeight="1">
      <c r="A473" s="191"/>
      <c r="B473" s="191"/>
      <c r="C473" s="191"/>
      <c r="D473" s="384" t="s">
        <v>647</v>
      </c>
      <c r="E473" s="521">
        <f>E474</f>
        <v>250000</v>
      </c>
      <c r="F473" s="521"/>
      <c r="G473" s="521">
        <f>G474</f>
        <v>100000</v>
      </c>
      <c r="H473" s="521">
        <f>E473-F473+G473</f>
        <v>350000</v>
      </c>
    </row>
    <row r="474" spans="1:8" ht="16.5" customHeight="1">
      <c r="A474" s="191"/>
      <c r="B474" s="191"/>
      <c r="C474" s="189">
        <v>6060</v>
      </c>
      <c r="D474" s="10" t="s">
        <v>671</v>
      </c>
      <c r="E474" s="92">
        <v>250000</v>
      </c>
      <c r="F474" s="92"/>
      <c r="G474" s="92">
        <v>100000</v>
      </c>
      <c r="H474" s="92">
        <f>E474-F474+G474</f>
        <v>350000</v>
      </c>
    </row>
    <row r="475" spans="1:12" s="11" customFormat="1" ht="18" customHeight="1">
      <c r="A475" s="563">
        <v>853</v>
      </c>
      <c r="B475" s="412"/>
      <c r="C475" s="192"/>
      <c r="D475" s="192" t="s">
        <v>752</v>
      </c>
      <c r="E475" s="248">
        <v>561154</v>
      </c>
      <c r="F475" s="248"/>
      <c r="G475" s="248">
        <f>G476</f>
        <v>9986</v>
      </c>
      <c r="H475" s="248">
        <f>E475-F475+G475</f>
        <v>571140</v>
      </c>
      <c r="I475" s="12"/>
      <c r="J475" s="12"/>
      <c r="L475" s="12"/>
    </row>
    <row r="476" spans="1:12" ht="18" customHeight="1">
      <c r="A476" s="194"/>
      <c r="B476" s="203">
        <v>85334</v>
      </c>
      <c r="C476" s="203"/>
      <c r="D476" s="383" t="s">
        <v>753</v>
      </c>
      <c r="E476" s="196">
        <v>35154</v>
      </c>
      <c r="F476" s="196"/>
      <c r="G476" s="196">
        <f>G477</f>
        <v>9986</v>
      </c>
      <c r="H476" s="196">
        <f>E476+G476-F476</f>
        <v>45140</v>
      </c>
      <c r="I476" s="8"/>
      <c r="J476" s="8"/>
      <c r="L476" s="8"/>
    </row>
    <row r="477" spans="1:12" ht="17.25" customHeight="1">
      <c r="A477" s="191"/>
      <c r="B477" s="191"/>
      <c r="C477" s="188"/>
      <c r="D477" s="446" t="s">
        <v>331</v>
      </c>
      <c r="E477" s="197">
        <v>35154</v>
      </c>
      <c r="F477" s="197"/>
      <c r="G477" s="197">
        <f>G478</f>
        <v>9986</v>
      </c>
      <c r="H477" s="197">
        <f>E477+G477-F477</f>
        <v>45140</v>
      </c>
      <c r="I477" s="8"/>
      <c r="J477" s="8"/>
      <c r="L477" s="8"/>
    </row>
    <row r="478" spans="1:8" ht="16.5" customHeight="1">
      <c r="A478" s="381"/>
      <c r="B478" s="381"/>
      <c r="C478" s="430">
        <v>3110</v>
      </c>
      <c r="D478" s="200" t="s">
        <v>729</v>
      </c>
      <c r="E478" s="198">
        <v>28392</v>
      </c>
      <c r="F478" s="198"/>
      <c r="G478" s="198">
        <v>9986</v>
      </c>
      <c r="H478" s="198">
        <f>E478+G478-F478</f>
        <v>38378</v>
      </c>
    </row>
    <row r="479" ht="19.5" customHeight="1"/>
    <row r="480" ht="18" customHeight="1"/>
    <row r="481" spans="3:5" ht="19.5" customHeight="1">
      <c r="C481" s="296" t="s">
        <v>24</v>
      </c>
      <c r="D481" s="296"/>
      <c r="E481" s="296" t="s">
        <v>22</v>
      </c>
    </row>
    <row r="482" spans="3:12" ht="21" customHeight="1">
      <c r="C482" s="297" t="s">
        <v>25</v>
      </c>
      <c r="D482" s="296"/>
      <c r="E482" s="296" t="s">
        <v>26</v>
      </c>
      <c r="I482" s="8"/>
      <c r="J482" s="8"/>
      <c r="L482" s="8"/>
    </row>
    <row r="483" spans="3:12" ht="21" customHeight="1">
      <c r="C483" s="409" t="s">
        <v>23</v>
      </c>
      <c r="D483" s="231"/>
      <c r="E483" s="231" t="s">
        <v>27</v>
      </c>
      <c r="I483" s="8"/>
      <c r="J483" s="8"/>
      <c r="L483" s="8"/>
    </row>
    <row r="484" ht="37.5" customHeight="1"/>
    <row r="485" ht="19.5" customHeight="1"/>
    <row r="486" ht="19.5" customHeight="1"/>
    <row r="487" ht="18" customHeight="1"/>
    <row r="488" ht="19.5" customHeight="1"/>
    <row r="489" spans="9:12" ht="21" customHeight="1">
      <c r="I489" s="8"/>
      <c r="J489" s="8"/>
      <c r="L489" s="8"/>
    </row>
    <row r="490" ht="18" customHeight="1"/>
    <row r="491" ht="26.25" customHeight="1"/>
    <row r="492" spans="1:12" s="11" customFormat="1" ht="18.75" customHeight="1">
      <c r="A492" s="1"/>
      <c r="B492" s="1"/>
      <c r="C492" s="1"/>
      <c r="D492" s="1"/>
      <c r="E492" s="1"/>
      <c r="F492" s="1"/>
      <c r="G492" s="1"/>
      <c r="H492" s="1"/>
      <c r="I492" s="12"/>
      <c r="J492" s="12"/>
      <c r="L492" s="12"/>
    </row>
    <row r="493" spans="1:12" s="11" customFormat="1" ht="18.75" customHeight="1">
      <c r="A493" s="1"/>
      <c r="B493" s="1"/>
      <c r="C493" s="1"/>
      <c r="D493" s="1"/>
      <c r="E493" s="1"/>
      <c r="F493" s="1"/>
      <c r="G493" s="1"/>
      <c r="H493" s="1"/>
      <c r="I493" s="12"/>
      <c r="J493" s="12"/>
      <c r="L493" s="12"/>
    </row>
    <row r="494" spans="9:12" ht="21" customHeight="1">
      <c r="I494" s="8"/>
      <c r="J494" s="8"/>
      <c r="L494" s="8"/>
    </row>
    <row r="495" ht="18" customHeight="1"/>
    <row r="496" ht="19.5" customHeight="1"/>
    <row r="497" ht="18" customHeight="1"/>
    <row r="498" ht="19.5" customHeight="1"/>
    <row r="499" spans="9:12" ht="21" customHeight="1">
      <c r="I499" s="8"/>
      <c r="J499" s="8"/>
      <c r="L499" s="8"/>
    </row>
    <row r="500" ht="18" customHeight="1"/>
    <row r="501" ht="19.5" customHeight="1"/>
    <row r="502" spans="9:12" ht="21" customHeight="1">
      <c r="I502" s="8"/>
      <c r="J502" s="8"/>
      <c r="L502" s="8"/>
    </row>
    <row r="503" spans="1:12" s="13" customFormat="1" ht="18.75" customHeight="1">
      <c r="A503" s="1"/>
      <c r="B503" s="1"/>
      <c r="C503" s="1"/>
      <c r="D503" s="1"/>
      <c r="E503" s="1"/>
      <c r="F503" s="1"/>
      <c r="G503" s="1"/>
      <c r="H503" s="1"/>
      <c r="I503" s="14"/>
      <c r="J503" s="14"/>
      <c r="L503" s="14"/>
    </row>
    <row r="504" spans="1:12" s="11" customFormat="1" ht="27.75" customHeight="1">
      <c r="A504" s="1"/>
      <c r="B504" s="1"/>
      <c r="C504" s="1"/>
      <c r="D504" s="1"/>
      <c r="E504" s="1"/>
      <c r="F504" s="1"/>
      <c r="G504" s="1"/>
      <c r="H504" s="1"/>
      <c r="I504" s="12"/>
      <c r="J504" s="12"/>
      <c r="L504" s="12"/>
    </row>
    <row r="505" spans="1:12" s="11" customFormat="1" ht="27.75" customHeight="1">
      <c r="A505" s="1"/>
      <c r="B505" s="1"/>
      <c r="C505" s="1"/>
      <c r="D505" s="1"/>
      <c r="E505" s="1"/>
      <c r="F505" s="1"/>
      <c r="G505" s="1"/>
      <c r="H505" s="1"/>
      <c r="I505" s="12"/>
      <c r="J505" s="12"/>
      <c r="L505" s="12"/>
    </row>
    <row r="506" spans="1:12" s="11" customFormat="1" ht="19.5" customHeight="1">
      <c r="A506" s="1"/>
      <c r="B506" s="1"/>
      <c r="C506" s="1"/>
      <c r="D506" s="1"/>
      <c r="E506" s="1"/>
      <c r="F506" s="1"/>
      <c r="G506" s="1"/>
      <c r="H506" s="1"/>
      <c r="I506" s="12"/>
      <c r="J506" s="12"/>
      <c r="L506" s="12"/>
    </row>
    <row r="507" spans="1:12" s="11" customFormat="1" ht="18.75" customHeight="1">
      <c r="A507" s="1"/>
      <c r="B507" s="1"/>
      <c r="C507" s="1"/>
      <c r="D507" s="1"/>
      <c r="E507" s="1"/>
      <c r="F507" s="1"/>
      <c r="G507" s="1"/>
      <c r="H507" s="1"/>
      <c r="I507" s="12"/>
      <c r="J507" s="12"/>
      <c r="L507" s="12"/>
    </row>
    <row r="508" ht="21" customHeight="1"/>
    <row r="509" spans="9:12" ht="21" customHeight="1">
      <c r="I509" s="8"/>
      <c r="J509" s="8"/>
      <c r="L509" s="8"/>
    </row>
    <row r="510" spans="1:12" s="13" customFormat="1" ht="25.5" customHeight="1">
      <c r="A510" s="1"/>
      <c r="B510" s="1"/>
      <c r="C510" s="1"/>
      <c r="D510" s="1"/>
      <c r="E510" s="1"/>
      <c r="F510" s="1"/>
      <c r="G510" s="1"/>
      <c r="H510" s="1"/>
      <c r="I510" s="14"/>
      <c r="J510" s="14"/>
      <c r="L510" s="14"/>
    </row>
    <row r="511" spans="1:12" s="11" customFormat="1" ht="18.75" customHeight="1">
      <c r="A511" s="1"/>
      <c r="B511" s="1"/>
      <c r="C511" s="1"/>
      <c r="D511" s="1"/>
      <c r="E511" s="1"/>
      <c r="F511" s="1"/>
      <c r="G511" s="1"/>
      <c r="H511" s="1"/>
      <c r="I511" s="12"/>
      <c r="J511" s="12"/>
      <c r="L511" s="12"/>
    </row>
    <row r="512" ht="21" customHeight="1"/>
    <row r="513" ht="30" customHeight="1"/>
    <row r="514" ht="49.5" customHeight="1"/>
    <row r="515" ht="27.75" customHeight="1"/>
    <row r="516" ht="18" customHeight="1"/>
    <row r="517" spans="1:12" s="13" customFormat="1" ht="18.75" customHeight="1">
      <c r="A517" s="1"/>
      <c r="B517" s="1"/>
      <c r="C517" s="1"/>
      <c r="D517" s="1"/>
      <c r="E517" s="1"/>
      <c r="F517" s="1"/>
      <c r="G517" s="1"/>
      <c r="H517" s="1"/>
      <c r="I517" s="14"/>
      <c r="J517" s="14"/>
      <c r="L517" s="14"/>
    </row>
    <row r="518" spans="1:12" s="11" customFormat="1" ht="18.75" customHeight="1">
      <c r="A518" s="1"/>
      <c r="B518" s="1"/>
      <c r="C518" s="1"/>
      <c r="D518" s="1"/>
      <c r="E518" s="1"/>
      <c r="F518" s="1"/>
      <c r="G518" s="1"/>
      <c r="H518" s="1"/>
      <c r="I518" s="12"/>
      <c r="J518" s="12"/>
      <c r="L518" s="12"/>
    </row>
    <row r="519" spans="1:12" s="11" customFormat="1" ht="18.75" customHeight="1">
      <c r="A519" s="1"/>
      <c r="B519" s="1"/>
      <c r="C519" s="1"/>
      <c r="D519" s="1"/>
      <c r="E519" s="1"/>
      <c r="F519" s="1"/>
      <c r="G519" s="1"/>
      <c r="H519" s="1"/>
      <c r="I519" s="12"/>
      <c r="J519" s="12"/>
      <c r="L519" s="12"/>
    </row>
    <row r="520" spans="9:12" ht="21" customHeight="1">
      <c r="I520" s="8"/>
      <c r="J520" s="8"/>
      <c r="L520" s="8"/>
    </row>
    <row r="521" spans="9:12" ht="21" customHeight="1">
      <c r="I521" s="8"/>
      <c r="J521" s="8"/>
      <c r="L521" s="8"/>
    </row>
    <row r="522" ht="18.75" customHeight="1"/>
    <row r="523" ht="18.75" customHeight="1"/>
    <row r="524" spans="9:12" ht="21" customHeight="1">
      <c r="I524" s="8"/>
      <c r="J524" s="8"/>
      <c r="L524" s="8"/>
    </row>
    <row r="525" ht="18.75" customHeight="1"/>
    <row r="526" ht="19.5" customHeight="1"/>
    <row r="527" ht="19.5" customHeight="1"/>
    <row r="528" ht="19.5" customHeight="1"/>
    <row r="529" ht="18.75" customHeight="1"/>
    <row r="530" ht="18.75" customHeight="1"/>
    <row r="531" ht="28.5" customHeight="1"/>
    <row r="532" spans="1:9" s="16" customFormat="1" ht="18.75" customHeight="1">
      <c r="A532" s="1"/>
      <c r="B532" s="1"/>
      <c r="C532" s="1"/>
      <c r="D532" s="1"/>
      <c r="E532" s="1"/>
      <c r="F532" s="1"/>
      <c r="G532" s="1"/>
      <c r="H532" s="1"/>
      <c r="I532" s="272"/>
    </row>
    <row r="533" spans="1:9" s="16" customFormat="1" ht="18.75" customHeight="1">
      <c r="A533" s="1"/>
      <c r="B533" s="1"/>
      <c r="C533" s="1"/>
      <c r="D533" s="1"/>
      <c r="E533" s="1"/>
      <c r="F533" s="1"/>
      <c r="G533" s="1"/>
      <c r="H533" s="1"/>
      <c r="I533" s="272"/>
    </row>
    <row r="534" spans="1:9" s="16" customFormat="1" ht="18.75" customHeight="1">
      <c r="A534" s="1"/>
      <c r="B534" s="1"/>
      <c r="C534" s="1"/>
      <c r="D534" s="1"/>
      <c r="E534" s="1"/>
      <c r="F534" s="1"/>
      <c r="G534" s="1"/>
      <c r="H534" s="1"/>
      <c r="I534" s="272"/>
    </row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spans="1:9" s="16" customFormat="1" ht="19.5" customHeight="1">
      <c r="A543" s="1"/>
      <c r="B543" s="1"/>
      <c r="C543" s="1"/>
      <c r="D543" s="1"/>
      <c r="E543" s="1"/>
      <c r="F543" s="1"/>
      <c r="G543" s="1"/>
      <c r="H543" s="1"/>
      <c r="I543" s="15"/>
    </row>
    <row r="544" spans="1:9" s="16" customFormat="1" ht="18.75" customHeight="1">
      <c r="A544" s="1"/>
      <c r="B544" s="1"/>
      <c r="C544" s="1"/>
      <c r="D544" s="1"/>
      <c r="E544" s="1"/>
      <c r="F544" s="1"/>
      <c r="G544" s="1"/>
      <c r="H544" s="1"/>
      <c r="I544" s="272"/>
    </row>
    <row r="545" spans="1:9" s="16" customFormat="1" ht="18.75" customHeight="1">
      <c r="A545" s="1"/>
      <c r="B545" s="1"/>
      <c r="C545" s="1"/>
      <c r="D545" s="1"/>
      <c r="E545" s="1"/>
      <c r="F545" s="1"/>
      <c r="G545" s="1"/>
      <c r="H545" s="1"/>
      <c r="I545" s="272"/>
    </row>
    <row r="546" spans="1:9" s="16" customFormat="1" ht="18.75" customHeight="1">
      <c r="A546" s="1"/>
      <c r="B546" s="1"/>
      <c r="C546" s="1"/>
      <c r="D546" s="1"/>
      <c r="E546" s="1"/>
      <c r="F546" s="1"/>
      <c r="G546" s="1"/>
      <c r="H546" s="1"/>
      <c r="I546" s="272"/>
    </row>
    <row r="547" ht="19.5" customHeight="1"/>
    <row r="548" ht="18.75" customHeight="1"/>
    <row r="549" spans="1:9" s="16" customFormat="1" ht="18.75" customHeight="1">
      <c r="A549" s="1"/>
      <c r="B549" s="1"/>
      <c r="C549" s="1"/>
      <c r="D549" s="1"/>
      <c r="E549" s="1"/>
      <c r="F549" s="1"/>
      <c r="G549" s="1"/>
      <c r="H549" s="1"/>
      <c r="I549" s="272"/>
    </row>
    <row r="550" ht="18.75" customHeight="1"/>
    <row r="551" spans="1:9" s="16" customFormat="1" ht="18.75" customHeight="1">
      <c r="A551" s="1"/>
      <c r="B551" s="1"/>
      <c r="C551" s="1"/>
      <c r="D551" s="1"/>
      <c r="E551" s="1"/>
      <c r="F551" s="1"/>
      <c r="G551" s="1"/>
      <c r="H551" s="1"/>
      <c r="I551" s="272"/>
    </row>
    <row r="552" spans="1:9" s="16" customFormat="1" ht="27" customHeight="1">
      <c r="A552" s="1"/>
      <c r="B552" s="1"/>
      <c r="C552" s="1"/>
      <c r="D552" s="1"/>
      <c r="E552" s="1"/>
      <c r="F552" s="1"/>
      <c r="G552" s="1"/>
      <c r="H552" s="1"/>
      <c r="I552" s="272"/>
    </row>
    <row r="553" spans="1:9" s="16" customFormat="1" ht="18.75" customHeight="1">
      <c r="A553" s="1"/>
      <c r="B553" s="1"/>
      <c r="C553" s="1"/>
      <c r="D553" s="1"/>
      <c r="E553" s="1"/>
      <c r="F553" s="1"/>
      <c r="G553" s="1"/>
      <c r="H553" s="1"/>
      <c r="I553" s="272"/>
    </row>
    <row r="554" spans="1:9" s="16" customFormat="1" ht="19.5" customHeight="1">
      <c r="A554" s="1"/>
      <c r="B554" s="1"/>
      <c r="C554" s="1"/>
      <c r="D554" s="1"/>
      <c r="E554" s="1"/>
      <c r="F554" s="1"/>
      <c r="G554" s="1"/>
      <c r="H554" s="1"/>
      <c r="I554" s="272"/>
    </row>
    <row r="555" ht="19.5" customHeight="1"/>
    <row r="556" ht="19.5" customHeight="1"/>
    <row r="557" ht="19.5" customHeight="1"/>
    <row r="558" ht="19.5" customHeight="1"/>
    <row r="559" ht="19.5" customHeight="1"/>
    <row r="560" spans="1:9" s="16" customFormat="1" ht="18.75" customHeight="1">
      <c r="A560" s="1"/>
      <c r="B560" s="1"/>
      <c r="C560" s="1"/>
      <c r="D560" s="1"/>
      <c r="E560" s="1"/>
      <c r="F560" s="1"/>
      <c r="G560" s="1"/>
      <c r="H560" s="1"/>
      <c r="I560" s="272"/>
    </row>
    <row r="561" spans="1:9" s="16" customFormat="1" ht="19.5" customHeight="1">
      <c r="A561" s="1"/>
      <c r="B561" s="1"/>
      <c r="C561" s="1"/>
      <c r="D561" s="1"/>
      <c r="E561" s="1"/>
      <c r="F561" s="1"/>
      <c r="G561" s="1"/>
      <c r="H561" s="1"/>
      <c r="I561" s="272"/>
    </row>
    <row r="562" ht="19.5" customHeight="1"/>
    <row r="563" ht="18.75" customHeight="1"/>
    <row r="564" ht="18" customHeight="1"/>
    <row r="565" ht="28.5" customHeight="1"/>
    <row r="566" ht="20.25" customHeight="1"/>
    <row r="567" ht="18" customHeight="1"/>
    <row r="568" ht="19.5" customHeight="1"/>
    <row r="569" ht="20.25" customHeight="1"/>
    <row r="570" ht="20.25" customHeight="1"/>
    <row r="571" ht="20.25" customHeight="1"/>
    <row r="572" spans="1:8" s="16" customFormat="1" ht="27" customHeight="1">
      <c r="A572" s="1"/>
      <c r="B572" s="1"/>
      <c r="C572" s="1"/>
      <c r="D572" s="1"/>
      <c r="E572" s="1"/>
      <c r="F572" s="1"/>
      <c r="G572" s="1"/>
      <c r="H572" s="1"/>
    </row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27.75" customHeight="1"/>
    <row r="593" ht="20.25" customHeight="1"/>
    <row r="594" ht="20.25" customHeight="1"/>
    <row r="595" ht="19.5" customHeight="1"/>
    <row r="596" ht="25.5" customHeight="1"/>
    <row r="597" ht="26.25" customHeight="1"/>
    <row r="598" ht="19.5" customHeight="1"/>
    <row r="599" ht="18.75" customHeight="1"/>
    <row r="600" ht="18" customHeight="1"/>
    <row r="601" ht="19.5" customHeight="1"/>
    <row r="602" ht="19.5" customHeight="1"/>
    <row r="603" ht="20.25" customHeight="1"/>
    <row r="604" ht="19.5" customHeight="1"/>
    <row r="605" ht="19.5" customHeight="1"/>
    <row r="606" ht="20.25" customHeight="1"/>
    <row r="607" ht="18" customHeight="1"/>
    <row r="608" ht="19.5" customHeight="1"/>
    <row r="609" ht="19.5" customHeight="1"/>
  </sheetData>
  <printOptions horizontalCentered="1"/>
  <pageMargins left="0.3937007874015748" right="0.3937007874015748" top="0.61" bottom="0.47" header="0.5118110236220472" footer="0.31496062992125984"/>
  <pageSetup firstPageNumber="25" useFirstPageNumber="1" horizontalDpi="300" verticalDpi="3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/>
  <dimension ref="A1:K544"/>
  <sheetViews>
    <sheetView zoomScale="90" zoomScaleNormal="90" zoomScaleSheetLayoutView="75" workbookViewId="0" topLeftCell="A523">
      <selection activeCell="D539" sqref="D539"/>
    </sheetView>
  </sheetViews>
  <sheetFormatPr defaultColWidth="9.00390625" defaultRowHeight="12.75"/>
  <cols>
    <col min="1" max="1" width="8.25390625" style="1013" customWidth="1"/>
    <col min="2" max="2" width="8.00390625" style="0" customWidth="1"/>
    <col min="3" max="3" width="6.375" style="0" customWidth="1"/>
    <col min="4" max="4" width="71.125" style="0" customWidth="1"/>
    <col min="5" max="8" width="20.75390625" style="0" customWidth="1"/>
    <col min="9" max="9" width="11.125" style="0" customWidth="1"/>
    <col min="10" max="10" width="12.125" style="0" customWidth="1"/>
  </cols>
  <sheetData>
    <row r="1" spans="1:7" ht="19.5" customHeight="1">
      <c r="A1" s="967"/>
      <c r="G1" s="8" t="s">
        <v>390</v>
      </c>
    </row>
    <row r="2" spans="1:7" ht="19.5" customHeight="1">
      <c r="A2" s="946"/>
      <c r="G2" s="1" t="s">
        <v>658</v>
      </c>
    </row>
    <row r="3" spans="1:7" ht="19.5" customHeight="1">
      <c r="A3" s="946"/>
      <c r="C3" s="100"/>
      <c r="D3" s="2" t="s">
        <v>852</v>
      </c>
      <c r="G3" s="1" t="s">
        <v>817</v>
      </c>
    </row>
    <row r="4" spans="1:7" ht="19.5" customHeight="1">
      <c r="A4" s="967"/>
      <c r="C4" s="100"/>
      <c r="D4" s="2" t="s">
        <v>858</v>
      </c>
      <c r="G4" s="1" t="s">
        <v>936</v>
      </c>
    </row>
    <row r="5" ht="11.25" customHeight="1">
      <c r="A5" s="967"/>
    </row>
    <row r="6" spans="1:8" ht="18.75" customHeight="1" thickBot="1">
      <c r="A6" s="1017"/>
      <c r="H6" s="3" t="s">
        <v>819</v>
      </c>
    </row>
    <row r="7" spans="1:8" ht="21" customHeight="1" thickTop="1">
      <c r="A7" s="1449" t="s">
        <v>840</v>
      </c>
      <c r="B7" s="1451" t="s">
        <v>841</v>
      </c>
      <c r="C7" s="1451" t="s">
        <v>822</v>
      </c>
      <c r="D7" s="1447" t="s">
        <v>842</v>
      </c>
      <c r="E7" s="1445" t="s">
        <v>832</v>
      </c>
      <c r="F7" s="1446" t="s">
        <v>832</v>
      </c>
      <c r="G7" s="1445" t="s">
        <v>818</v>
      </c>
      <c r="H7" s="1446"/>
    </row>
    <row r="8" spans="1:8" ht="21" customHeight="1" thickBot="1">
      <c r="A8" s="1450"/>
      <c r="B8" s="1452"/>
      <c r="C8" s="1452"/>
      <c r="D8" s="1448"/>
      <c r="E8" s="21" t="s">
        <v>843</v>
      </c>
      <c r="F8" s="22" t="s">
        <v>833</v>
      </c>
      <c r="G8" s="21" t="s">
        <v>843</v>
      </c>
      <c r="H8" s="22" t="s">
        <v>833</v>
      </c>
    </row>
    <row r="9" spans="1:8" ht="15.75" customHeight="1" thickBot="1" thickTop="1">
      <c r="A9" s="1014">
        <v>1</v>
      </c>
      <c r="B9" s="23">
        <v>2</v>
      </c>
      <c r="C9" s="23">
        <v>3</v>
      </c>
      <c r="D9" s="23">
        <v>4</v>
      </c>
      <c r="E9" s="24">
        <v>5</v>
      </c>
      <c r="F9" s="24">
        <v>6</v>
      </c>
      <c r="G9" s="24">
        <v>7</v>
      </c>
      <c r="H9" s="24">
        <v>8</v>
      </c>
    </row>
    <row r="10" spans="1:11" ht="21" customHeight="1" thickBot="1" thickTop="1">
      <c r="A10" s="142"/>
      <c r="B10" s="142"/>
      <c r="C10" s="142"/>
      <c r="D10" s="143" t="s">
        <v>844</v>
      </c>
      <c r="E10" s="144">
        <f>E11</f>
        <v>1100000</v>
      </c>
      <c r="F10" s="144">
        <f>F11</f>
        <v>1147939</v>
      </c>
      <c r="G10" s="144">
        <f>G11+G414+G422+G431+G440+G451+G459+G513+G527</f>
        <v>10752132</v>
      </c>
      <c r="H10" s="144">
        <f>H11+H414+H422+H431+H440+H451+H459+H500+H513+H527</f>
        <v>10800071</v>
      </c>
      <c r="I10" s="25">
        <f>H10-G10</f>
        <v>47939</v>
      </c>
      <c r="J10" s="25">
        <f>F10-E10</f>
        <v>47939</v>
      </c>
      <c r="K10" s="25">
        <f>J10-I10</f>
        <v>0</v>
      </c>
    </row>
    <row r="11" spans="1:9" ht="21" customHeight="1">
      <c r="A11" s="145"/>
      <c r="B11" s="145"/>
      <c r="C11" s="145"/>
      <c r="D11" s="116" t="s">
        <v>845</v>
      </c>
      <c r="E11" s="117">
        <f>E12+E20+E73+E86+E106+E134+E189+E328+E365+E384+E394</f>
        <v>1100000</v>
      </c>
      <c r="F11" s="117">
        <f>F12+F20+F73+F86+F106+F134+F189+F328+F365+F384+F394</f>
        <v>1147939</v>
      </c>
      <c r="G11" s="117">
        <f>G12+G20+G73+G86+G106+G134+G189+G328+G365+G384+G394</f>
        <v>9604737</v>
      </c>
      <c r="H11" s="117">
        <f>H12+H20+H73+H86+H106+H134+H189+H328+H365+H384+H394</f>
        <v>6874486</v>
      </c>
      <c r="I11" s="25"/>
    </row>
    <row r="12" spans="1:9" ht="18" customHeight="1">
      <c r="A12" s="77"/>
      <c r="B12" s="77"/>
      <c r="C12" s="89"/>
      <c r="D12" s="116" t="s">
        <v>725</v>
      </c>
      <c r="E12" s="117"/>
      <c r="F12" s="117"/>
      <c r="G12" s="117">
        <f aca="true" t="shared" si="0" ref="G12:H15">G13</f>
        <v>200</v>
      </c>
      <c r="H12" s="117">
        <f t="shared" si="0"/>
        <v>200</v>
      </c>
      <c r="I12" s="25"/>
    </row>
    <row r="13" spans="1:9" s="1" customFormat="1" ht="21" customHeight="1" thickBot="1">
      <c r="A13" s="86"/>
      <c r="B13" s="86"/>
      <c r="C13" s="86"/>
      <c r="D13" s="87" t="s">
        <v>830</v>
      </c>
      <c r="E13" s="88"/>
      <c r="F13" s="88"/>
      <c r="G13" s="88">
        <f t="shared" si="0"/>
        <v>200</v>
      </c>
      <c r="H13" s="88">
        <f t="shared" si="0"/>
        <v>200</v>
      </c>
      <c r="I13" s="8"/>
    </row>
    <row r="14" spans="1:9" ht="18" customHeight="1" thickTop="1">
      <c r="A14" s="368">
        <v>754</v>
      </c>
      <c r="B14" s="412"/>
      <c r="C14" s="192"/>
      <c r="D14" s="238" t="s">
        <v>724</v>
      </c>
      <c r="E14" s="679"/>
      <c r="F14" s="679"/>
      <c r="G14" s="679">
        <f t="shared" si="0"/>
        <v>200</v>
      </c>
      <c r="H14" s="679">
        <f t="shared" si="0"/>
        <v>200</v>
      </c>
      <c r="I14" s="25"/>
    </row>
    <row r="15" spans="1:9" ht="18" customHeight="1">
      <c r="A15" s="194"/>
      <c r="B15" s="481">
        <v>75414</v>
      </c>
      <c r="C15" s="1009"/>
      <c r="D15" s="429" t="s">
        <v>672</v>
      </c>
      <c r="E15" s="275"/>
      <c r="F15" s="432"/>
      <c r="G15" s="432">
        <f t="shared" si="0"/>
        <v>200</v>
      </c>
      <c r="H15" s="432">
        <f t="shared" si="0"/>
        <v>200</v>
      </c>
      <c r="I15" s="25"/>
    </row>
    <row r="16" spans="1:9" ht="17.25" customHeight="1">
      <c r="A16" s="191"/>
      <c r="B16" s="194"/>
      <c r="C16" s="191"/>
      <c r="D16" s="495" t="s">
        <v>673</v>
      </c>
      <c r="E16" s="475"/>
      <c r="F16" s="493"/>
      <c r="G16" s="493">
        <f>SUM(G17:G18)</f>
        <v>200</v>
      </c>
      <c r="H16" s="493">
        <f>SUM(H17:H18)</f>
        <v>200</v>
      </c>
      <c r="I16" s="25"/>
    </row>
    <row r="17" spans="1:9" ht="17.25" customHeight="1">
      <c r="A17" s="191"/>
      <c r="B17" s="191"/>
      <c r="C17" s="189">
        <v>4210</v>
      </c>
      <c r="D17" s="189" t="s">
        <v>674</v>
      </c>
      <c r="E17" s="270"/>
      <c r="F17" s="270"/>
      <c r="G17" s="270">
        <v>200</v>
      </c>
      <c r="H17" s="270"/>
      <c r="I17" s="25"/>
    </row>
    <row r="18" spans="1:9" ht="17.25" customHeight="1">
      <c r="A18" s="191"/>
      <c r="B18" s="191"/>
      <c r="C18" s="222">
        <v>4300</v>
      </c>
      <c r="D18" s="222" t="s">
        <v>742</v>
      </c>
      <c r="E18" s="298"/>
      <c r="F18" s="298"/>
      <c r="G18" s="298"/>
      <c r="H18" s="298">
        <v>200</v>
      </c>
      <c r="I18" s="25"/>
    </row>
    <row r="19" spans="1:9" ht="18" customHeight="1">
      <c r="A19" s="191"/>
      <c r="B19" s="191"/>
      <c r="C19" s="478"/>
      <c r="D19" s="486"/>
      <c r="E19" s="610"/>
      <c r="F19" s="610"/>
      <c r="G19" s="610"/>
      <c r="H19" s="610"/>
      <c r="I19" s="25"/>
    </row>
    <row r="20" spans="1:9" ht="18" customHeight="1">
      <c r="A20" s="77"/>
      <c r="B20" s="77"/>
      <c r="C20" s="89"/>
      <c r="D20" s="116" t="s">
        <v>726</v>
      </c>
      <c r="E20" s="117">
        <f aca="true" t="shared" si="1" ref="E20:E25">E21</f>
        <v>1100000</v>
      </c>
      <c r="F20" s="117">
        <f>F21+F44</f>
        <v>1147939</v>
      </c>
      <c r="G20" s="117">
        <f>G61</f>
        <v>3057341</v>
      </c>
      <c r="H20" s="117">
        <f>H61</f>
        <v>37341</v>
      </c>
      <c r="I20" s="25"/>
    </row>
    <row r="21" spans="1:9" ht="15" customHeight="1" thickBot="1">
      <c r="A21" s="120"/>
      <c r="B21" s="121"/>
      <c r="C21" s="146"/>
      <c r="D21" s="273" t="s">
        <v>291</v>
      </c>
      <c r="E21" s="274">
        <f t="shared" si="1"/>
        <v>1100000</v>
      </c>
      <c r="F21" s="274">
        <f>F22+F31</f>
        <v>971953</v>
      </c>
      <c r="G21" s="274"/>
      <c r="H21" s="274"/>
      <c r="I21" s="25"/>
    </row>
    <row r="22" spans="1:9" ht="21.75" customHeight="1" thickBot="1">
      <c r="A22" s="77"/>
      <c r="B22" s="77"/>
      <c r="C22" s="77"/>
      <c r="D22" s="131" t="s">
        <v>837</v>
      </c>
      <c r="E22" s="482">
        <f t="shared" si="1"/>
        <v>1100000</v>
      </c>
      <c r="F22" s="482">
        <f>F23</f>
        <v>442928</v>
      </c>
      <c r="G22" s="482"/>
      <c r="H22" s="482"/>
      <c r="I22" s="25"/>
    </row>
    <row r="23" spans="1:9" ht="21" customHeight="1" thickTop="1">
      <c r="A23" s="447">
        <v>852</v>
      </c>
      <c r="B23" s="447"/>
      <c r="C23" s="448"/>
      <c r="D23" s="536" t="s">
        <v>746</v>
      </c>
      <c r="E23" s="544">
        <f t="shared" si="1"/>
        <v>1100000</v>
      </c>
      <c r="F23" s="544">
        <f>F27</f>
        <v>442928</v>
      </c>
      <c r="G23" s="540"/>
      <c r="H23" s="540"/>
      <c r="I23" s="25"/>
    </row>
    <row r="24" spans="1:9" ht="24" customHeight="1">
      <c r="A24" s="644"/>
      <c r="B24" s="203">
        <v>85214</v>
      </c>
      <c r="C24" s="286"/>
      <c r="D24" s="286" t="s">
        <v>590</v>
      </c>
      <c r="E24" s="646">
        <f t="shared" si="1"/>
        <v>1100000</v>
      </c>
      <c r="F24" s="646"/>
      <c r="G24" s="645"/>
      <c r="H24" s="645"/>
      <c r="I24" s="25"/>
    </row>
    <row r="25" spans="1:9" ht="26.25" customHeight="1">
      <c r="A25" s="1010"/>
      <c r="B25" s="424"/>
      <c r="C25" s="215"/>
      <c r="D25" s="195" t="s">
        <v>594</v>
      </c>
      <c r="E25" s="922">
        <f t="shared" si="1"/>
        <v>1100000</v>
      </c>
      <c r="F25" s="923"/>
      <c r="G25" s="924"/>
      <c r="H25" s="924"/>
      <c r="I25" s="25"/>
    </row>
    <row r="26" spans="1:9" ht="30" customHeight="1">
      <c r="A26" s="1010"/>
      <c r="B26" s="415"/>
      <c r="C26" s="10">
        <v>2030</v>
      </c>
      <c r="D26" s="639" t="s">
        <v>939</v>
      </c>
      <c r="E26" s="925">
        <v>1100000</v>
      </c>
      <c r="F26" s="926"/>
      <c r="G26" s="927"/>
      <c r="H26" s="927"/>
      <c r="I26" s="25"/>
    </row>
    <row r="27" spans="1:9" ht="19.5" customHeight="1">
      <c r="A27" s="112"/>
      <c r="B27" s="512">
        <v>85295</v>
      </c>
      <c r="C27" s="512"/>
      <c r="D27" s="512" t="s">
        <v>829</v>
      </c>
      <c r="E27" s="482"/>
      <c r="F27" s="158">
        <f>F28</f>
        <v>442928</v>
      </c>
      <c r="G27" s="482"/>
      <c r="H27" s="482"/>
      <c r="I27" s="25"/>
    </row>
    <row r="28" spans="1:9" ht="30.75" customHeight="1">
      <c r="A28" s="112"/>
      <c r="B28" s="112"/>
      <c r="C28" s="538"/>
      <c r="D28" s="514" t="s">
        <v>938</v>
      </c>
      <c r="E28" s="541"/>
      <c r="F28" s="543">
        <f>F29</f>
        <v>442928</v>
      </c>
      <c r="G28" s="541"/>
      <c r="H28" s="541"/>
      <c r="I28" s="25"/>
    </row>
    <row r="29" spans="1:9" ht="29.25" customHeight="1">
      <c r="A29" s="113"/>
      <c r="B29" s="113"/>
      <c r="C29" s="539">
        <v>2030</v>
      </c>
      <c r="D29" s="516" t="s">
        <v>939</v>
      </c>
      <c r="E29" s="1023"/>
      <c r="F29" s="547">
        <v>442928</v>
      </c>
      <c r="G29" s="1023"/>
      <c r="H29" s="1023"/>
      <c r="I29" s="25"/>
    </row>
    <row r="30" ht="33" customHeight="1">
      <c r="A30"/>
    </row>
    <row r="31" spans="1:9" ht="26.25" customHeight="1" thickBot="1">
      <c r="A31" s="86"/>
      <c r="B31" s="86"/>
      <c r="C31" s="86"/>
      <c r="D31" s="96" t="s">
        <v>838</v>
      </c>
      <c r="E31" s="97"/>
      <c r="F31" s="97">
        <f>F32+F36+F40</f>
        <v>529025</v>
      </c>
      <c r="G31" s="97"/>
      <c r="H31" s="97"/>
      <c r="I31" s="25"/>
    </row>
    <row r="32" spans="1:9" ht="26.25" customHeight="1" thickTop="1">
      <c r="A32" s="675">
        <v>751</v>
      </c>
      <c r="B32" s="549"/>
      <c r="C32" s="669"/>
      <c r="D32" s="229" t="s">
        <v>754</v>
      </c>
      <c r="E32" s="519"/>
      <c r="F32" s="519">
        <f>F33</f>
        <v>483820</v>
      </c>
      <c r="G32" s="519"/>
      <c r="H32" s="519"/>
      <c r="I32" s="25"/>
    </row>
    <row r="33" spans="1:9" s="674" customFormat="1" ht="18.75" customHeight="1">
      <c r="A33" s="1011"/>
      <c r="B33" s="670">
        <v>75107</v>
      </c>
      <c r="C33" s="670"/>
      <c r="D33" s="671" t="s">
        <v>490</v>
      </c>
      <c r="E33" s="672"/>
      <c r="F33" s="672">
        <f>F34</f>
        <v>483820</v>
      </c>
      <c r="G33" s="672"/>
      <c r="H33" s="672"/>
      <c r="I33" s="673"/>
    </row>
    <row r="34" spans="1:9" ht="27" customHeight="1">
      <c r="A34" s="947"/>
      <c r="B34" s="191"/>
      <c r="C34" s="194"/>
      <c r="D34" s="230" t="s">
        <v>757</v>
      </c>
      <c r="E34" s="503"/>
      <c r="F34" s="79">
        <f>F35</f>
        <v>483820</v>
      </c>
      <c r="G34" s="503"/>
      <c r="H34" s="503"/>
      <c r="I34" s="25"/>
    </row>
    <row r="35" spans="1:9" ht="27" customHeight="1">
      <c r="A35" s="884"/>
      <c r="B35" s="201"/>
      <c r="C35" s="226">
        <v>2010</v>
      </c>
      <c r="D35" s="227" t="s">
        <v>756</v>
      </c>
      <c r="E35" s="504"/>
      <c r="F35" s="504">
        <f>241900+241920</f>
        <v>483820</v>
      </c>
      <c r="G35" s="504"/>
      <c r="H35" s="505"/>
      <c r="I35" s="25"/>
    </row>
    <row r="36" spans="1:9" ht="19.5" customHeight="1">
      <c r="A36" s="229">
        <v>851</v>
      </c>
      <c r="B36" s="229"/>
      <c r="C36" s="229"/>
      <c r="D36" s="229" t="s">
        <v>877</v>
      </c>
      <c r="E36" s="928"/>
      <c r="F36" s="929">
        <f>F37</f>
        <v>1605</v>
      </c>
      <c r="G36" s="928"/>
      <c r="H36" s="930"/>
      <c r="I36" s="25"/>
    </row>
    <row r="37" spans="1:9" ht="20.25" customHeight="1">
      <c r="A37" s="285"/>
      <c r="B37" s="223">
        <v>85195</v>
      </c>
      <c r="C37" s="223"/>
      <c r="D37" s="286" t="s">
        <v>829</v>
      </c>
      <c r="E37" s="943"/>
      <c r="F37" s="943">
        <f>F38</f>
        <v>1605</v>
      </c>
      <c r="G37" s="943"/>
      <c r="H37" s="432"/>
      <c r="I37" s="25"/>
    </row>
    <row r="38" spans="1:9" ht="27" customHeight="1">
      <c r="A38" s="287"/>
      <c r="B38" s="288"/>
      <c r="C38" s="289"/>
      <c r="D38" s="230" t="s">
        <v>532</v>
      </c>
      <c r="E38" s="944"/>
      <c r="F38" s="944">
        <v>1605</v>
      </c>
      <c r="G38" s="944"/>
      <c r="H38" s="269"/>
      <c r="I38" s="25"/>
    </row>
    <row r="39" spans="1:9" ht="27" customHeight="1">
      <c r="A39" s="188"/>
      <c r="B39" s="189"/>
      <c r="C39" s="226">
        <v>2010</v>
      </c>
      <c r="D39" s="227" t="s">
        <v>756</v>
      </c>
      <c r="E39" s="945"/>
      <c r="F39" s="945">
        <v>1605</v>
      </c>
      <c r="G39" s="945"/>
      <c r="H39" s="275"/>
      <c r="I39" s="25"/>
    </row>
    <row r="40" spans="1:9" ht="20.25" customHeight="1">
      <c r="A40" s="413">
        <v>852</v>
      </c>
      <c r="B40" s="229"/>
      <c r="C40" s="229"/>
      <c r="D40" s="229" t="s">
        <v>746</v>
      </c>
      <c r="E40" s="928"/>
      <c r="F40" s="929">
        <f>F41</f>
        <v>43600</v>
      </c>
      <c r="G40" s="928"/>
      <c r="H40" s="930"/>
      <c r="I40" s="25"/>
    </row>
    <row r="41" spans="1:9" ht="20.25" customHeight="1">
      <c r="A41" s="287"/>
      <c r="B41" s="670">
        <v>85278</v>
      </c>
      <c r="C41" s="670"/>
      <c r="D41" s="671" t="s">
        <v>727</v>
      </c>
      <c r="E41" s="672"/>
      <c r="F41" s="672">
        <v>43600</v>
      </c>
      <c r="G41" s="672"/>
      <c r="H41" s="672"/>
      <c r="I41" s="25"/>
    </row>
    <row r="42" spans="1:9" ht="19.5" customHeight="1">
      <c r="A42" s="287"/>
      <c r="B42" s="191"/>
      <c r="C42" s="194"/>
      <c r="D42" s="230" t="s">
        <v>562</v>
      </c>
      <c r="E42" s="503"/>
      <c r="F42" s="79">
        <v>43600</v>
      </c>
      <c r="G42" s="503"/>
      <c r="H42" s="503"/>
      <c r="I42" s="25"/>
    </row>
    <row r="43" spans="1:9" ht="24.75" customHeight="1">
      <c r="A43" s="204"/>
      <c r="B43" s="191"/>
      <c r="C43" s="226">
        <v>2010</v>
      </c>
      <c r="D43" s="227" t="s">
        <v>756</v>
      </c>
      <c r="E43" s="504"/>
      <c r="F43" s="504">
        <v>43600</v>
      </c>
      <c r="G43" s="504"/>
      <c r="H43" s="505"/>
      <c r="I43" s="25"/>
    </row>
    <row r="44" spans="1:9" ht="25.5" customHeight="1" thickBot="1">
      <c r="A44" s="204"/>
      <c r="B44" s="213"/>
      <c r="C44" s="1012"/>
      <c r="D44" s="500" t="s">
        <v>292</v>
      </c>
      <c r="E44" s="501"/>
      <c r="F44" s="961">
        <f>F45+F50</f>
        <v>175986</v>
      </c>
      <c r="G44" s="502"/>
      <c r="H44" s="502"/>
      <c r="I44" s="25"/>
    </row>
    <row r="45" spans="1:9" ht="21" customHeight="1" thickBot="1">
      <c r="A45" s="204"/>
      <c r="B45" s="213"/>
      <c r="C45" s="396"/>
      <c r="D45" s="96" t="s">
        <v>516</v>
      </c>
      <c r="E45" s="833"/>
      <c r="F45" s="962">
        <f>F46</f>
        <v>24000</v>
      </c>
      <c r="G45" s="834"/>
      <c r="H45" s="834"/>
      <c r="I45" s="25"/>
    </row>
    <row r="46" spans="1:9" ht="18.75" customHeight="1" thickTop="1">
      <c r="A46" s="535">
        <v>754</v>
      </c>
      <c r="B46" s="368"/>
      <c r="C46" s="418"/>
      <c r="D46" s="229" t="s">
        <v>724</v>
      </c>
      <c r="E46" s="935"/>
      <c r="F46" s="1344">
        <f>F47</f>
        <v>24000</v>
      </c>
      <c r="G46" s="936"/>
      <c r="H46" s="937"/>
      <c r="I46" s="25"/>
    </row>
    <row r="47" spans="1:9" ht="18.75" customHeight="1">
      <c r="A47" s="204"/>
      <c r="B47" s="205">
        <v>75411</v>
      </c>
      <c r="C47" s="205"/>
      <c r="D47" s="416" t="s">
        <v>489</v>
      </c>
      <c r="E47" s="833"/>
      <c r="F47" s="835">
        <f>F48</f>
        <v>24000</v>
      </c>
      <c r="G47" s="834"/>
      <c r="H47" s="834"/>
      <c r="I47" s="25"/>
    </row>
    <row r="48" spans="1:9" ht="19.5" customHeight="1">
      <c r="A48" s="204"/>
      <c r="B48" s="213"/>
      <c r="C48" s="537"/>
      <c r="D48" s="593" t="s">
        <v>64</v>
      </c>
      <c r="E48" s="931"/>
      <c r="F48" s="207">
        <f>F49</f>
        <v>24000</v>
      </c>
      <c r="G48" s="932"/>
      <c r="H48" s="932"/>
      <c r="I48" s="25"/>
    </row>
    <row r="49" spans="1:9" ht="29.25" customHeight="1">
      <c r="A49" s="204"/>
      <c r="B49" s="213"/>
      <c r="C49" s="90">
        <v>6610</v>
      </c>
      <c r="D49" s="639" t="s">
        <v>63</v>
      </c>
      <c r="E49" s="933"/>
      <c r="F49" s="933">
        <v>24000</v>
      </c>
      <c r="G49" s="934"/>
      <c r="H49" s="934"/>
      <c r="I49" s="25"/>
    </row>
    <row r="50" spans="1:9" ht="29.25" customHeight="1" thickBot="1">
      <c r="A50" s="113"/>
      <c r="B50" s="113"/>
      <c r="C50" s="113"/>
      <c r="D50" s="96" t="s">
        <v>838</v>
      </c>
      <c r="E50" s="97"/>
      <c r="F50" s="97">
        <f>F51+F57</f>
        <v>151986</v>
      </c>
      <c r="G50" s="97"/>
      <c r="H50" s="97"/>
      <c r="I50" s="25"/>
    </row>
    <row r="51" spans="1:9" ht="20.25" customHeight="1" thickTop="1">
      <c r="A51" s="417">
        <v>754</v>
      </c>
      <c r="B51" s="211"/>
      <c r="C51" s="418"/>
      <c r="D51" s="229" t="s">
        <v>724</v>
      </c>
      <c r="E51" s="519"/>
      <c r="F51" s="524">
        <f>F52</f>
        <v>142000</v>
      </c>
      <c r="G51" s="519"/>
      <c r="H51" s="519"/>
      <c r="I51" s="25"/>
    </row>
    <row r="52" spans="1:9" ht="21.75" customHeight="1">
      <c r="A52" s="204"/>
      <c r="B52" s="205">
        <v>75411</v>
      </c>
      <c r="C52" s="205"/>
      <c r="D52" s="416" t="s">
        <v>489</v>
      </c>
      <c r="E52" s="517"/>
      <c r="F52" s="522">
        <f>F53+F55</f>
        <v>142000</v>
      </c>
      <c r="G52" s="517"/>
      <c r="H52" s="517"/>
      <c r="I52" s="25"/>
    </row>
    <row r="53" spans="1:9" ht="24.75" customHeight="1">
      <c r="A53" s="204"/>
      <c r="B53" s="592"/>
      <c r="C53" s="592"/>
      <c r="D53" s="593" t="s">
        <v>680</v>
      </c>
      <c r="E53" s="518"/>
      <c r="F53" s="521">
        <f>F54</f>
        <v>42000</v>
      </c>
      <c r="G53" s="518"/>
      <c r="H53" s="518"/>
      <c r="I53" s="25"/>
    </row>
    <row r="54" spans="1:9" ht="27.75" customHeight="1">
      <c r="A54" s="264"/>
      <c r="B54" s="594"/>
      <c r="C54" s="396">
        <v>2110</v>
      </c>
      <c r="D54" s="420" t="s">
        <v>332</v>
      </c>
      <c r="E54" s="558"/>
      <c r="F54" s="560">
        <v>42000</v>
      </c>
      <c r="G54" s="558"/>
      <c r="H54" s="558"/>
      <c r="I54" s="25"/>
    </row>
    <row r="55" spans="1:9" ht="25.5" customHeight="1">
      <c r="A55" s="264"/>
      <c r="B55" s="594"/>
      <c r="C55" s="213"/>
      <c r="D55" s="1019" t="s">
        <v>481</v>
      </c>
      <c r="E55" s="598"/>
      <c r="F55" s="92">
        <f>F56</f>
        <v>100000</v>
      </c>
      <c r="G55" s="598"/>
      <c r="H55" s="598"/>
      <c r="I55" s="25"/>
    </row>
    <row r="56" spans="1:9" ht="38.25" customHeight="1">
      <c r="A56" s="1020"/>
      <c r="B56" s="1021"/>
      <c r="C56" s="396">
        <v>6410</v>
      </c>
      <c r="D56" s="639" t="s">
        <v>482</v>
      </c>
      <c r="E56" s="598"/>
      <c r="F56" s="92">
        <v>100000</v>
      </c>
      <c r="G56" s="598"/>
      <c r="H56" s="598"/>
      <c r="I56" s="25"/>
    </row>
    <row r="57" spans="1:9" ht="19.5" customHeight="1">
      <c r="A57" s="535">
        <v>853</v>
      </c>
      <c r="B57" s="368"/>
      <c r="C57" s="418"/>
      <c r="D57" s="229" t="s">
        <v>752</v>
      </c>
      <c r="E57" s="248"/>
      <c r="F57" s="248">
        <f>F58</f>
        <v>9986</v>
      </c>
      <c r="G57" s="248"/>
      <c r="H57" s="248"/>
      <c r="I57" s="25"/>
    </row>
    <row r="58" spans="1:9" ht="18.75" customHeight="1">
      <c r="A58" s="419"/>
      <c r="B58" s="205">
        <v>85334</v>
      </c>
      <c r="C58" s="205"/>
      <c r="D58" s="416" t="s">
        <v>753</v>
      </c>
      <c r="E58" s="258"/>
      <c r="F58" s="258">
        <f>F59</f>
        <v>9986</v>
      </c>
      <c r="G58" s="258"/>
      <c r="H58" s="240"/>
      <c r="I58" s="25"/>
    </row>
    <row r="59" spans="1:9" ht="20.25" customHeight="1">
      <c r="A59" s="204"/>
      <c r="B59" s="213"/>
      <c r="C59" s="206"/>
      <c r="D59" s="399" t="s">
        <v>563</v>
      </c>
      <c r="E59" s="367"/>
      <c r="F59" s="367">
        <f>F60</f>
        <v>9986</v>
      </c>
      <c r="G59" s="294"/>
      <c r="H59" s="295"/>
      <c r="I59" s="25"/>
    </row>
    <row r="60" spans="1:9" ht="27" customHeight="1">
      <c r="A60" s="204"/>
      <c r="B60" s="213"/>
      <c r="C60" s="214">
        <v>2110</v>
      </c>
      <c r="D60" s="420" t="s">
        <v>332</v>
      </c>
      <c r="E60" s="208"/>
      <c r="F60" s="208">
        <v>9986</v>
      </c>
      <c r="G60" s="366"/>
      <c r="H60" s="366"/>
      <c r="I60" s="25"/>
    </row>
    <row r="61" spans="1:9" ht="26.25" customHeight="1" thickBot="1">
      <c r="A61" s="204"/>
      <c r="B61" s="115"/>
      <c r="C61" s="115"/>
      <c r="D61" s="87" t="s">
        <v>827</v>
      </c>
      <c r="E61" s="88"/>
      <c r="F61" s="88"/>
      <c r="G61" s="88">
        <f>G62+G67</f>
        <v>3057341</v>
      </c>
      <c r="H61" s="88">
        <f>H62+H67</f>
        <v>37341</v>
      </c>
      <c r="I61" s="25"/>
    </row>
    <row r="62" spans="1:9" ht="21.75" customHeight="1" thickTop="1">
      <c r="A62" s="412">
        <v>757</v>
      </c>
      <c r="B62" s="192"/>
      <c r="C62" s="192"/>
      <c r="D62" s="192" t="s">
        <v>675</v>
      </c>
      <c r="E62" s="248"/>
      <c r="F62" s="248"/>
      <c r="G62" s="248">
        <f>G63</f>
        <v>37341</v>
      </c>
      <c r="H62" s="248">
        <f>H63</f>
        <v>37341</v>
      </c>
      <c r="I62" s="25"/>
    </row>
    <row r="63" spans="1:9" ht="27" customHeight="1">
      <c r="A63" s="191"/>
      <c r="C63" s="477">
        <v>75702</v>
      </c>
      <c r="D63" s="223" t="s">
        <v>676</v>
      </c>
      <c r="E63" s="196"/>
      <c r="F63" s="196"/>
      <c r="G63" s="196">
        <f>G64</f>
        <v>37341</v>
      </c>
      <c r="H63" s="196">
        <f>H64</f>
        <v>37341</v>
      </c>
      <c r="I63" s="25"/>
    </row>
    <row r="64" spans="1:9" ht="18.75" customHeight="1">
      <c r="A64" s="112"/>
      <c r="B64" s="112"/>
      <c r="C64" s="191"/>
      <c r="D64" s="195" t="s">
        <v>677</v>
      </c>
      <c r="E64" s="197"/>
      <c r="F64" s="197"/>
      <c r="G64" s="197">
        <f>G66</f>
        <v>37341</v>
      </c>
      <c r="H64" s="197">
        <f>H65</f>
        <v>37341</v>
      </c>
      <c r="I64" s="25"/>
    </row>
    <row r="65" spans="1:9" ht="22.5" customHeight="1">
      <c r="A65" s="112"/>
      <c r="B65" s="112"/>
      <c r="C65" s="189">
        <v>4300</v>
      </c>
      <c r="D65" s="10" t="s">
        <v>742</v>
      </c>
      <c r="E65" s="467"/>
      <c r="F65" s="467"/>
      <c r="G65" s="202"/>
      <c r="H65" s="202">
        <v>37341</v>
      </c>
      <c r="I65" s="25"/>
    </row>
    <row r="66" spans="1:9" ht="27" customHeight="1">
      <c r="A66" s="112"/>
      <c r="B66" s="112"/>
      <c r="C66" s="497">
        <v>8070</v>
      </c>
      <c r="D66" s="10" t="s">
        <v>678</v>
      </c>
      <c r="E66" s="198"/>
      <c r="F66" s="198"/>
      <c r="G66" s="198">
        <v>37341</v>
      </c>
      <c r="H66" s="198"/>
      <c r="I66" s="25"/>
    </row>
    <row r="67" spans="1:9" ht="18.75" customHeight="1">
      <c r="A67" s="412">
        <v>758</v>
      </c>
      <c r="B67" s="412"/>
      <c r="C67" s="412"/>
      <c r="D67" s="412" t="s">
        <v>286</v>
      </c>
      <c r="E67" s="436"/>
      <c r="F67" s="436"/>
      <c r="G67" s="436">
        <f>G68</f>
        <v>3020000</v>
      </c>
      <c r="H67" s="436"/>
      <c r="I67" s="25"/>
    </row>
    <row r="68" spans="1:9" ht="18.75" customHeight="1">
      <c r="A68" s="123"/>
      <c r="B68" s="193">
        <v>75818</v>
      </c>
      <c r="C68" s="193"/>
      <c r="D68" s="193" t="s">
        <v>287</v>
      </c>
      <c r="E68" s="220"/>
      <c r="F68" s="220"/>
      <c r="G68" s="392">
        <f>G69+G71</f>
        <v>3020000</v>
      </c>
      <c r="H68" s="220"/>
      <c r="I68" s="25"/>
    </row>
    <row r="69" spans="1:9" ht="18.75" customHeight="1">
      <c r="A69" s="123"/>
      <c r="B69" s="191"/>
      <c r="C69" s="191"/>
      <c r="D69" s="195" t="s">
        <v>288</v>
      </c>
      <c r="E69" s="963"/>
      <c r="F69" s="963"/>
      <c r="G69" s="219">
        <f>G70</f>
        <v>100000</v>
      </c>
      <c r="H69" s="963"/>
      <c r="I69" s="25"/>
    </row>
    <row r="70" spans="1:9" ht="18.75" customHeight="1">
      <c r="A70" s="123"/>
      <c r="B70" s="191"/>
      <c r="C70" s="189">
        <v>4810</v>
      </c>
      <c r="D70" s="246" t="s">
        <v>592</v>
      </c>
      <c r="E70" s="247"/>
      <c r="F70" s="247"/>
      <c r="G70" s="247">
        <v>100000</v>
      </c>
      <c r="H70" s="247"/>
      <c r="I70" s="25"/>
    </row>
    <row r="71" spans="1:9" ht="27.75" customHeight="1">
      <c r="A71" s="123"/>
      <c r="B71" s="191"/>
      <c r="C71" s="194"/>
      <c r="D71" s="195" t="s">
        <v>216</v>
      </c>
      <c r="E71" s="220"/>
      <c r="F71" s="220"/>
      <c r="G71" s="464">
        <f>G72</f>
        <v>2920000</v>
      </c>
      <c r="H71" s="220"/>
      <c r="I71" s="25"/>
    </row>
    <row r="72" spans="1:9" ht="18.75" customHeight="1">
      <c r="A72" s="123"/>
      <c r="B72" s="191"/>
      <c r="C72" s="497">
        <v>6800</v>
      </c>
      <c r="D72" s="10" t="s">
        <v>217</v>
      </c>
      <c r="E72" s="247"/>
      <c r="F72" s="247"/>
      <c r="G72" s="247">
        <v>2920000</v>
      </c>
      <c r="H72" s="247"/>
      <c r="I72" s="25"/>
    </row>
    <row r="73" spans="1:9" ht="29.25" customHeight="1">
      <c r="A73" s="123"/>
      <c r="B73" s="191"/>
      <c r="C73" s="188"/>
      <c r="D73" s="463" t="s">
        <v>8</v>
      </c>
      <c r="E73" s="220"/>
      <c r="F73" s="220"/>
      <c r="G73" s="220"/>
      <c r="H73" s="964">
        <f>H74</f>
        <v>113349</v>
      </c>
      <c r="I73" s="25"/>
    </row>
    <row r="74" spans="1:9" ht="19.5" customHeight="1" thickBot="1">
      <c r="A74" s="123"/>
      <c r="B74" s="191"/>
      <c r="C74" s="188"/>
      <c r="D74" s="681" t="s">
        <v>827</v>
      </c>
      <c r="E74" s="462"/>
      <c r="F74" s="462"/>
      <c r="G74" s="462"/>
      <c r="H74" s="462">
        <f>H75</f>
        <v>113349</v>
      </c>
      <c r="I74" s="25"/>
    </row>
    <row r="75" spans="1:9" ht="19.5" customHeight="1" thickTop="1">
      <c r="A75" s="412">
        <v>750</v>
      </c>
      <c r="B75" s="412"/>
      <c r="C75" s="412"/>
      <c r="D75" s="192" t="s">
        <v>505</v>
      </c>
      <c r="E75" s="508"/>
      <c r="F75" s="508"/>
      <c r="G75" s="508"/>
      <c r="H75" s="508">
        <f>H76</f>
        <v>113349</v>
      </c>
      <c r="I75" s="25"/>
    </row>
    <row r="76" spans="1:9" ht="19.5" customHeight="1">
      <c r="A76" s="123"/>
      <c r="B76" s="193">
        <v>75095</v>
      </c>
      <c r="C76" s="193"/>
      <c r="D76" s="193" t="s">
        <v>829</v>
      </c>
      <c r="E76" s="434"/>
      <c r="F76" s="434"/>
      <c r="G76" s="434"/>
      <c r="H76" s="434">
        <f>H77</f>
        <v>113349</v>
      </c>
      <c r="I76" s="25"/>
    </row>
    <row r="77" spans="1:9" ht="27" customHeight="1">
      <c r="A77" s="123"/>
      <c r="B77" s="191"/>
      <c r="C77" s="191"/>
      <c r="D77" s="511" t="s">
        <v>9</v>
      </c>
      <c r="E77" s="475"/>
      <c r="F77" s="493"/>
      <c r="G77" s="493"/>
      <c r="H77" s="493">
        <f>SUM(H78:H85)</f>
        <v>113349</v>
      </c>
      <c r="I77" s="25"/>
    </row>
    <row r="78" spans="1:9" ht="20.25" customHeight="1">
      <c r="A78" s="123"/>
      <c r="B78" s="191"/>
      <c r="C78" s="189">
        <v>4012</v>
      </c>
      <c r="D78" s="189" t="s">
        <v>664</v>
      </c>
      <c r="E78" s="270"/>
      <c r="F78" s="270"/>
      <c r="G78" s="270"/>
      <c r="H78" s="270">
        <v>2300</v>
      </c>
      <c r="I78" s="25"/>
    </row>
    <row r="79" spans="1:9" ht="20.25" customHeight="1">
      <c r="A79" s="123"/>
      <c r="B79" s="191"/>
      <c r="C79" s="222">
        <v>4112</v>
      </c>
      <c r="D79" s="222" t="s">
        <v>665</v>
      </c>
      <c r="E79" s="298"/>
      <c r="F79" s="298"/>
      <c r="G79" s="298"/>
      <c r="H79" s="298">
        <v>479</v>
      </c>
      <c r="I79" s="25"/>
    </row>
    <row r="80" spans="1:9" ht="20.25" customHeight="1">
      <c r="A80" s="123"/>
      <c r="B80" s="191"/>
      <c r="C80" s="222">
        <v>4172</v>
      </c>
      <c r="D80" s="222" t="s">
        <v>681</v>
      </c>
      <c r="E80" s="298"/>
      <c r="F80" s="298"/>
      <c r="G80" s="298"/>
      <c r="H80" s="298">
        <v>23000</v>
      </c>
      <c r="I80" s="25"/>
    </row>
    <row r="81" spans="1:9" ht="20.25" customHeight="1">
      <c r="A81" s="112"/>
      <c r="B81" s="191"/>
      <c r="C81" s="1027">
        <v>4211</v>
      </c>
      <c r="D81" s="222" t="s">
        <v>10</v>
      </c>
      <c r="E81" s="682"/>
      <c r="F81" s="682"/>
      <c r="G81" s="682"/>
      <c r="H81" s="682">
        <v>2740</v>
      </c>
      <c r="I81" s="25"/>
    </row>
    <row r="82" spans="1:9" ht="20.25" customHeight="1">
      <c r="A82" s="123"/>
      <c r="B82" s="191"/>
      <c r="C82" s="189">
        <v>4212</v>
      </c>
      <c r="D82" s="222" t="s">
        <v>10</v>
      </c>
      <c r="E82" s="682"/>
      <c r="F82" s="682"/>
      <c r="G82" s="682"/>
      <c r="H82" s="682">
        <v>2530</v>
      </c>
      <c r="I82" s="25"/>
    </row>
    <row r="83" spans="1:9" ht="20.25" customHeight="1">
      <c r="A83" s="123"/>
      <c r="B83" s="191"/>
      <c r="C83" s="222">
        <v>4301</v>
      </c>
      <c r="D83" s="222" t="s">
        <v>742</v>
      </c>
      <c r="E83" s="682"/>
      <c r="F83" s="682"/>
      <c r="G83" s="682"/>
      <c r="H83" s="682">
        <v>73600</v>
      </c>
      <c r="I83" s="25"/>
    </row>
    <row r="84" spans="1:9" ht="20.25" customHeight="1">
      <c r="A84" s="123"/>
      <c r="B84" s="191"/>
      <c r="C84" s="222">
        <v>4421</v>
      </c>
      <c r="D84" s="222" t="s">
        <v>686</v>
      </c>
      <c r="E84" s="682"/>
      <c r="F84" s="682"/>
      <c r="G84" s="682"/>
      <c r="H84" s="682">
        <v>4800</v>
      </c>
      <c r="I84" s="25"/>
    </row>
    <row r="85" spans="1:9" ht="20.25" customHeight="1">
      <c r="A85" s="1345"/>
      <c r="B85" s="201"/>
      <c r="C85" s="222">
        <v>4422</v>
      </c>
      <c r="D85" s="222" t="s">
        <v>686</v>
      </c>
      <c r="E85" s="682"/>
      <c r="F85" s="682"/>
      <c r="G85" s="682"/>
      <c r="H85" s="682">
        <v>3900</v>
      </c>
      <c r="I85" s="25"/>
    </row>
    <row r="86" spans="1:9" ht="31.5" customHeight="1">
      <c r="A86" s="1015"/>
      <c r="B86" s="77"/>
      <c r="C86" s="89"/>
      <c r="D86" s="116" t="s">
        <v>435</v>
      </c>
      <c r="E86" s="249"/>
      <c r="F86" s="249"/>
      <c r="G86" s="117">
        <f>G87+G98</f>
        <v>30405</v>
      </c>
      <c r="H86" s="117">
        <f>H87+H98</f>
        <v>830405</v>
      </c>
      <c r="I86" s="25"/>
    </row>
    <row r="87" spans="1:9" ht="23.25" customHeight="1" thickBot="1">
      <c r="A87" s="1015"/>
      <c r="B87" s="201"/>
      <c r="C87" s="201"/>
      <c r="D87" s="87" t="s">
        <v>827</v>
      </c>
      <c r="E87" s="88"/>
      <c r="F87" s="88"/>
      <c r="G87" s="88">
        <f aca="true" t="shared" si="2" ref="G87:H89">G88</f>
        <v>1800</v>
      </c>
      <c r="H87" s="88">
        <f>H88+H93</f>
        <v>801800</v>
      </c>
      <c r="I87" s="25"/>
    </row>
    <row r="88" spans="1:9" ht="18.75" customHeight="1" thickTop="1">
      <c r="A88" s="535">
        <v>700</v>
      </c>
      <c r="B88" s="238"/>
      <c r="C88" s="238"/>
      <c r="D88" s="238" t="s">
        <v>496</v>
      </c>
      <c r="E88" s="244"/>
      <c r="F88" s="244"/>
      <c r="G88" s="244">
        <f t="shared" si="2"/>
        <v>1800</v>
      </c>
      <c r="H88" s="244">
        <f t="shared" si="2"/>
        <v>1800</v>
      </c>
      <c r="I88" s="25"/>
    </row>
    <row r="89" spans="1:9" ht="18.75" customHeight="1">
      <c r="A89" s="1016"/>
      <c r="B89" s="423">
        <v>70005</v>
      </c>
      <c r="C89" s="423"/>
      <c r="D89" s="203" t="s">
        <v>856</v>
      </c>
      <c r="E89" s="441"/>
      <c r="F89" s="441"/>
      <c r="G89" s="441">
        <f t="shared" si="2"/>
        <v>1800</v>
      </c>
      <c r="H89" s="441">
        <f t="shared" si="2"/>
        <v>1800</v>
      </c>
      <c r="I89" s="25"/>
    </row>
    <row r="90" spans="1:9" ht="26.25" customHeight="1">
      <c r="A90" s="1016"/>
      <c r="B90" s="528"/>
      <c r="C90" s="191"/>
      <c r="D90" s="511" t="s">
        <v>740</v>
      </c>
      <c r="E90" s="475"/>
      <c r="F90" s="493"/>
      <c r="G90" s="493">
        <f>G92</f>
        <v>1800</v>
      </c>
      <c r="H90" s="493">
        <f>H91</f>
        <v>1800</v>
      </c>
      <c r="I90" s="25"/>
    </row>
    <row r="91" spans="1:9" ht="16.5" customHeight="1">
      <c r="A91" s="1016"/>
      <c r="B91" s="528"/>
      <c r="C91" s="189">
        <v>4260</v>
      </c>
      <c r="D91" s="189" t="s">
        <v>741</v>
      </c>
      <c r="E91" s="270"/>
      <c r="F91" s="270"/>
      <c r="G91" s="270"/>
      <c r="H91" s="270">
        <v>1800</v>
      </c>
      <c r="I91" s="25"/>
    </row>
    <row r="92" spans="1:9" ht="16.5" customHeight="1">
      <c r="A92" s="1016"/>
      <c r="B92" s="528"/>
      <c r="C92" s="222">
        <v>4300</v>
      </c>
      <c r="D92" s="222" t="s">
        <v>742</v>
      </c>
      <c r="E92" s="298"/>
      <c r="F92" s="298"/>
      <c r="G92" s="298">
        <v>1800</v>
      </c>
      <c r="H92" s="298"/>
      <c r="I92" s="25"/>
    </row>
    <row r="93" spans="1:8" ht="18.75" customHeight="1">
      <c r="A93" s="412">
        <v>900</v>
      </c>
      <c r="B93" s="412"/>
      <c r="C93" s="412"/>
      <c r="D93" s="412" t="s">
        <v>498</v>
      </c>
      <c r="E93" s="369"/>
      <c r="F93" s="369"/>
      <c r="G93" s="650"/>
      <c r="H93" s="650">
        <f>H94</f>
        <v>800000</v>
      </c>
    </row>
    <row r="94" spans="1:8" ht="18.75" customHeight="1">
      <c r="A94" s="191"/>
      <c r="B94" s="193">
        <v>90095</v>
      </c>
      <c r="C94" s="1029"/>
      <c r="D94" s="193" t="s">
        <v>829</v>
      </c>
      <c r="E94" s="242"/>
      <c r="F94" s="242"/>
      <c r="G94" s="905"/>
      <c r="H94" s="905">
        <f>H95</f>
        <v>800000</v>
      </c>
    </row>
    <row r="95" spans="1:8" ht="18.75" customHeight="1">
      <c r="A95" s="191"/>
      <c r="B95" s="89"/>
      <c r="C95" s="188"/>
      <c r="D95" s="195" t="s">
        <v>655</v>
      </c>
      <c r="E95" s="916"/>
      <c r="F95" s="916"/>
      <c r="G95" s="574"/>
      <c r="H95" s="574">
        <f>H97</f>
        <v>800000</v>
      </c>
    </row>
    <row r="96" spans="1:8" ht="18.75" customHeight="1">
      <c r="A96" s="191"/>
      <c r="B96" s="89"/>
      <c r="C96" s="188"/>
      <c r="D96" s="982" t="s">
        <v>522</v>
      </c>
      <c r="E96" s="1333"/>
      <c r="F96" s="1333"/>
      <c r="G96" s="966"/>
      <c r="H96" s="966">
        <v>800000</v>
      </c>
    </row>
    <row r="97" spans="1:8" ht="18.75" customHeight="1">
      <c r="A97" s="191"/>
      <c r="B97" s="89"/>
      <c r="C97" s="189">
        <v>6050</v>
      </c>
      <c r="D97" s="189" t="s">
        <v>670</v>
      </c>
      <c r="E97" s="190"/>
      <c r="F97" s="190"/>
      <c r="G97" s="402"/>
      <c r="H97" s="402">
        <v>800000</v>
      </c>
    </row>
    <row r="98" spans="1:9" ht="39" customHeight="1" thickBot="1">
      <c r="A98" s="1016"/>
      <c r="B98" s="528"/>
      <c r="C98" s="474"/>
      <c r="D98" s="97" t="s">
        <v>831</v>
      </c>
      <c r="E98" s="216"/>
      <c r="F98" s="216"/>
      <c r="G98" s="217">
        <f aca="true" t="shared" si="3" ref="G98:H100">G99</f>
        <v>28605</v>
      </c>
      <c r="H98" s="217">
        <f t="shared" si="3"/>
        <v>28605</v>
      </c>
      <c r="I98" s="25"/>
    </row>
    <row r="99" spans="1:9" ht="20.25" customHeight="1" thickTop="1">
      <c r="A99" s="563" t="s">
        <v>434</v>
      </c>
      <c r="B99" s="412"/>
      <c r="C99" s="412"/>
      <c r="D99" s="192" t="s">
        <v>496</v>
      </c>
      <c r="E99" s="564"/>
      <c r="F99" s="564"/>
      <c r="G99" s="564">
        <f t="shared" si="3"/>
        <v>28605</v>
      </c>
      <c r="H99" s="564">
        <f t="shared" si="3"/>
        <v>28605</v>
      </c>
      <c r="I99" s="25"/>
    </row>
    <row r="100" spans="1:9" ht="20.25" customHeight="1">
      <c r="A100" s="194"/>
      <c r="B100" s="203">
        <v>70005</v>
      </c>
      <c r="C100" s="203"/>
      <c r="D100" s="383" t="s">
        <v>856</v>
      </c>
      <c r="E100" s="441"/>
      <c r="F100" s="441"/>
      <c r="G100" s="441">
        <f t="shared" si="3"/>
        <v>28605</v>
      </c>
      <c r="H100" s="441">
        <f t="shared" si="3"/>
        <v>28605</v>
      </c>
      <c r="I100" s="25"/>
    </row>
    <row r="101" spans="1:9" ht="20.25" customHeight="1">
      <c r="A101" s="191"/>
      <c r="B101" s="191"/>
      <c r="C101" s="194"/>
      <c r="D101" s="384" t="s">
        <v>767</v>
      </c>
      <c r="E101" s="529"/>
      <c r="F101" s="529"/>
      <c r="G101" s="557">
        <f>G102</f>
        <v>28605</v>
      </c>
      <c r="H101" s="557">
        <f>H103+H104+H105</f>
        <v>28605</v>
      </c>
      <c r="I101" s="25"/>
    </row>
    <row r="102" spans="1:9" ht="20.25" customHeight="1">
      <c r="A102" s="191"/>
      <c r="B102" s="191"/>
      <c r="C102" s="189">
        <v>4300</v>
      </c>
      <c r="D102" s="444" t="s">
        <v>742</v>
      </c>
      <c r="E102" s="554"/>
      <c r="F102" s="554"/>
      <c r="G102" s="556">
        <v>28605</v>
      </c>
      <c r="H102" s="556"/>
      <c r="I102" s="25"/>
    </row>
    <row r="103" spans="1:9" ht="20.25" customHeight="1">
      <c r="A103" s="191"/>
      <c r="B103" s="191"/>
      <c r="C103" s="222">
        <v>4480</v>
      </c>
      <c r="D103" s="377" t="s">
        <v>745</v>
      </c>
      <c r="E103" s="441"/>
      <c r="F103" s="441"/>
      <c r="G103" s="555"/>
      <c r="H103" s="555">
        <v>4000</v>
      </c>
      <c r="I103" s="25"/>
    </row>
    <row r="104" spans="1:9" ht="20.25" customHeight="1">
      <c r="A104" s="191"/>
      <c r="B104" s="191"/>
      <c r="C104" s="222">
        <v>4590</v>
      </c>
      <c r="D104" s="485" t="s">
        <v>744</v>
      </c>
      <c r="E104" s="441"/>
      <c r="F104" s="441"/>
      <c r="G104" s="555"/>
      <c r="H104" s="555">
        <v>24046</v>
      </c>
      <c r="I104" s="25"/>
    </row>
    <row r="105" spans="1:9" ht="20.25" customHeight="1">
      <c r="A105" s="191"/>
      <c r="B105" s="191"/>
      <c r="C105" s="222">
        <v>4610</v>
      </c>
      <c r="D105" s="445" t="s">
        <v>743</v>
      </c>
      <c r="E105" s="441"/>
      <c r="F105" s="441"/>
      <c r="G105" s="555"/>
      <c r="H105" s="555">
        <v>559</v>
      </c>
      <c r="I105" s="25"/>
    </row>
    <row r="106" spans="1:9" ht="41.25" customHeight="1">
      <c r="A106" s="191"/>
      <c r="B106" s="77"/>
      <c r="C106" s="89"/>
      <c r="D106" s="116" t="s">
        <v>436</v>
      </c>
      <c r="E106" s="249"/>
      <c r="F106" s="249"/>
      <c r="G106" s="117">
        <f>G107</f>
        <v>861910</v>
      </c>
      <c r="H106" s="117">
        <f>H107</f>
        <v>861910</v>
      </c>
      <c r="I106" s="25"/>
    </row>
    <row r="107" spans="1:9" ht="19.5" customHeight="1" thickBot="1">
      <c r="A107" s="77"/>
      <c r="B107" s="115"/>
      <c r="C107" s="115"/>
      <c r="D107" s="87" t="s">
        <v>827</v>
      </c>
      <c r="E107" s="88"/>
      <c r="F107" s="88"/>
      <c r="G107" s="88">
        <f>G108+G126</f>
        <v>861910</v>
      </c>
      <c r="H107" s="88">
        <f>H108+H126</f>
        <v>861910</v>
      </c>
      <c r="I107" s="25"/>
    </row>
    <row r="108" spans="1:9" ht="22.5" customHeight="1" thickTop="1">
      <c r="A108" s="412">
        <v>600</v>
      </c>
      <c r="B108" s="412"/>
      <c r="C108" s="647"/>
      <c r="D108" s="413" t="s">
        <v>369</v>
      </c>
      <c r="E108" s="244"/>
      <c r="F108" s="244"/>
      <c r="G108" s="244">
        <f>G109+G117+G122</f>
        <v>602910</v>
      </c>
      <c r="H108" s="244">
        <f>H109+H117+H122</f>
        <v>602910</v>
      </c>
      <c r="I108" s="25"/>
    </row>
    <row r="109" spans="1:9" ht="19.5" customHeight="1">
      <c r="A109" s="112"/>
      <c r="B109" s="193">
        <v>60015</v>
      </c>
      <c r="C109" s="193"/>
      <c r="D109" s="193" t="s">
        <v>370</v>
      </c>
      <c r="E109" s="292"/>
      <c r="F109" s="292"/>
      <c r="G109" s="292">
        <f>G112</f>
        <v>452910</v>
      </c>
      <c r="H109" s="292">
        <f>H110+H114</f>
        <v>417040</v>
      </c>
      <c r="I109" s="25">
        <f>H109-G109</f>
        <v>-35870</v>
      </c>
    </row>
    <row r="110" spans="1:9" ht="19.5" customHeight="1">
      <c r="A110" s="112"/>
      <c r="B110" s="191"/>
      <c r="C110" s="194"/>
      <c r="D110" s="496" t="s">
        <v>749</v>
      </c>
      <c r="E110" s="461"/>
      <c r="F110" s="461"/>
      <c r="G110" s="461"/>
      <c r="H110" s="461">
        <f>H111</f>
        <v>400000</v>
      </c>
      <c r="I110" s="25"/>
    </row>
    <row r="111" spans="1:9" ht="19.5" customHeight="1">
      <c r="A111" s="112"/>
      <c r="B111" s="112"/>
      <c r="C111" s="189">
        <v>4300</v>
      </c>
      <c r="D111" s="189" t="s">
        <v>742</v>
      </c>
      <c r="E111" s="265"/>
      <c r="F111" s="265"/>
      <c r="G111" s="265"/>
      <c r="H111" s="265">
        <v>400000</v>
      </c>
      <c r="I111" s="25"/>
    </row>
    <row r="112" spans="1:9" ht="19.5" customHeight="1">
      <c r="A112" s="112"/>
      <c r="B112" s="112"/>
      <c r="C112" s="191"/>
      <c r="D112" s="446" t="s">
        <v>596</v>
      </c>
      <c r="E112" s="461"/>
      <c r="F112" s="461"/>
      <c r="G112" s="461">
        <f>G113</f>
        <v>452910</v>
      </c>
      <c r="H112" s="461"/>
      <c r="I112" s="25"/>
    </row>
    <row r="113" spans="1:9" ht="19.5" customHeight="1">
      <c r="A113" s="113"/>
      <c r="B113" s="113"/>
      <c r="C113" s="189">
        <v>4270</v>
      </c>
      <c r="D113" s="189" t="s">
        <v>597</v>
      </c>
      <c r="E113" s="265"/>
      <c r="F113" s="265"/>
      <c r="G113" s="265">
        <v>452910</v>
      </c>
      <c r="H113" s="265"/>
      <c r="I113" s="25"/>
    </row>
    <row r="114" spans="1:9" ht="24" customHeight="1">
      <c r="A114" s="112"/>
      <c r="B114" s="112"/>
      <c r="C114" s="191"/>
      <c r="D114" s="191" t="s">
        <v>655</v>
      </c>
      <c r="E114" s="1028"/>
      <c r="F114" s="1028"/>
      <c r="G114" s="1028"/>
      <c r="H114" s="488">
        <f>H116</f>
        <v>17040</v>
      </c>
      <c r="I114" s="25"/>
    </row>
    <row r="115" spans="1:9" ht="19.5" customHeight="1">
      <c r="A115" s="112"/>
      <c r="B115" s="112"/>
      <c r="C115" s="191"/>
      <c r="D115" s="974" t="s">
        <v>18</v>
      </c>
      <c r="E115" s="991"/>
      <c r="F115" s="991"/>
      <c r="G115" s="991"/>
      <c r="H115" s="992">
        <v>17040</v>
      </c>
      <c r="I115" s="25"/>
    </row>
    <row r="116" spans="1:9" ht="19.5" customHeight="1">
      <c r="A116" s="112"/>
      <c r="B116" s="113"/>
      <c r="C116" s="189">
        <v>6050</v>
      </c>
      <c r="D116" s="189" t="s">
        <v>670</v>
      </c>
      <c r="E116" s="643"/>
      <c r="F116" s="643"/>
      <c r="G116" s="643"/>
      <c r="H116" s="643">
        <v>17040</v>
      </c>
      <c r="I116" s="25"/>
    </row>
    <row r="117" spans="1:9" ht="19.5" customHeight="1">
      <c r="A117" s="112"/>
      <c r="B117" s="193">
        <v>60016</v>
      </c>
      <c r="C117" s="193"/>
      <c r="D117" s="193" t="s">
        <v>750</v>
      </c>
      <c r="E117" s="582"/>
      <c r="F117" s="582"/>
      <c r="G117" s="582">
        <f>G120</f>
        <v>150000</v>
      </c>
      <c r="H117" s="582">
        <f>H118</f>
        <v>80000</v>
      </c>
      <c r="I117" s="25">
        <f>H117-G117</f>
        <v>-70000</v>
      </c>
    </row>
    <row r="118" spans="1:9" ht="19.5" customHeight="1">
      <c r="A118" s="112"/>
      <c r="B118" s="191"/>
      <c r="C118" s="191"/>
      <c r="D118" s="496" t="s">
        <v>749</v>
      </c>
      <c r="E118" s="642"/>
      <c r="F118" s="642"/>
      <c r="G118" s="642"/>
      <c r="H118" s="642">
        <f>H119</f>
        <v>80000</v>
      </c>
      <c r="I118" s="25"/>
    </row>
    <row r="119" spans="1:9" ht="19.5" customHeight="1">
      <c r="A119" s="112"/>
      <c r="B119" s="112"/>
      <c r="C119" s="189">
        <v>4300</v>
      </c>
      <c r="D119" s="246" t="s">
        <v>742</v>
      </c>
      <c r="E119" s="582"/>
      <c r="F119" s="582"/>
      <c r="G119" s="582"/>
      <c r="H119" s="643">
        <v>80000</v>
      </c>
      <c r="I119" s="25"/>
    </row>
    <row r="120" spans="1:9" ht="19.5" customHeight="1">
      <c r="A120" s="112"/>
      <c r="B120" s="112"/>
      <c r="C120" s="537"/>
      <c r="D120" s="526" t="s">
        <v>511</v>
      </c>
      <c r="E120" s="642"/>
      <c r="F120" s="642"/>
      <c r="G120" s="642">
        <f>G121</f>
        <v>150000</v>
      </c>
      <c r="H120" s="642"/>
      <c r="I120" s="25"/>
    </row>
    <row r="121" spans="1:9" ht="19.5" customHeight="1">
      <c r="A121" s="112"/>
      <c r="B121" s="112"/>
      <c r="C121" s="90">
        <v>4270</v>
      </c>
      <c r="D121" s="189" t="s">
        <v>531</v>
      </c>
      <c r="E121" s="643"/>
      <c r="F121" s="643"/>
      <c r="G121" s="643">
        <v>150000</v>
      </c>
      <c r="H121" s="643"/>
      <c r="I121" s="25"/>
    </row>
    <row r="122" spans="1:9" ht="19.5" customHeight="1">
      <c r="A122" s="112"/>
      <c r="B122" s="512">
        <v>60017</v>
      </c>
      <c r="C122" s="113"/>
      <c r="D122" s="193" t="s">
        <v>599</v>
      </c>
      <c r="E122" s="252"/>
      <c r="F122" s="252"/>
      <c r="G122" s="252"/>
      <c r="H122" s="252">
        <f>H123</f>
        <v>105870</v>
      </c>
      <c r="I122" s="25">
        <f>H122-G122</f>
        <v>105870</v>
      </c>
    </row>
    <row r="123" spans="1:9" ht="19.5" customHeight="1">
      <c r="A123" s="112"/>
      <c r="B123" s="112"/>
      <c r="C123" s="191"/>
      <c r="D123" s="446" t="s">
        <v>649</v>
      </c>
      <c r="E123" s="207"/>
      <c r="F123" s="207"/>
      <c r="G123" s="207"/>
      <c r="H123" s="207">
        <f>H125</f>
        <v>105870</v>
      </c>
      <c r="I123" s="25"/>
    </row>
    <row r="124" spans="1:9" ht="19.5" customHeight="1">
      <c r="A124" s="112"/>
      <c r="B124" s="112"/>
      <c r="C124" s="191"/>
      <c r="D124" s="987" t="s">
        <v>19</v>
      </c>
      <c r="E124" s="993"/>
      <c r="F124" s="993"/>
      <c r="G124" s="993"/>
      <c r="H124" s="993">
        <v>105870</v>
      </c>
      <c r="I124" s="25"/>
    </row>
    <row r="125" spans="1:9" ht="19.5" customHeight="1">
      <c r="A125" s="113"/>
      <c r="B125" s="113"/>
      <c r="C125" s="189">
        <v>6050</v>
      </c>
      <c r="D125" s="189" t="s">
        <v>670</v>
      </c>
      <c r="E125" s="265"/>
      <c r="F125" s="265"/>
      <c r="G125" s="265"/>
      <c r="H125" s="265">
        <v>105870</v>
      </c>
      <c r="I125" s="25"/>
    </row>
    <row r="126" spans="1:9" ht="19.5" customHeight="1">
      <c r="A126" s="192">
        <v>900</v>
      </c>
      <c r="B126" s="192"/>
      <c r="C126" s="192"/>
      <c r="D126" s="192" t="s">
        <v>751</v>
      </c>
      <c r="E126" s="652"/>
      <c r="F126" s="652"/>
      <c r="G126" s="370">
        <f>G127</f>
        <v>259000</v>
      </c>
      <c r="H126" s="370">
        <f>H127</f>
        <v>259000</v>
      </c>
      <c r="I126" s="25"/>
    </row>
    <row r="127" spans="1:9" ht="19.5" customHeight="1">
      <c r="A127" s="89"/>
      <c r="B127" s="193">
        <v>90015</v>
      </c>
      <c r="C127" s="193"/>
      <c r="D127" s="193" t="s">
        <v>600</v>
      </c>
      <c r="E127" s="577"/>
      <c r="F127" s="577"/>
      <c r="G127" s="620">
        <f>G128+G130+G132</f>
        <v>259000</v>
      </c>
      <c r="H127" s="620">
        <f>H128+H130+H132</f>
        <v>259000</v>
      </c>
      <c r="I127" s="25"/>
    </row>
    <row r="128" spans="1:9" ht="19.5" customHeight="1">
      <c r="A128" s="89"/>
      <c r="B128" s="191"/>
      <c r="C128" s="191"/>
      <c r="D128" s="495" t="s">
        <v>601</v>
      </c>
      <c r="E128" s="498"/>
      <c r="F128" s="498"/>
      <c r="G128" s="461">
        <f>G129</f>
        <v>233000</v>
      </c>
      <c r="H128" s="498"/>
      <c r="I128" s="25"/>
    </row>
    <row r="129" spans="1:9" ht="19.5" customHeight="1">
      <c r="A129" s="89"/>
      <c r="B129" s="191"/>
      <c r="C129" s="189">
        <v>4260</v>
      </c>
      <c r="D129" s="10" t="s">
        <v>741</v>
      </c>
      <c r="E129" s="577"/>
      <c r="F129" s="577"/>
      <c r="G129" s="577">
        <v>233000</v>
      </c>
      <c r="H129" s="577"/>
      <c r="I129" s="25"/>
    </row>
    <row r="130" spans="1:9" ht="19.5" customHeight="1">
      <c r="A130" s="89"/>
      <c r="B130" s="191"/>
      <c r="C130" s="188"/>
      <c r="D130" s="495" t="s">
        <v>602</v>
      </c>
      <c r="E130" s="498"/>
      <c r="F130" s="498"/>
      <c r="G130" s="498"/>
      <c r="H130" s="461">
        <f>H131</f>
        <v>259000</v>
      </c>
      <c r="I130" s="25"/>
    </row>
    <row r="131" spans="1:9" ht="19.5" customHeight="1">
      <c r="A131" s="89"/>
      <c r="B131" s="191"/>
      <c r="C131" s="189">
        <v>4300</v>
      </c>
      <c r="D131" s="10" t="s">
        <v>742</v>
      </c>
      <c r="E131" s="577"/>
      <c r="F131" s="577"/>
      <c r="G131" s="577"/>
      <c r="H131" s="577">
        <v>259000</v>
      </c>
      <c r="I131" s="25"/>
    </row>
    <row r="132" spans="1:9" ht="19.5" customHeight="1">
      <c r="A132" s="89"/>
      <c r="B132" s="191"/>
      <c r="C132" s="188"/>
      <c r="D132" s="496" t="s">
        <v>651</v>
      </c>
      <c r="E132" s="461"/>
      <c r="F132" s="461"/>
      <c r="G132" s="461">
        <f>G133</f>
        <v>26000</v>
      </c>
      <c r="H132" s="461"/>
      <c r="I132" s="25"/>
    </row>
    <row r="133" spans="1:9" ht="19.5" customHeight="1">
      <c r="A133" s="89"/>
      <c r="B133" s="89"/>
      <c r="C133" s="189">
        <v>6050</v>
      </c>
      <c r="D133" s="189" t="s">
        <v>670</v>
      </c>
      <c r="E133" s="443"/>
      <c r="F133" s="443"/>
      <c r="G133" s="443">
        <v>26000</v>
      </c>
      <c r="H133" s="443"/>
      <c r="I133" s="25"/>
    </row>
    <row r="134" spans="1:9" ht="32.25" customHeight="1">
      <c r="A134" s="191"/>
      <c r="B134" s="77"/>
      <c r="C134" s="89"/>
      <c r="D134" s="116" t="s">
        <v>437</v>
      </c>
      <c r="E134" s="117"/>
      <c r="F134" s="117"/>
      <c r="G134" s="117">
        <f>G135+G184</f>
        <v>967495</v>
      </c>
      <c r="H134" s="117">
        <f>H135+H184</f>
        <v>646357</v>
      </c>
      <c r="I134" s="25"/>
    </row>
    <row r="135" spans="1:9" ht="19.5" customHeight="1" thickBot="1">
      <c r="A135" s="191"/>
      <c r="B135" s="86"/>
      <c r="C135" s="86"/>
      <c r="D135" s="87" t="s">
        <v>827</v>
      </c>
      <c r="E135" s="88"/>
      <c r="F135" s="88"/>
      <c r="G135" s="88">
        <f>G136+G150+G167+G176+G171</f>
        <v>967495</v>
      </c>
      <c r="H135" s="88">
        <f>H136+H150+H167+H176+H171</f>
        <v>162537</v>
      </c>
      <c r="I135" s="25"/>
    </row>
    <row r="136" spans="1:9" ht="19.5" customHeight="1" thickTop="1">
      <c r="A136" s="412">
        <v>750</v>
      </c>
      <c r="B136" s="412"/>
      <c r="C136" s="412"/>
      <c r="D136" s="412" t="s">
        <v>505</v>
      </c>
      <c r="E136" s="390"/>
      <c r="F136" s="390"/>
      <c r="G136" s="390">
        <f>G137+G141</f>
        <v>75937</v>
      </c>
      <c r="H136" s="390">
        <f>H137+H141</f>
        <v>135937</v>
      </c>
      <c r="I136" s="25"/>
    </row>
    <row r="137" spans="1:9" ht="19.5" customHeight="1">
      <c r="A137" s="191"/>
      <c r="B137" s="203">
        <v>75022</v>
      </c>
      <c r="C137" s="203"/>
      <c r="D137" s="203" t="s">
        <v>682</v>
      </c>
      <c r="E137" s="252"/>
      <c r="F137" s="252"/>
      <c r="G137" s="252"/>
      <c r="H137" s="252">
        <f>H138</f>
        <v>60000</v>
      </c>
      <c r="I137" s="25"/>
    </row>
    <row r="138" spans="1:9" s="1" customFormat="1" ht="18.75" customHeight="1">
      <c r="A138" s="191"/>
      <c r="B138" s="191"/>
      <c r="C138" s="191"/>
      <c r="D138" s="496" t="s">
        <v>683</v>
      </c>
      <c r="E138" s="611"/>
      <c r="F138" s="611"/>
      <c r="G138" s="574"/>
      <c r="H138" s="578">
        <f>H140</f>
        <v>60000</v>
      </c>
      <c r="I138" s="8"/>
    </row>
    <row r="139" spans="1:9" s="1" customFormat="1" ht="18.75" customHeight="1">
      <c r="A139" s="191"/>
      <c r="B139" s="191"/>
      <c r="C139" s="191"/>
      <c r="D139" s="974" t="s">
        <v>647</v>
      </c>
      <c r="E139" s="902"/>
      <c r="F139" s="902"/>
      <c r="G139" s="401"/>
      <c r="H139" s="966">
        <v>60000</v>
      </c>
      <c r="I139" s="8"/>
    </row>
    <row r="140" spans="1:9" s="1" customFormat="1" ht="18.75" customHeight="1">
      <c r="A140" s="191"/>
      <c r="B140" s="201"/>
      <c r="C140" s="189">
        <v>6060</v>
      </c>
      <c r="D140" s="10" t="s">
        <v>671</v>
      </c>
      <c r="E140" s="90"/>
      <c r="F140" s="90"/>
      <c r="G140" s="402"/>
      <c r="H140" s="402">
        <v>60000</v>
      </c>
      <c r="I140" s="8"/>
    </row>
    <row r="141" spans="1:9" s="1" customFormat="1" ht="18.75" customHeight="1">
      <c r="A141" s="191"/>
      <c r="B141" s="193">
        <v>75023</v>
      </c>
      <c r="C141" s="193"/>
      <c r="D141" s="193" t="s">
        <v>506</v>
      </c>
      <c r="E141" s="512"/>
      <c r="F141" s="512"/>
      <c r="G141" s="687">
        <f>G142+G145</f>
        <v>75937</v>
      </c>
      <c r="H141" s="687">
        <f>H142+H147</f>
        <v>75937</v>
      </c>
      <c r="I141" s="8"/>
    </row>
    <row r="142" spans="1:9" s="1" customFormat="1" ht="18.75" customHeight="1">
      <c r="A142" s="191"/>
      <c r="B142" s="191"/>
      <c r="C142" s="191"/>
      <c r="D142" s="511" t="s">
        <v>828</v>
      </c>
      <c r="E142" s="499"/>
      <c r="F142" s="269"/>
      <c r="G142" s="269">
        <f>G144</f>
        <v>3300</v>
      </c>
      <c r="H142" s="269">
        <f>H143</f>
        <v>72637</v>
      </c>
      <c r="I142" s="8"/>
    </row>
    <row r="143" spans="1:9" s="1" customFormat="1" ht="18.75" customHeight="1">
      <c r="A143" s="201"/>
      <c r="B143" s="201"/>
      <c r="C143" s="189">
        <v>4210</v>
      </c>
      <c r="D143" s="10" t="s">
        <v>674</v>
      </c>
      <c r="E143" s="275"/>
      <c r="F143" s="942"/>
      <c r="G143" s="942"/>
      <c r="H143" s="942">
        <v>72637</v>
      </c>
      <c r="I143" s="8"/>
    </row>
    <row r="144" spans="1:9" s="1" customFormat="1" ht="19.5" customHeight="1">
      <c r="A144" s="194"/>
      <c r="B144" s="194"/>
      <c r="C144" s="222">
        <v>4270</v>
      </c>
      <c r="D144" s="222" t="s">
        <v>16</v>
      </c>
      <c r="E144" s="298"/>
      <c r="F144" s="298"/>
      <c r="G144" s="298">
        <v>3300</v>
      </c>
      <c r="H144" s="298"/>
      <c r="I144" s="8"/>
    </row>
    <row r="145" spans="1:9" s="1" customFormat="1" ht="19.5" customHeight="1">
      <c r="A145" s="191"/>
      <c r="B145" s="191"/>
      <c r="C145" s="188"/>
      <c r="D145" s="191" t="s">
        <v>921</v>
      </c>
      <c r="E145" s="475"/>
      <c r="F145" s="475"/>
      <c r="G145" s="493">
        <f>G146</f>
        <v>72637</v>
      </c>
      <c r="H145" s="475"/>
      <c r="I145" s="8"/>
    </row>
    <row r="146" spans="1:9" s="1" customFormat="1" ht="19.5" customHeight="1">
      <c r="A146" s="191"/>
      <c r="B146" s="191"/>
      <c r="C146" s="189">
        <v>4110</v>
      </c>
      <c r="D146" s="246" t="s">
        <v>665</v>
      </c>
      <c r="E146" s="270"/>
      <c r="F146" s="270"/>
      <c r="G146" s="270">
        <v>72637</v>
      </c>
      <c r="H146" s="270"/>
      <c r="I146" s="8"/>
    </row>
    <row r="147" spans="1:9" s="1" customFormat="1" ht="18.75" customHeight="1">
      <c r="A147" s="191"/>
      <c r="B147" s="191"/>
      <c r="C147" s="191"/>
      <c r="D147" s="473" t="s">
        <v>655</v>
      </c>
      <c r="E147" s="1018"/>
      <c r="F147" s="470"/>
      <c r="G147" s="470"/>
      <c r="H147" s="470">
        <f>H149</f>
        <v>3300</v>
      </c>
      <c r="I147" s="8"/>
    </row>
    <row r="148" spans="1:9" s="1" customFormat="1" ht="18.75" customHeight="1">
      <c r="A148" s="191"/>
      <c r="B148" s="191"/>
      <c r="C148" s="191"/>
      <c r="D148" s="978" t="s">
        <v>31</v>
      </c>
      <c r="E148" s="994"/>
      <c r="F148" s="995"/>
      <c r="G148" s="995"/>
      <c r="H148" s="995">
        <v>3300</v>
      </c>
      <c r="I148" s="8"/>
    </row>
    <row r="149" spans="1:9" s="1" customFormat="1" ht="18.75" customHeight="1">
      <c r="A149" s="191"/>
      <c r="B149" s="191"/>
      <c r="C149" s="189">
        <v>6050</v>
      </c>
      <c r="D149" s="189" t="s">
        <v>670</v>
      </c>
      <c r="E149" s="275"/>
      <c r="F149" s="275"/>
      <c r="G149" s="275"/>
      <c r="H149" s="275">
        <v>3300</v>
      </c>
      <c r="I149" s="8"/>
    </row>
    <row r="150" spans="1:9" s="1" customFormat="1" ht="18.75" customHeight="1">
      <c r="A150" s="412">
        <v>801</v>
      </c>
      <c r="B150" s="412"/>
      <c r="C150" s="192"/>
      <c r="D150" s="192" t="s">
        <v>730</v>
      </c>
      <c r="E150" s="192"/>
      <c r="F150" s="192"/>
      <c r="G150" s="248">
        <f>G151+G155+G159+G163</f>
        <v>854820</v>
      </c>
      <c r="H150" s="248">
        <f>H151+H155+H159+H163</f>
        <v>6600</v>
      </c>
      <c r="I150" s="8"/>
    </row>
    <row r="151" spans="1:9" s="1" customFormat="1" ht="18.75" customHeight="1">
      <c r="A151" s="191"/>
      <c r="B151" s="203">
        <v>80101</v>
      </c>
      <c r="C151" s="203"/>
      <c r="D151" s="193" t="s">
        <v>499</v>
      </c>
      <c r="E151" s="512"/>
      <c r="F151" s="512"/>
      <c r="G151" s="687">
        <f>G152</f>
        <v>421200</v>
      </c>
      <c r="H151" s="687"/>
      <c r="I151" s="8"/>
    </row>
    <row r="152" spans="1:9" s="1" customFormat="1" ht="18.75" customHeight="1">
      <c r="A152" s="191"/>
      <c r="B152" s="191"/>
      <c r="C152" s="191"/>
      <c r="D152" s="980" t="s">
        <v>649</v>
      </c>
      <c r="E152" s="475"/>
      <c r="F152" s="493"/>
      <c r="G152" s="493">
        <f>G154</f>
        <v>421200</v>
      </c>
      <c r="H152" s="493"/>
      <c r="I152" s="8"/>
    </row>
    <row r="153" spans="1:9" s="1" customFormat="1" ht="18.75" customHeight="1">
      <c r="A153" s="191"/>
      <c r="B153" s="191"/>
      <c r="C153" s="191"/>
      <c r="D153" s="982" t="s">
        <v>653</v>
      </c>
      <c r="E153" s="996"/>
      <c r="F153" s="997"/>
      <c r="G153" s="997">
        <v>421200</v>
      </c>
      <c r="H153" s="997"/>
      <c r="I153" s="8"/>
    </row>
    <row r="154" spans="1:9" s="1" customFormat="1" ht="18.75" customHeight="1">
      <c r="A154" s="191"/>
      <c r="B154" s="191"/>
      <c r="C154" s="189">
        <v>6050</v>
      </c>
      <c r="D154" s="189" t="s">
        <v>670</v>
      </c>
      <c r="E154" s="275"/>
      <c r="F154" s="275"/>
      <c r="G154" s="275">
        <f>414600+6600</f>
        <v>421200</v>
      </c>
      <c r="H154" s="275"/>
      <c r="I154" s="8"/>
    </row>
    <row r="155" spans="1:9" s="1" customFormat="1" ht="18.75" customHeight="1">
      <c r="A155" s="191"/>
      <c r="B155" s="477">
        <v>80104</v>
      </c>
      <c r="C155" s="205"/>
      <c r="D155" s="429" t="s">
        <v>12</v>
      </c>
      <c r="E155" s="512"/>
      <c r="F155" s="512"/>
      <c r="G155" s="687">
        <f>G156</f>
        <v>317620</v>
      </c>
      <c r="H155" s="687"/>
      <c r="I155" s="8"/>
    </row>
    <row r="156" spans="1:9" s="1" customFormat="1" ht="18.75" customHeight="1">
      <c r="A156" s="191"/>
      <c r="B156" s="191"/>
      <c r="C156" s="191"/>
      <c r="D156" s="980" t="s">
        <v>655</v>
      </c>
      <c r="E156" s="475"/>
      <c r="F156" s="493"/>
      <c r="G156" s="493">
        <f>G158</f>
        <v>317620</v>
      </c>
      <c r="H156" s="493"/>
      <c r="I156" s="8"/>
    </row>
    <row r="157" spans="1:9" s="1" customFormat="1" ht="18.75" customHeight="1">
      <c r="A157" s="191"/>
      <c r="B157" s="191"/>
      <c r="C157" s="191"/>
      <c r="D157" s="974" t="s">
        <v>29</v>
      </c>
      <c r="E157" s="996"/>
      <c r="F157" s="997"/>
      <c r="G157" s="997">
        <v>317620</v>
      </c>
      <c r="H157" s="997"/>
      <c r="I157" s="8"/>
    </row>
    <row r="158" spans="1:9" s="1" customFormat="1" ht="18.75" customHeight="1">
      <c r="A158" s="191"/>
      <c r="B158" s="191"/>
      <c r="C158" s="189">
        <v>6050</v>
      </c>
      <c r="D158" s="189" t="s">
        <v>670</v>
      </c>
      <c r="E158" s="275"/>
      <c r="F158" s="275"/>
      <c r="G158" s="275">
        <v>317620</v>
      </c>
      <c r="H158" s="275"/>
      <c r="I158" s="8"/>
    </row>
    <row r="159" spans="1:9" s="1" customFormat="1" ht="18.75" customHeight="1">
      <c r="A159" s="191"/>
      <c r="B159" s="203">
        <v>80110</v>
      </c>
      <c r="C159" s="193"/>
      <c r="D159" s="193" t="s">
        <v>502</v>
      </c>
      <c r="E159" s="512"/>
      <c r="F159" s="512"/>
      <c r="G159" s="687">
        <f>G160</f>
        <v>116000</v>
      </c>
      <c r="H159" s="687"/>
      <c r="I159" s="8"/>
    </row>
    <row r="160" spans="1:9" s="1" customFormat="1" ht="18.75" customHeight="1">
      <c r="A160" s="191"/>
      <c r="B160" s="191"/>
      <c r="C160" s="191"/>
      <c r="D160" s="980" t="s">
        <v>649</v>
      </c>
      <c r="E160" s="475"/>
      <c r="F160" s="493"/>
      <c r="G160" s="493">
        <f>G162</f>
        <v>116000</v>
      </c>
      <c r="H160" s="493"/>
      <c r="I160" s="8"/>
    </row>
    <row r="161" spans="1:9" s="1" customFormat="1" ht="18.75" customHeight="1">
      <c r="A161" s="191"/>
      <c r="B161" s="191"/>
      <c r="C161" s="191"/>
      <c r="D161" s="974" t="s">
        <v>653</v>
      </c>
      <c r="E161" s="996"/>
      <c r="F161" s="997"/>
      <c r="G161" s="997">
        <v>116000</v>
      </c>
      <c r="H161" s="997"/>
      <c r="I161" s="8"/>
    </row>
    <row r="162" spans="1:9" s="1" customFormat="1" ht="20.25" customHeight="1">
      <c r="A162" s="191"/>
      <c r="B162" s="191"/>
      <c r="C162" s="189">
        <v>6050</v>
      </c>
      <c r="D162" s="189" t="s">
        <v>670</v>
      </c>
      <c r="E162" s="275"/>
      <c r="F162" s="275"/>
      <c r="G162" s="275">
        <v>116000</v>
      </c>
      <c r="H162" s="275"/>
      <c r="I162" s="8"/>
    </row>
    <row r="163" spans="1:9" s="1" customFormat="1" ht="16.5" customHeight="1">
      <c r="A163" s="191"/>
      <c r="B163" s="203">
        <v>80130</v>
      </c>
      <c r="C163" s="203"/>
      <c r="D163" s="203" t="s">
        <v>14</v>
      </c>
      <c r="E163" s="512"/>
      <c r="F163" s="512"/>
      <c r="G163" s="687"/>
      <c r="H163" s="687">
        <f>H164</f>
        <v>6600</v>
      </c>
      <c r="I163" s="8"/>
    </row>
    <row r="164" spans="1:9" s="1" customFormat="1" ht="18.75" customHeight="1">
      <c r="A164" s="191"/>
      <c r="B164" s="191"/>
      <c r="C164" s="191"/>
      <c r="D164" s="191" t="s">
        <v>649</v>
      </c>
      <c r="E164" s="998"/>
      <c r="F164" s="998"/>
      <c r="G164" s="999"/>
      <c r="H164" s="1000">
        <f>H166</f>
        <v>6600</v>
      </c>
      <c r="I164" s="8"/>
    </row>
    <row r="165" spans="1:9" s="1" customFormat="1" ht="18.75" customHeight="1">
      <c r="A165" s="191"/>
      <c r="B165" s="191"/>
      <c r="C165" s="191"/>
      <c r="D165" s="974" t="s">
        <v>653</v>
      </c>
      <c r="E165" s="902"/>
      <c r="F165" s="902"/>
      <c r="G165" s="401"/>
      <c r="H165" s="966">
        <v>6600</v>
      </c>
      <c r="I165" s="8"/>
    </row>
    <row r="166" spans="1:9" s="1" customFormat="1" ht="18.75" customHeight="1">
      <c r="A166" s="191"/>
      <c r="B166" s="191"/>
      <c r="C166" s="188">
        <v>6050</v>
      </c>
      <c r="D166" s="188" t="s">
        <v>670</v>
      </c>
      <c r="E166" s="90"/>
      <c r="F166" s="90"/>
      <c r="G166" s="402"/>
      <c r="H166" s="402">
        <v>6600</v>
      </c>
      <c r="I166" s="8"/>
    </row>
    <row r="167" spans="1:9" s="1" customFormat="1" ht="18" customHeight="1">
      <c r="A167" s="412">
        <v>851</v>
      </c>
      <c r="B167" s="412"/>
      <c r="C167" s="412"/>
      <c r="D167" s="412" t="s">
        <v>877</v>
      </c>
      <c r="E167" s="447"/>
      <c r="F167" s="447"/>
      <c r="G167" s="650"/>
      <c r="H167" s="650">
        <f>H168</f>
        <v>20000</v>
      </c>
      <c r="I167" s="8"/>
    </row>
    <row r="168" spans="1:9" s="1" customFormat="1" ht="18.75" customHeight="1">
      <c r="A168" s="567"/>
      <c r="B168" s="203">
        <v>85121</v>
      </c>
      <c r="C168" s="203"/>
      <c r="D168" s="360" t="s">
        <v>485</v>
      </c>
      <c r="E168" s="89"/>
      <c r="F168" s="89"/>
      <c r="G168" s="454"/>
      <c r="H168" s="651">
        <f>H169</f>
        <v>20000</v>
      </c>
      <c r="I168" s="8"/>
    </row>
    <row r="169" spans="1:9" s="1" customFormat="1" ht="18.75" customHeight="1">
      <c r="A169" s="567"/>
      <c r="B169" s="762"/>
      <c r="C169" s="194"/>
      <c r="D169" s="195" t="s">
        <v>487</v>
      </c>
      <c r="E169" s="611"/>
      <c r="F169" s="611"/>
      <c r="G169" s="574"/>
      <c r="H169" s="578">
        <f>H170</f>
        <v>20000</v>
      </c>
      <c r="I169" s="8"/>
    </row>
    <row r="170" spans="1:9" s="1" customFormat="1" ht="18.75" customHeight="1">
      <c r="A170" s="191"/>
      <c r="B170" s="191"/>
      <c r="C170" s="189">
        <v>4170</v>
      </c>
      <c r="D170" s="189" t="s">
        <v>681</v>
      </c>
      <c r="E170" s="546"/>
      <c r="F170" s="546"/>
      <c r="G170" s="571"/>
      <c r="H170" s="571">
        <v>20000</v>
      </c>
      <c r="I170" s="8"/>
    </row>
    <row r="171" spans="1:9" s="1" customFormat="1" ht="18.75" customHeight="1">
      <c r="A171" s="412">
        <v>852</v>
      </c>
      <c r="B171" s="412"/>
      <c r="C171" s="412"/>
      <c r="D171" s="412" t="s">
        <v>746</v>
      </c>
      <c r="E171" s="447"/>
      <c r="F171" s="447"/>
      <c r="G171" s="650">
        <f>G172</f>
        <v>8100</v>
      </c>
      <c r="H171" s="650"/>
      <c r="I171" s="8"/>
    </row>
    <row r="172" spans="1:9" s="1" customFormat="1" ht="17.25" customHeight="1">
      <c r="A172" s="191"/>
      <c r="B172" s="481">
        <v>85202</v>
      </c>
      <c r="C172" s="481"/>
      <c r="D172" s="481" t="s">
        <v>497</v>
      </c>
      <c r="E172" s="397"/>
      <c r="F172" s="397"/>
      <c r="G172" s="905">
        <f>G173</f>
        <v>8100</v>
      </c>
      <c r="H172" s="572"/>
      <c r="I172" s="8"/>
    </row>
    <row r="173" spans="1:9" s="1" customFormat="1" ht="18.75" customHeight="1">
      <c r="A173" s="191"/>
      <c r="B173" s="191"/>
      <c r="C173" s="191"/>
      <c r="D173" s="496" t="s">
        <v>655</v>
      </c>
      <c r="E173" s="900"/>
      <c r="F173" s="900"/>
      <c r="G173" s="850">
        <f>G174</f>
        <v>8100</v>
      </c>
      <c r="H173" s="576"/>
      <c r="I173" s="8"/>
    </row>
    <row r="174" spans="1:9" s="1" customFormat="1" ht="38.25" customHeight="1">
      <c r="A174" s="191"/>
      <c r="B174" s="89"/>
      <c r="C174" s="188"/>
      <c r="D174" s="901" t="s">
        <v>530</v>
      </c>
      <c r="E174" s="902"/>
      <c r="F174" s="902"/>
      <c r="G174" s="401">
        <f>G175</f>
        <v>8100</v>
      </c>
      <c r="H174" s="401"/>
      <c r="I174" s="8"/>
    </row>
    <row r="175" spans="1:9" s="1" customFormat="1" ht="19.5" customHeight="1">
      <c r="A175" s="201"/>
      <c r="B175" s="90"/>
      <c r="C175" s="189">
        <v>6050</v>
      </c>
      <c r="D175" s="903" t="s">
        <v>670</v>
      </c>
      <c r="E175" s="904"/>
      <c r="F175" s="904"/>
      <c r="G175" s="849">
        <v>8100</v>
      </c>
      <c r="H175" s="849"/>
      <c r="I175" s="8"/>
    </row>
    <row r="176" spans="1:9" s="1" customFormat="1" ht="21" customHeight="1">
      <c r="A176" s="412">
        <v>854</v>
      </c>
      <c r="B176" s="412"/>
      <c r="C176" s="412"/>
      <c r="D176" s="412" t="s">
        <v>503</v>
      </c>
      <c r="E176" s="550"/>
      <c r="F176" s="550"/>
      <c r="G176" s="702">
        <f>G177+G181</f>
        <v>28638</v>
      </c>
      <c r="H176" s="702"/>
      <c r="I176" s="8"/>
    </row>
    <row r="177" spans="1:9" s="1" customFormat="1" ht="18.75" customHeight="1">
      <c r="A177" s="191"/>
      <c r="B177" s="205">
        <v>85403</v>
      </c>
      <c r="C177" s="205"/>
      <c r="D177" s="193" t="s">
        <v>15</v>
      </c>
      <c r="E177" s="512"/>
      <c r="F177" s="512"/>
      <c r="G177" s="687">
        <f>G178</f>
        <v>25985</v>
      </c>
      <c r="H177" s="687"/>
      <c r="I177" s="8"/>
    </row>
    <row r="178" spans="1:9" s="1" customFormat="1" ht="18.75" customHeight="1">
      <c r="A178" s="191"/>
      <c r="B178" s="592"/>
      <c r="C178" s="191"/>
      <c r="D178" s="446" t="s">
        <v>649</v>
      </c>
      <c r="E178" s="611"/>
      <c r="F178" s="611"/>
      <c r="G178" s="578">
        <f>G180</f>
        <v>25985</v>
      </c>
      <c r="H178" s="574"/>
      <c r="I178" s="8"/>
    </row>
    <row r="179" spans="1:9" s="1" customFormat="1" ht="18.75" customHeight="1">
      <c r="A179" s="191"/>
      <c r="B179" s="592"/>
      <c r="C179" s="191"/>
      <c r="D179" s="974" t="s">
        <v>653</v>
      </c>
      <c r="E179" s="902"/>
      <c r="F179" s="902"/>
      <c r="G179" s="966">
        <v>25985</v>
      </c>
      <c r="H179" s="401"/>
      <c r="I179" s="8"/>
    </row>
    <row r="180" spans="1:9" s="1" customFormat="1" ht="18.75" customHeight="1">
      <c r="A180" s="191"/>
      <c r="B180" s="205"/>
      <c r="C180" s="188">
        <v>6050</v>
      </c>
      <c r="D180" s="188" t="s">
        <v>670</v>
      </c>
      <c r="E180" s="89"/>
      <c r="F180" s="89"/>
      <c r="G180" s="454">
        <v>25985</v>
      </c>
      <c r="H180" s="454"/>
      <c r="I180" s="8"/>
    </row>
    <row r="181" spans="1:9" s="1" customFormat="1" ht="18.75" customHeight="1">
      <c r="A181" s="191"/>
      <c r="B181" s="205">
        <v>85410</v>
      </c>
      <c r="C181" s="477"/>
      <c r="D181" s="203" t="s">
        <v>932</v>
      </c>
      <c r="E181" s="512"/>
      <c r="F181" s="512"/>
      <c r="G181" s="687">
        <f>G182</f>
        <v>2653</v>
      </c>
      <c r="H181" s="687"/>
      <c r="I181" s="8"/>
    </row>
    <row r="182" spans="1:9" s="1" customFormat="1" ht="18.75" customHeight="1">
      <c r="A182" s="191"/>
      <c r="B182" s="89"/>
      <c r="C182" s="188"/>
      <c r="D182" s="496" t="s">
        <v>828</v>
      </c>
      <c r="E182" s="611"/>
      <c r="F182" s="611"/>
      <c r="G182" s="578">
        <f>G183</f>
        <v>2653</v>
      </c>
      <c r="H182" s="574"/>
      <c r="I182" s="8"/>
    </row>
    <row r="183" spans="1:9" s="1" customFormat="1" ht="18.75" customHeight="1">
      <c r="A183" s="191"/>
      <c r="B183" s="90"/>
      <c r="C183" s="189">
        <v>4270</v>
      </c>
      <c r="D183" s="10" t="s">
        <v>679</v>
      </c>
      <c r="E183" s="90"/>
      <c r="F183" s="90"/>
      <c r="G183" s="402">
        <v>2653</v>
      </c>
      <c r="H183" s="402"/>
      <c r="I183" s="8"/>
    </row>
    <row r="184" spans="1:9" ht="24.75" customHeight="1" thickBot="1">
      <c r="A184" s="191"/>
      <c r="B184" s="86"/>
      <c r="C184" s="86"/>
      <c r="D184" s="87" t="s">
        <v>830</v>
      </c>
      <c r="E184" s="118"/>
      <c r="F184" s="118"/>
      <c r="G184" s="118"/>
      <c r="H184" s="118">
        <f>H185</f>
        <v>483820</v>
      </c>
      <c r="I184" s="25"/>
    </row>
    <row r="185" spans="1:9" ht="26.25" customHeight="1" thickTop="1">
      <c r="A185" s="413">
        <v>751</v>
      </c>
      <c r="B185" s="509"/>
      <c r="C185" s="509"/>
      <c r="D185" s="509" t="s">
        <v>372</v>
      </c>
      <c r="E185" s="530"/>
      <c r="F185" s="530"/>
      <c r="G185" s="530"/>
      <c r="H185" s="370">
        <f>H186</f>
        <v>483820</v>
      </c>
      <c r="I185" s="25"/>
    </row>
    <row r="186" spans="1:9" ht="18" customHeight="1">
      <c r="A186" s="191"/>
      <c r="B186" s="223">
        <v>75107</v>
      </c>
      <c r="C186" s="223"/>
      <c r="D186" s="286" t="s">
        <v>490</v>
      </c>
      <c r="E186" s="293"/>
      <c r="F186" s="293"/>
      <c r="G186" s="293"/>
      <c r="H186" s="292">
        <f>H187</f>
        <v>483820</v>
      </c>
      <c r="I186" s="25"/>
    </row>
    <row r="187" spans="1:9" ht="18" customHeight="1">
      <c r="A187" s="191"/>
      <c r="B187" s="194"/>
      <c r="C187" s="194"/>
      <c r="D187" s="195" t="s">
        <v>490</v>
      </c>
      <c r="E187" s="207"/>
      <c r="F187" s="207"/>
      <c r="G187" s="207"/>
      <c r="H187" s="207">
        <f>H188</f>
        <v>483820</v>
      </c>
      <c r="I187" s="25"/>
    </row>
    <row r="188" spans="1:9" ht="18" customHeight="1">
      <c r="A188" s="191"/>
      <c r="B188" s="191"/>
      <c r="C188" s="189">
        <v>3030</v>
      </c>
      <c r="D188" s="233" t="s">
        <v>488</v>
      </c>
      <c r="E188" s="265"/>
      <c r="F188" s="202"/>
      <c r="G188" s="265"/>
      <c r="H188" s="275">
        <f>241900+241920</f>
        <v>483820</v>
      </c>
      <c r="I188" s="25"/>
    </row>
    <row r="189" spans="1:9" ht="39" customHeight="1">
      <c r="A189" s="947"/>
      <c r="B189" s="77"/>
      <c r="C189" s="89"/>
      <c r="D189" s="116" t="s">
        <v>438</v>
      </c>
      <c r="E189" s="117"/>
      <c r="F189" s="117"/>
      <c r="G189" s="117">
        <f>G190</f>
        <v>2357524</v>
      </c>
      <c r="H189" s="117">
        <f>H190</f>
        <v>58411</v>
      </c>
      <c r="I189" s="25"/>
    </row>
    <row r="190" spans="1:9" ht="17.25" customHeight="1" thickBot="1">
      <c r="A190" s="191"/>
      <c r="B190" s="77"/>
      <c r="C190" s="77"/>
      <c r="D190" s="87" t="s">
        <v>827</v>
      </c>
      <c r="E190" s="88"/>
      <c r="F190" s="88"/>
      <c r="G190" s="88">
        <f>G191+G278</f>
        <v>2357524</v>
      </c>
      <c r="H190" s="88">
        <f>H191</f>
        <v>58411</v>
      </c>
      <c r="I190" s="25"/>
    </row>
    <row r="191" spans="1:9" ht="20.25" customHeight="1" thickTop="1">
      <c r="A191" s="412">
        <v>801</v>
      </c>
      <c r="B191" s="412"/>
      <c r="C191" s="412"/>
      <c r="D191" s="192" t="s">
        <v>730</v>
      </c>
      <c r="E191" s="920"/>
      <c r="F191" s="920"/>
      <c r="G191" s="921">
        <f>G192+G203+G206+G228+G236+G241+G247+G254+G259+G264+G272</f>
        <v>1704439</v>
      </c>
      <c r="H191" s="921">
        <f>H192+H203+H206+H228+H236+H241+H247+H254+H259+H264+H272</f>
        <v>58411</v>
      </c>
      <c r="I191" s="25"/>
    </row>
    <row r="192" spans="1:9" ht="20.25" customHeight="1">
      <c r="A192" s="191"/>
      <c r="B192" s="918">
        <v>80101</v>
      </c>
      <c r="C192" s="918"/>
      <c r="D192" s="193" t="s">
        <v>499</v>
      </c>
      <c r="E192" s="667"/>
      <c r="F192" s="667"/>
      <c r="G192" s="733">
        <f>G193+G196+G198+G200</f>
        <v>644858</v>
      </c>
      <c r="H192" s="667"/>
      <c r="I192" s="25"/>
    </row>
    <row r="193" spans="1:9" ht="20.25" customHeight="1">
      <c r="A193" s="191"/>
      <c r="B193" s="191"/>
      <c r="C193" s="188"/>
      <c r="D193" s="496" t="s">
        <v>747</v>
      </c>
      <c r="E193" s="611"/>
      <c r="F193" s="611"/>
      <c r="G193" s="578">
        <f>G194+G195</f>
        <v>499000</v>
      </c>
      <c r="H193" s="574"/>
      <c r="I193" s="25"/>
    </row>
    <row r="194" spans="1:9" ht="20.25" customHeight="1">
      <c r="A194" s="191"/>
      <c r="B194" s="191"/>
      <c r="C194" s="189">
        <v>4010</v>
      </c>
      <c r="D194" s="10" t="s">
        <v>664</v>
      </c>
      <c r="E194" s="90"/>
      <c r="F194" s="90"/>
      <c r="G194" s="402">
        <v>458190</v>
      </c>
      <c r="H194" s="402"/>
      <c r="I194" s="25"/>
    </row>
    <row r="195" spans="1:9" ht="20.25" customHeight="1">
      <c r="A195" s="191"/>
      <c r="B195" s="191"/>
      <c r="C195" s="189">
        <v>4170</v>
      </c>
      <c r="D195" s="10" t="s">
        <v>681</v>
      </c>
      <c r="E195" s="90"/>
      <c r="F195" s="90"/>
      <c r="G195" s="402">
        <v>40810</v>
      </c>
      <c r="H195" s="402"/>
      <c r="I195" s="25"/>
    </row>
    <row r="196" spans="1:9" ht="20.25" customHeight="1">
      <c r="A196" s="191"/>
      <c r="B196" s="191"/>
      <c r="C196" s="188"/>
      <c r="D196" s="496" t="s">
        <v>828</v>
      </c>
      <c r="E196" s="611"/>
      <c r="F196" s="611"/>
      <c r="G196" s="578">
        <f>G197</f>
        <v>72718</v>
      </c>
      <c r="H196" s="574"/>
      <c r="I196" s="25"/>
    </row>
    <row r="197" spans="1:9" ht="20.25" customHeight="1">
      <c r="A197" s="191"/>
      <c r="B197" s="191"/>
      <c r="C197" s="189">
        <v>4260</v>
      </c>
      <c r="D197" s="10" t="s">
        <v>741</v>
      </c>
      <c r="E197" s="90"/>
      <c r="F197" s="90"/>
      <c r="G197" s="402">
        <v>72718</v>
      </c>
      <c r="H197" s="402"/>
      <c r="I197" s="25"/>
    </row>
    <row r="198" spans="1:9" ht="20.25" customHeight="1">
      <c r="A198" s="191"/>
      <c r="B198" s="191"/>
      <c r="C198" s="188"/>
      <c r="D198" s="496" t="s">
        <v>921</v>
      </c>
      <c r="E198" s="611"/>
      <c r="F198" s="611"/>
      <c r="G198" s="578">
        <f>G199</f>
        <v>60880</v>
      </c>
      <c r="H198" s="574"/>
      <c r="I198" s="25"/>
    </row>
    <row r="199" spans="1:9" ht="20.25" customHeight="1">
      <c r="A199" s="191"/>
      <c r="B199" s="191"/>
      <c r="C199" s="189">
        <v>4110</v>
      </c>
      <c r="D199" s="10" t="s">
        <v>665</v>
      </c>
      <c r="E199" s="90"/>
      <c r="F199" s="90"/>
      <c r="G199" s="402">
        <v>60880</v>
      </c>
      <c r="H199" s="402"/>
      <c r="I199" s="25"/>
    </row>
    <row r="200" spans="1:9" ht="20.25" customHeight="1">
      <c r="A200" s="191"/>
      <c r="B200" s="191"/>
      <c r="C200" s="188"/>
      <c r="D200" s="496" t="s">
        <v>922</v>
      </c>
      <c r="E200" s="611"/>
      <c r="F200" s="611"/>
      <c r="G200" s="578">
        <f>G201+G202</f>
        <v>12260</v>
      </c>
      <c r="H200" s="574"/>
      <c r="I200" s="25"/>
    </row>
    <row r="201" spans="1:9" ht="20.25" customHeight="1">
      <c r="A201" s="191"/>
      <c r="B201" s="191"/>
      <c r="C201" s="189">
        <v>4010</v>
      </c>
      <c r="D201" s="10" t="s">
        <v>664</v>
      </c>
      <c r="E201" s="90"/>
      <c r="F201" s="90"/>
      <c r="G201" s="402">
        <v>11730</v>
      </c>
      <c r="H201" s="402"/>
      <c r="I201" s="25"/>
    </row>
    <row r="202" spans="1:9" ht="20.25" customHeight="1">
      <c r="A202" s="191"/>
      <c r="B202" s="201"/>
      <c r="C202" s="188">
        <v>4110</v>
      </c>
      <c r="D202" s="973" t="s">
        <v>665</v>
      </c>
      <c r="E202" s="397"/>
      <c r="F202" s="397"/>
      <c r="G202" s="572">
        <v>530</v>
      </c>
      <c r="H202" s="572"/>
      <c r="I202" s="25"/>
    </row>
    <row r="203" spans="1:9" ht="20.25" customHeight="1">
      <c r="A203" s="191"/>
      <c r="B203" s="205">
        <v>80103</v>
      </c>
      <c r="C203" s="477"/>
      <c r="D203" s="429" t="s">
        <v>923</v>
      </c>
      <c r="E203" s="667"/>
      <c r="F203" s="667"/>
      <c r="G203" s="733">
        <f>G204</f>
        <v>14920</v>
      </c>
      <c r="H203" s="667"/>
      <c r="I203" s="25"/>
    </row>
    <row r="204" spans="1:9" ht="20.25" customHeight="1">
      <c r="A204" s="191"/>
      <c r="B204" s="191"/>
      <c r="C204" s="188"/>
      <c r="D204" s="496" t="s">
        <v>747</v>
      </c>
      <c r="E204" s="611"/>
      <c r="F204" s="611"/>
      <c r="G204" s="578">
        <f>G205</f>
        <v>14920</v>
      </c>
      <c r="H204" s="574"/>
      <c r="I204" s="25"/>
    </row>
    <row r="205" spans="1:9" ht="20.25" customHeight="1">
      <c r="A205" s="201"/>
      <c r="B205" s="201"/>
      <c r="C205" s="189">
        <v>4010</v>
      </c>
      <c r="D205" s="10" t="s">
        <v>664</v>
      </c>
      <c r="E205" s="90"/>
      <c r="F205" s="90"/>
      <c r="G205" s="402">
        <v>14920</v>
      </c>
      <c r="H205" s="402"/>
      <c r="I205" s="25"/>
    </row>
    <row r="206" spans="1:9" ht="20.25" customHeight="1">
      <c r="A206" s="191"/>
      <c r="B206" s="205">
        <v>80104</v>
      </c>
      <c r="C206" s="205"/>
      <c r="D206" s="429" t="s">
        <v>12</v>
      </c>
      <c r="E206" s="750"/>
      <c r="F206" s="750"/>
      <c r="G206" s="589">
        <f>G207</f>
        <v>58411</v>
      </c>
      <c r="H206" s="589">
        <f>H207</f>
        <v>58411</v>
      </c>
      <c r="I206" s="25"/>
    </row>
    <row r="207" spans="1:9" ht="20.25" customHeight="1">
      <c r="A207" s="191"/>
      <c r="B207" s="191"/>
      <c r="C207" s="188"/>
      <c r="D207" s="473" t="s">
        <v>456</v>
      </c>
      <c r="E207" s="748"/>
      <c r="F207" s="748"/>
      <c r="G207" s="749">
        <f>G224+G227</f>
        <v>58411</v>
      </c>
      <c r="H207" s="749">
        <f>H224+H227</f>
        <v>58411</v>
      </c>
      <c r="I207" s="25"/>
    </row>
    <row r="208" spans="1:9" ht="41.25" customHeight="1">
      <c r="A208" s="191"/>
      <c r="B208" s="191"/>
      <c r="C208" s="188"/>
      <c r="D208" s="906" t="s">
        <v>467</v>
      </c>
      <c r="E208" s="907"/>
      <c r="F208" s="907"/>
      <c r="G208" s="787"/>
      <c r="H208" s="787">
        <v>28627</v>
      </c>
      <c r="I208" s="25"/>
    </row>
    <row r="209" spans="1:9" ht="28.5" customHeight="1">
      <c r="A209" s="191"/>
      <c r="B209" s="191"/>
      <c r="C209" s="188"/>
      <c r="D209" s="471" t="s">
        <v>468</v>
      </c>
      <c r="E209" s="908"/>
      <c r="F209" s="908"/>
      <c r="G209" s="782"/>
      <c r="H209" s="782">
        <v>2871</v>
      </c>
      <c r="I209" s="25"/>
    </row>
    <row r="210" spans="1:9" ht="27.75" customHeight="1">
      <c r="A210" s="191"/>
      <c r="B210" s="191"/>
      <c r="C210" s="188"/>
      <c r="D210" s="909" t="s">
        <v>469</v>
      </c>
      <c r="E210" s="908"/>
      <c r="F210" s="908"/>
      <c r="G210" s="782">
        <v>3190</v>
      </c>
      <c r="H210" s="782"/>
      <c r="I210" s="25"/>
    </row>
    <row r="211" spans="1:9" ht="27" customHeight="1">
      <c r="A211" s="191"/>
      <c r="B211" s="191"/>
      <c r="C211" s="188"/>
      <c r="D211" s="471" t="s">
        <v>529</v>
      </c>
      <c r="E211" s="908"/>
      <c r="F211" s="908"/>
      <c r="G211" s="782"/>
      <c r="H211" s="782">
        <v>3190</v>
      </c>
      <c r="I211" s="25"/>
    </row>
    <row r="212" spans="1:9" ht="27" customHeight="1">
      <c r="A212" s="191"/>
      <c r="B212" s="191"/>
      <c r="C212" s="188"/>
      <c r="D212" s="471" t="s">
        <v>528</v>
      </c>
      <c r="E212" s="908"/>
      <c r="F212" s="908"/>
      <c r="G212" s="782">
        <v>6061</v>
      </c>
      <c r="H212" s="782"/>
      <c r="I212" s="25"/>
    </row>
    <row r="213" spans="1:9" ht="27" customHeight="1">
      <c r="A213" s="191"/>
      <c r="B213" s="191"/>
      <c r="C213" s="731"/>
      <c r="D213" s="471" t="s">
        <v>527</v>
      </c>
      <c r="E213" s="908"/>
      <c r="F213" s="908"/>
      <c r="G213" s="782">
        <v>15957</v>
      </c>
      <c r="H213" s="782"/>
      <c r="I213" s="25"/>
    </row>
    <row r="214" spans="1:9" ht="39" customHeight="1">
      <c r="A214" s="191"/>
      <c r="B214" s="191"/>
      <c r="C214" s="731"/>
      <c r="D214" s="909" t="s">
        <v>470</v>
      </c>
      <c r="E214" s="908"/>
      <c r="F214" s="908"/>
      <c r="G214" s="782"/>
      <c r="H214" s="782">
        <v>16067</v>
      </c>
      <c r="I214" s="25"/>
    </row>
    <row r="215" spans="1:9" ht="25.5" customHeight="1">
      <c r="A215" s="191"/>
      <c r="B215" s="191"/>
      <c r="C215" s="731"/>
      <c r="D215" s="471" t="s">
        <v>471</v>
      </c>
      <c r="E215" s="908"/>
      <c r="F215" s="908"/>
      <c r="G215" s="782"/>
      <c r="H215" s="782">
        <v>638</v>
      </c>
      <c r="I215" s="25"/>
    </row>
    <row r="216" spans="1:9" ht="25.5" customHeight="1">
      <c r="A216" s="191"/>
      <c r="B216" s="191"/>
      <c r="C216" s="731"/>
      <c r="D216" s="471" t="s">
        <v>472</v>
      </c>
      <c r="E216" s="908"/>
      <c r="F216" s="908"/>
      <c r="G216" s="782">
        <v>7656</v>
      </c>
      <c r="H216" s="782"/>
      <c r="I216" s="25"/>
    </row>
    <row r="217" spans="1:9" ht="27.75" customHeight="1">
      <c r="A217" s="191"/>
      <c r="B217" s="191"/>
      <c r="C217" s="731"/>
      <c r="D217" s="471" t="s">
        <v>526</v>
      </c>
      <c r="E217" s="908"/>
      <c r="F217" s="908"/>
      <c r="G217" s="782"/>
      <c r="H217" s="782">
        <v>2552</v>
      </c>
      <c r="I217" s="25"/>
    </row>
    <row r="218" spans="1:9" ht="27" customHeight="1">
      <c r="A218" s="191"/>
      <c r="B218" s="191"/>
      <c r="C218" s="731"/>
      <c r="D218" s="471" t="s">
        <v>473</v>
      </c>
      <c r="E218" s="908"/>
      <c r="F218" s="908"/>
      <c r="G218" s="782">
        <v>7018</v>
      </c>
      <c r="H218" s="782"/>
      <c r="I218" s="25"/>
    </row>
    <row r="219" spans="1:9" ht="27" customHeight="1">
      <c r="A219" s="191"/>
      <c r="B219" s="191"/>
      <c r="C219" s="731"/>
      <c r="D219" s="471" t="s">
        <v>474</v>
      </c>
      <c r="E219" s="908"/>
      <c r="F219" s="908"/>
      <c r="G219" s="782"/>
      <c r="H219" s="782">
        <v>957</v>
      </c>
      <c r="I219" s="25"/>
    </row>
    <row r="220" spans="1:9" ht="26.25" customHeight="1">
      <c r="A220" s="191"/>
      <c r="B220" s="191"/>
      <c r="C220" s="731"/>
      <c r="D220" s="909" t="s">
        <v>525</v>
      </c>
      <c r="E220" s="908"/>
      <c r="F220" s="908"/>
      <c r="G220" s="782"/>
      <c r="H220" s="782">
        <v>1914</v>
      </c>
      <c r="I220" s="25"/>
    </row>
    <row r="221" spans="1:9" ht="37.5" customHeight="1">
      <c r="A221" s="191"/>
      <c r="B221" s="191"/>
      <c r="C221" s="731"/>
      <c r="D221" s="471" t="s">
        <v>475</v>
      </c>
      <c r="E221" s="908"/>
      <c r="F221" s="908"/>
      <c r="G221" s="782"/>
      <c r="H221" s="782">
        <v>1595</v>
      </c>
      <c r="I221" s="25"/>
    </row>
    <row r="222" spans="1:9" ht="30" customHeight="1">
      <c r="A222" s="191"/>
      <c r="B222" s="191"/>
      <c r="C222" s="731"/>
      <c r="D222" s="471" t="s">
        <v>476</v>
      </c>
      <c r="E222" s="908"/>
      <c r="F222" s="908"/>
      <c r="G222" s="782">
        <v>8932</v>
      </c>
      <c r="H222" s="782"/>
      <c r="I222" s="25"/>
    </row>
    <row r="223" spans="1:9" ht="21" customHeight="1">
      <c r="A223" s="191"/>
      <c r="B223" s="191"/>
      <c r="C223" s="731"/>
      <c r="D223" s="471" t="s">
        <v>477</v>
      </c>
      <c r="E223" s="908"/>
      <c r="F223" s="908"/>
      <c r="G223" s="782">
        <v>5104</v>
      </c>
      <c r="H223" s="782"/>
      <c r="I223" s="25"/>
    </row>
    <row r="224" spans="1:9" ht="21" customHeight="1">
      <c r="A224" s="191"/>
      <c r="B224" s="191"/>
      <c r="C224" s="189">
        <v>2540</v>
      </c>
      <c r="D224" s="10" t="s">
        <v>478</v>
      </c>
      <c r="E224" s="750"/>
      <c r="F224" s="750"/>
      <c r="G224" s="455">
        <f>SUM(G208:G223)</f>
        <v>53918</v>
      </c>
      <c r="H224" s="455">
        <f>SUM(H208:H223)</f>
        <v>58411</v>
      </c>
      <c r="I224" s="25"/>
    </row>
    <row r="225" spans="1:9" ht="32.25" customHeight="1">
      <c r="A225" s="191"/>
      <c r="B225" s="191"/>
      <c r="C225" s="732"/>
      <c r="D225" s="1408" t="s">
        <v>464</v>
      </c>
      <c r="E225" s="1342"/>
      <c r="F225" s="1342"/>
      <c r="G225" s="1343">
        <v>850</v>
      </c>
      <c r="H225" s="1342"/>
      <c r="I225" s="25"/>
    </row>
    <row r="226" spans="1:9" ht="26.25" customHeight="1">
      <c r="A226" s="191"/>
      <c r="B226" s="191"/>
      <c r="C226" s="731"/>
      <c r="D226" s="660" t="s">
        <v>465</v>
      </c>
      <c r="E226" s="1406"/>
      <c r="F226" s="1406"/>
      <c r="G226" s="1407">
        <v>3643</v>
      </c>
      <c r="H226" s="1406"/>
      <c r="I226" s="25"/>
    </row>
    <row r="227" spans="1:9" ht="38.25" customHeight="1">
      <c r="A227" s="201"/>
      <c r="B227" s="201"/>
      <c r="C227" s="189">
        <v>2590</v>
      </c>
      <c r="D227" s="10" t="s">
        <v>466</v>
      </c>
      <c r="E227" s="750"/>
      <c r="F227" s="750"/>
      <c r="G227" s="455">
        <f>SUM(G225:G226)</f>
        <v>4493</v>
      </c>
      <c r="H227" s="750"/>
      <c r="I227" s="25"/>
    </row>
    <row r="228" spans="1:9" ht="20.25" customHeight="1">
      <c r="A228" s="191"/>
      <c r="B228" s="193">
        <v>80110</v>
      </c>
      <c r="C228" s="193"/>
      <c r="D228" s="193" t="s">
        <v>502</v>
      </c>
      <c r="E228" s="667"/>
      <c r="F228" s="667"/>
      <c r="G228" s="733">
        <f>G229+G232+G234</f>
        <v>343400</v>
      </c>
      <c r="H228" s="667"/>
      <c r="I228" s="25"/>
    </row>
    <row r="229" spans="1:9" ht="20.25" customHeight="1">
      <c r="A229" s="191"/>
      <c r="B229" s="191"/>
      <c r="C229" s="188"/>
      <c r="D229" s="496" t="s">
        <v>747</v>
      </c>
      <c r="E229" s="611"/>
      <c r="F229" s="611"/>
      <c r="G229" s="578">
        <f>G230+G231</f>
        <v>300300</v>
      </c>
      <c r="H229" s="574"/>
      <c r="I229" s="25"/>
    </row>
    <row r="230" spans="1:9" ht="20.25" customHeight="1">
      <c r="A230" s="191"/>
      <c r="B230" s="191"/>
      <c r="C230" s="189">
        <v>4010</v>
      </c>
      <c r="D230" s="10" t="s">
        <v>664</v>
      </c>
      <c r="E230" s="90"/>
      <c r="F230" s="90"/>
      <c r="G230" s="402">
        <v>279800</v>
      </c>
      <c r="H230" s="402"/>
      <c r="I230" s="25"/>
    </row>
    <row r="231" spans="1:9" ht="20.25" customHeight="1">
      <c r="A231" s="191"/>
      <c r="B231" s="191"/>
      <c r="C231" s="189">
        <v>4170</v>
      </c>
      <c r="D231" s="10" t="s">
        <v>681</v>
      </c>
      <c r="E231" s="90"/>
      <c r="F231" s="90"/>
      <c r="G231" s="402">
        <v>20500</v>
      </c>
      <c r="H231" s="402"/>
      <c r="I231" s="25"/>
    </row>
    <row r="232" spans="1:9" ht="20.25" customHeight="1">
      <c r="A232" s="191"/>
      <c r="B232" s="191"/>
      <c r="C232" s="188"/>
      <c r="D232" s="496" t="s">
        <v>828</v>
      </c>
      <c r="E232" s="611"/>
      <c r="F232" s="611"/>
      <c r="G232" s="578">
        <f>G233</f>
        <v>2100</v>
      </c>
      <c r="H232" s="574"/>
      <c r="I232" s="25"/>
    </row>
    <row r="233" spans="1:9" ht="20.25" customHeight="1">
      <c r="A233" s="191"/>
      <c r="B233" s="191"/>
      <c r="C233" s="189">
        <v>4260</v>
      </c>
      <c r="D233" s="10" t="s">
        <v>741</v>
      </c>
      <c r="E233" s="90"/>
      <c r="F233" s="90"/>
      <c r="G233" s="402">
        <v>2100</v>
      </c>
      <c r="H233" s="402"/>
      <c r="I233" s="25"/>
    </row>
    <row r="234" spans="1:9" ht="20.25" customHeight="1">
      <c r="A234" s="191"/>
      <c r="B234" s="191"/>
      <c r="C234" s="188"/>
      <c r="D234" s="496" t="s">
        <v>921</v>
      </c>
      <c r="E234" s="611"/>
      <c r="F234" s="611"/>
      <c r="G234" s="578">
        <f>G235</f>
        <v>41000</v>
      </c>
      <c r="H234" s="574"/>
      <c r="I234" s="25"/>
    </row>
    <row r="235" spans="1:9" ht="20.25" customHeight="1">
      <c r="A235" s="191"/>
      <c r="B235" s="191"/>
      <c r="C235" s="189">
        <v>4110</v>
      </c>
      <c r="D235" s="10" t="s">
        <v>665</v>
      </c>
      <c r="E235" s="90"/>
      <c r="F235" s="90"/>
      <c r="G235" s="402">
        <v>41000</v>
      </c>
      <c r="H235" s="402"/>
      <c r="I235" s="25"/>
    </row>
    <row r="236" spans="1:9" ht="20.25" customHeight="1">
      <c r="A236" s="191"/>
      <c r="B236" s="203">
        <v>80111</v>
      </c>
      <c r="C236" s="193"/>
      <c r="D236" s="193" t="s">
        <v>605</v>
      </c>
      <c r="E236" s="667"/>
      <c r="F236" s="667"/>
      <c r="G236" s="733">
        <f>G237+G239</f>
        <v>35800</v>
      </c>
      <c r="H236" s="667"/>
      <c r="I236" s="25"/>
    </row>
    <row r="237" spans="1:9" ht="20.25" customHeight="1">
      <c r="A237" s="191"/>
      <c r="B237" s="191"/>
      <c r="C237" s="188"/>
      <c r="D237" s="496" t="s">
        <v>747</v>
      </c>
      <c r="E237" s="611"/>
      <c r="F237" s="611"/>
      <c r="G237" s="578">
        <f>G238</f>
        <v>29800</v>
      </c>
      <c r="H237" s="574"/>
      <c r="I237" s="25"/>
    </row>
    <row r="238" spans="1:9" ht="20.25" customHeight="1">
      <c r="A238" s="191"/>
      <c r="B238" s="191"/>
      <c r="C238" s="189">
        <v>4010</v>
      </c>
      <c r="D238" s="10" t="s">
        <v>664</v>
      </c>
      <c r="E238" s="90"/>
      <c r="F238" s="90"/>
      <c r="G238" s="402">
        <v>29800</v>
      </c>
      <c r="H238" s="402"/>
      <c r="I238" s="25"/>
    </row>
    <row r="239" spans="1:9" ht="20.25" customHeight="1">
      <c r="A239" s="191"/>
      <c r="B239" s="191"/>
      <c r="C239" s="188"/>
      <c r="D239" s="496" t="s">
        <v>921</v>
      </c>
      <c r="E239" s="611"/>
      <c r="F239" s="611"/>
      <c r="G239" s="578">
        <f>G240</f>
        <v>6000</v>
      </c>
      <c r="H239" s="574"/>
      <c r="I239" s="25"/>
    </row>
    <row r="240" spans="1:9" ht="20.25" customHeight="1">
      <c r="A240" s="191"/>
      <c r="B240" s="191"/>
      <c r="C240" s="189">
        <v>4110</v>
      </c>
      <c r="D240" s="10" t="s">
        <v>665</v>
      </c>
      <c r="E240" s="90"/>
      <c r="F240" s="90"/>
      <c r="G240" s="402">
        <v>6000</v>
      </c>
      <c r="H240" s="402"/>
      <c r="I240" s="25"/>
    </row>
    <row r="241" spans="1:9" ht="20.25" customHeight="1">
      <c r="A241" s="191"/>
      <c r="B241" s="203">
        <v>80120</v>
      </c>
      <c r="C241" s="193"/>
      <c r="D241" s="193" t="s">
        <v>500</v>
      </c>
      <c r="E241" s="667"/>
      <c r="F241" s="667"/>
      <c r="G241" s="733">
        <f>G242+G245</f>
        <v>198800</v>
      </c>
      <c r="H241" s="667"/>
      <c r="I241" s="25"/>
    </row>
    <row r="242" spans="1:9" ht="20.25" customHeight="1">
      <c r="A242" s="191"/>
      <c r="B242" s="191"/>
      <c r="C242" s="188"/>
      <c r="D242" s="496" t="s">
        <v>747</v>
      </c>
      <c r="E242" s="611"/>
      <c r="F242" s="611"/>
      <c r="G242" s="578">
        <f>SUM(G243:G244)</f>
        <v>177500</v>
      </c>
      <c r="H242" s="574"/>
      <c r="I242" s="25"/>
    </row>
    <row r="243" spans="1:9" ht="20.25" customHeight="1">
      <c r="A243" s="191"/>
      <c r="B243" s="191"/>
      <c r="C243" s="189">
        <v>4010</v>
      </c>
      <c r="D243" s="10" t="s">
        <v>664</v>
      </c>
      <c r="E243" s="90"/>
      <c r="F243" s="90"/>
      <c r="G243" s="402">
        <v>161500</v>
      </c>
      <c r="H243" s="402"/>
      <c r="I243" s="25"/>
    </row>
    <row r="244" spans="1:9" ht="20.25" customHeight="1">
      <c r="A244" s="191"/>
      <c r="B244" s="191"/>
      <c r="C244" s="189">
        <v>4170</v>
      </c>
      <c r="D244" s="10" t="s">
        <v>681</v>
      </c>
      <c r="E244" s="90"/>
      <c r="F244" s="90"/>
      <c r="G244" s="402">
        <v>16000</v>
      </c>
      <c r="H244" s="402"/>
      <c r="I244" s="25"/>
    </row>
    <row r="245" spans="1:9" ht="20.25" customHeight="1">
      <c r="A245" s="191"/>
      <c r="B245" s="191"/>
      <c r="C245" s="188"/>
      <c r="D245" s="496" t="s">
        <v>921</v>
      </c>
      <c r="E245" s="611"/>
      <c r="F245" s="611"/>
      <c r="G245" s="578">
        <f>G246</f>
        <v>21300</v>
      </c>
      <c r="H245" s="574"/>
      <c r="I245" s="25"/>
    </row>
    <row r="246" spans="1:9" ht="19.5" customHeight="1">
      <c r="A246" s="191"/>
      <c r="B246" s="191"/>
      <c r="C246" s="189">
        <v>4110</v>
      </c>
      <c r="D246" s="10" t="s">
        <v>665</v>
      </c>
      <c r="E246" s="90"/>
      <c r="F246" s="90"/>
      <c r="G246" s="402">
        <v>21300</v>
      </c>
      <c r="H246" s="402"/>
      <c r="I246" s="25"/>
    </row>
    <row r="247" spans="1:9" ht="19.5" customHeight="1">
      <c r="A247" s="191"/>
      <c r="B247" s="203">
        <v>80121</v>
      </c>
      <c r="C247" s="193"/>
      <c r="D247" s="193" t="s">
        <v>606</v>
      </c>
      <c r="E247" s="667"/>
      <c r="F247" s="667"/>
      <c r="G247" s="733">
        <f>G248+G250+G252</f>
        <v>14400</v>
      </c>
      <c r="H247" s="667"/>
      <c r="I247" s="25"/>
    </row>
    <row r="248" spans="1:9" ht="19.5" customHeight="1">
      <c r="A248" s="191"/>
      <c r="B248" s="510"/>
      <c r="C248" s="188"/>
      <c r="D248" s="496" t="s">
        <v>747</v>
      </c>
      <c r="E248" s="611"/>
      <c r="F248" s="611"/>
      <c r="G248" s="578">
        <f>G249</f>
        <v>10400</v>
      </c>
      <c r="H248" s="574"/>
      <c r="I248" s="25"/>
    </row>
    <row r="249" spans="1:9" ht="19.5" customHeight="1">
      <c r="A249" s="191"/>
      <c r="B249" s="510"/>
      <c r="C249" s="189">
        <v>4010</v>
      </c>
      <c r="D249" s="10" t="s">
        <v>664</v>
      </c>
      <c r="E249" s="90"/>
      <c r="F249" s="90"/>
      <c r="G249" s="402">
        <v>10400</v>
      </c>
      <c r="H249" s="402"/>
      <c r="I249" s="25"/>
    </row>
    <row r="250" spans="1:9" ht="19.5" customHeight="1">
      <c r="A250" s="191"/>
      <c r="B250" s="191"/>
      <c r="C250" s="188"/>
      <c r="D250" s="496" t="s">
        <v>828</v>
      </c>
      <c r="E250" s="611"/>
      <c r="F250" s="611"/>
      <c r="G250" s="578">
        <f>G251</f>
        <v>2000</v>
      </c>
      <c r="H250" s="574"/>
      <c r="I250" s="25"/>
    </row>
    <row r="251" spans="1:9" ht="19.5" customHeight="1">
      <c r="A251" s="191"/>
      <c r="B251" s="191"/>
      <c r="C251" s="189">
        <v>4260</v>
      </c>
      <c r="D251" s="10" t="s">
        <v>741</v>
      </c>
      <c r="E251" s="90"/>
      <c r="F251" s="90"/>
      <c r="G251" s="402">
        <v>2000</v>
      </c>
      <c r="H251" s="402"/>
      <c r="I251" s="25"/>
    </row>
    <row r="252" spans="1:9" ht="19.5" customHeight="1">
      <c r="A252" s="191"/>
      <c r="B252" s="191"/>
      <c r="C252" s="188"/>
      <c r="D252" s="496" t="s">
        <v>921</v>
      </c>
      <c r="E252" s="611"/>
      <c r="F252" s="611"/>
      <c r="G252" s="578">
        <f>G253</f>
        <v>2000</v>
      </c>
      <c r="H252" s="574"/>
      <c r="I252" s="25"/>
    </row>
    <row r="253" spans="1:9" ht="19.5" customHeight="1">
      <c r="A253" s="191"/>
      <c r="B253" s="201"/>
      <c r="C253" s="189">
        <v>4110</v>
      </c>
      <c r="D253" s="10" t="s">
        <v>665</v>
      </c>
      <c r="E253" s="90"/>
      <c r="F253" s="90"/>
      <c r="G253" s="402">
        <v>2000</v>
      </c>
      <c r="H253" s="402"/>
      <c r="I253" s="25"/>
    </row>
    <row r="254" spans="1:9" ht="19.5" customHeight="1">
      <c r="A254" s="191"/>
      <c r="B254" s="203">
        <v>80123</v>
      </c>
      <c r="C254" s="193"/>
      <c r="D254" s="193" t="s">
        <v>926</v>
      </c>
      <c r="E254" s="667"/>
      <c r="F254" s="667"/>
      <c r="G254" s="733">
        <f>G255+G257</f>
        <v>176300</v>
      </c>
      <c r="H254" s="667"/>
      <c r="I254" s="25"/>
    </row>
    <row r="255" spans="1:9" ht="19.5" customHeight="1">
      <c r="A255" s="191"/>
      <c r="B255" s="510"/>
      <c r="C255" s="188"/>
      <c r="D255" s="496" t="s">
        <v>747</v>
      </c>
      <c r="E255" s="611"/>
      <c r="F255" s="611"/>
      <c r="G255" s="578">
        <f>G256</f>
        <v>159000</v>
      </c>
      <c r="H255" s="574"/>
      <c r="I255" s="25"/>
    </row>
    <row r="256" spans="1:9" ht="19.5" customHeight="1">
      <c r="A256" s="191"/>
      <c r="B256" s="510"/>
      <c r="C256" s="189">
        <v>4010</v>
      </c>
      <c r="D256" s="10" t="s">
        <v>664</v>
      </c>
      <c r="E256" s="90"/>
      <c r="F256" s="90"/>
      <c r="G256" s="402">
        <v>159000</v>
      </c>
      <c r="H256" s="402"/>
      <c r="I256" s="25"/>
    </row>
    <row r="257" spans="1:9" ht="19.5" customHeight="1">
      <c r="A257" s="191"/>
      <c r="B257" s="191"/>
      <c r="C257" s="188"/>
      <c r="D257" s="496" t="s">
        <v>921</v>
      </c>
      <c r="E257" s="611"/>
      <c r="F257" s="611"/>
      <c r="G257" s="578">
        <f>G258</f>
        <v>17300</v>
      </c>
      <c r="H257" s="574"/>
      <c r="I257" s="25"/>
    </row>
    <row r="258" spans="1:9" ht="19.5" customHeight="1">
      <c r="A258" s="201"/>
      <c r="B258" s="201"/>
      <c r="C258" s="189">
        <v>4110</v>
      </c>
      <c r="D258" s="10" t="s">
        <v>665</v>
      </c>
      <c r="E258" s="90"/>
      <c r="F258" s="90"/>
      <c r="G258" s="402">
        <v>17300</v>
      </c>
      <c r="H258" s="402"/>
      <c r="I258" s="25"/>
    </row>
    <row r="259" spans="1:9" ht="19.5" customHeight="1">
      <c r="A259" s="191"/>
      <c r="B259" s="193">
        <v>80130</v>
      </c>
      <c r="C259" s="193"/>
      <c r="D259" s="193" t="s">
        <v>14</v>
      </c>
      <c r="E259" s="667"/>
      <c r="F259" s="667"/>
      <c r="G259" s="733">
        <f>G260+G262</f>
        <v>92050</v>
      </c>
      <c r="H259" s="667"/>
      <c r="I259" s="25"/>
    </row>
    <row r="260" spans="1:9" ht="19.5" customHeight="1">
      <c r="A260" s="191"/>
      <c r="B260" s="191"/>
      <c r="C260" s="188"/>
      <c r="D260" s="496" t="s">
        <v>828</v>
      </c>
      <c r="E260" s="611"/>
      <c r="F260" s="611"/>
      <c r="G260" s="578">
        <f>G261</f>
        <v>78650</v>
      </c>
      <c r="H260" s="574"/>
      <c r="I260" s="25"/>
    </row>
    <row r="261" spans="1:9" ht="19.5" customHeight="1">
      <c r="A261" s="191"/>
      <c r="B261" s="191"/>
      <c r="C261" s="189">
        <v>4260</v>
      </c>
      <c r="D261" s="10" t="s">
        <v>741</v>
      </c>
      <c r="E261" s="90"/>
      <c r="F261" s="90"/>
      <c r="G261" s="402">
        <v>78650</v>
      </c>
      <c r="H261" s="402"/>
      <c r="I261" s="25"/>
    </row>
    <row r="262" spans="1:9" ht="19.5" customHeight="1">
      <c r="A262" s="191"/>
      <c r="B262" s="191"/>
      <c r="C262" s="188"/>
      <c r="D262" s="496" t="s">
        <v>921</v>
      </c>
      <c r="E262" s="611"/>
      <c r="F262" s="611"/>
      <c r="G262" s="578">
        <f>G263</f>
        <v>13400</v>
      </c>
      <c r="H262" s="574"/>
      <c r="I262" s="25"/>
    </row>
    <row r="263" spans="1:9" ht="19.5" customHeight="1">
      <c r="A263" s="191"/>
      <c r="B263" s="191"/>
      <c r="C263" s="189">
        <v>4110</v>
      </c>
      <c r="D263" s="10" t="s">
        <v>665</v>
      </c>
      <c r="E263" s="90"/>
      <c r="F263" s="90"/>
      <c r="G263" s="402">
        <v>13400</v>
      </c>
      <c r="H263" s="402"/>
      <c r="I263" s="25"/>
    </row>
    <row r="264" spans="1:9" ht="19.5" customHeight="1">
      <c r="A264" s="191"/>
      <c r="B264" s="203">
        <v>80134</v>
      </c>
      <c r="C264" s="193"/>
      <c r="D264" s="193" t="s">
        <v>607</v>
      </c>
      <c r="E264" s="667"/>
      <c r="F264" s="667"/>
      <c r="G264" s="733">
        <f>G265+G268+G270</f>
        <v>44600</v>
      </c>
      <c r="H264" s="667"/>
      <c r="I264" s="25"/>
    </row>
    <row r="265" spans="1:9" ht="19.5" customHeight="1">
      <c r="A265" s="191"/>
      <c r="B265" s="243"/>
      <c r="C265" s="188"/>
      <c r="D265" s="496" t="s">
        <v>747</v>
      </c>
      <c r="E265" s="611"/>
      <c r="F265" s="611"/>
      <c r="G265" s="578">
        <f>SUM(G266:G267)</f>
        <v>33200</v>
      </c>
      <c r="H265" s="574"/>
      <c r="I265" s="25"/>
    </row>
    <row r="266" spans="1:9" ht="19.5" customHeight="1">
      <c r="A266" s="191"/>
      <c r="B266" s="243"/>
      <c r="C266" s="189">
        <v>4010</v>
      </c>
      <c r="D266" s="10" t="s">
        <v>664</v>
      </c>
      <c r="E266" s="90"/>
      <c r="F266" s="90"/>
      <c r="G266" s="402">
        <v>24200</v>
      </c>
      <c r="H266" s="402"/>
      <c r="I266" s="25"/>
    </row>
    <row r="267" spans="1:9" ht="19.5" customHeight="1">
      <c r="A267" s="191"/>
      <c r="B267" s="243"/>
      <c r="C267" s="222">
        <v>4170</v>
      </c>
      <c r="D267" s="222" t="s">
        <v>681</v>
      </c>
      <c r="E267" s="751"/>
      <c r="F267" s="751"/>
      <c r="G267" s="398">
        <v>9000</v>
      </c>
      <c r="H267" s="751"/>
      <c r="I267" s="25"/>
    </row>
    <row r="268" spans="1:9" ht="19.5" customHeight="1">
      <c r="A268" s="191"/>
      <c r="B268" s="243"/>
      <c r="C268" s="188"/>
      <c r="D268" s="496" t="s">
        <v>828</v>
      </c>
      <c r="E268" s="611"/>
      <c r="F268" s="611"/>
      <c r="G268" s="578">
        <f>G269</f>
        <v>5000</v>
      </c>
      <c r="H268" s="574"/>
      <c r="I268" s="25"/>
    </row>
    <row r="269" spans="1:9" ht="19.5" customHeight="1">
      <c r="A269" s="191"/>
      <c r="B269" s="243"/>
      <c r="C269" s="189">
        <v>4260</v>
      </c>
      <c r="D269" s="10" t="s">
        <v>741</v>
      </c>
      <c r="E269" s="90"/>
      <c r="F269" s="90"/>
      <c r="G269" s="402">
        <v>5000</v>
      </c>
      <c r="H269" s="402"/>
      <c r="I269" s="25"/>
    </row>
    <row r="270" spans="1:9" ht="19.5" customHeight="1">
      <c r="A270" s="191"/>
      <c r="B270" s="191"/>
      <c r="C270" s="188"/>
      <c r="D270" s="496" t="s">
        <v>921</v>
      </c>
      <c r="E270" s="611"/>
      <c r="F270" s="611"/>
      <c r="G270" s="578">
        <f>G271</f>
        <v>6400</v>
      </c>
      <c r="H270" s="574"/>
      <c r="I270" s="25"/>
    </row>
    <row r="271" spans="1:9" ht="19.5" customHeight="1">
      <c r="A271" s="191"/>
      <c r="B271" s="191"/>
      <c r="C271" s="189">
        <v>4110</v>
      </c>
      <c r="D271" s="10" t="s">
        <v>665</v>
      </c>
      <c r="E271" s="90"/>
      <c r="F271" s="90"/>
      <c r="G271" s="402">
        <v>6400</v>
      </c>
      <c r="H271" s="402"/>
      <c r="I271" s="25"/>
    </row>
    <row r="272" spans="1:9" ht="27" customHeight="1">
      <c r="A272" s="191"/>
      <c r="B272" s="203">
        <v>80140</v>
      </c>
      <c r="C272" s="205"/>
      <c r="D272" s="429" t="s">
        <v>398</v>
      </c>
      <c r="E272" s="667"/>
      <c r="F272" s="667"/>
      <c r="G272" s="733">
        <f>G273+G276</f>
        <v>80900</v>
      </c>
      <c r="H272" s="667"/>
      <c r="I272" s="25"/>
    </row>
    <row r="273" spans="1:9" ht="19.5" customHeight="1">
      <c r="A273" s="191"/>
      <c r="B273" s="191"/>
      <c r="C273" s="188"/>
      <c r="D273" s="496" t="s">
        <v>747</v>
      </c>
      <c r="E273" s="611"/>
      <c r="F273" s="611"/>
      <c r="G273" s="578">
        <f>SUM(G274:G275)</f>
        <v>56400</v>
      </c>
      <c r="H273" s="574"/>
      <c r="I273" s="25"/>
    </row>
    <row r="274" spans="1:9" ht="19.5" customHeight="1">
      <c r="A274" s="191"/>
      <c r="B274" s="191"/>
      <c r="C274" s="189">
        <v>4010</v>
      </c>
      <c r="D274" s="10" t="s">
        <v>664</v>
      </c>
      <c r="E274" s="90"/>
      <c r="F274" s="90"/>
      <c r="G274" s="402">
        <v>43400</v>
      </c>
      <c r="H274" s="402"/>
      <c r="I274" s="25"/>
    </row>
    <row r="275" spans="1:9" ht="19.5" customHeight="1">
      <c r="A275" s="191"/>
      <c r="B275" s="191"/>
      <c r="C275" s="222">
        <v>4170</v>
      </c>
      <c r="D275" s="222" t="s">
        <v>681</v>
      </c>
      <c r="E275" s="751"/>
      <c r="F275" s="751"/>
      <c r="G275" s="398">
        <v>13000</v>
      </c>
      <c r="H275" s="751"/>
      <c r="I275" s="25"/>
    </row>
    <row r="276" spans="1:9" ht="19.5" customHeight="1">
      <c r="A276" s="191"/>
      <c r="B276" s="191"/>
      <c r="C276" s="188"/>
      <c r="D276" s="496" t="s">
        <v>921</v>
      </c>
      <c r="E276" s="611"/>
      <c r="F276" s="611"/>
      <c r="G276" s="578">
        <f>G277</f>
        <v>24500</v>
      </c>
      <c r="H276" s="574"/>
      <c r="I276" s="25"/>
    </row>
    <row r="277" spans="1:9" ht="19.5" customHeight="1">
      <c r="A277" s="191"/>
      <c r="B277" s="201"/>
      <c r="C277" s="189">
        <v>4110</v>
      </c>
      <c r="D277" s="10" t="s">
        <v>665</v>
      </c>
      <c r="E277" s="90"/>
      <c r="F277" s="90"/>
      <c r="G277" s="402">
        <v>24500</v>
      </c>
      <c r="H277" s="402"/>
      <c r="I277" s="25"/>
    </row>
    <row r="278" spans="1:9" ht="19.5" customHeight="1">
      <c r="A278" s="412">
        <v>854</v>
      </c>
      <c r="B278" s="192"/>
      <c r="C278" s="192"/>
      <c r="D278" s="192" t="s">
        <v>503</v>
      </c>
      <c r="E278" s="735"/>
      <c r="F278" s="735"/>
      <c r="G278" s="736">
        <f>G279+G285+G293+G299+G306+G314+G319</f>
        <v>653085</v>
      </c>
      <c r="H278" s="735"/>
      <c r="I278" s="25"/>
    </row>
    <row r="279" spans="1:9" ht="19.5" customHeight="1">
      <c r="A279" s="191"/>
      <c r="B279" s="203">
        <v>85401</v>
      </c>
      <c r="C279" s="203"/>
      <c r="D279" s="203" t="s">
        <v>929</v>
      </c>
      <c r="E279" s="751"/>
      <c r="F279" s="751"/>
      <c r="G279" s="752">
        <f>G280+G283</f>
        <v>58159</v>
      </c>
      <c r="H279" s="751"/>
      <c r="I279" s="25"/>
    </row>
    <row r="280" spans="1:9" ht="19.5" customHeight="1">
      <c r="A280" s="191"/>
      <c r="B280" s="191"/>
      <c r="C280" s="188"/>
      <c r="D280" s="496" t="s">
        <v>747</v>
      </c>
      <c r="E280" s="611"/>
      <c r="F280" s="611"/>
      <c r="G280" s="578">
        <f>G281+G282</f>
        <v>46844</v>
      </c>
      <c r="H280" s="574"/>
      <c r="I280" s="25"/>
    </row>
    <row r="281" spans="1:9" ht="19.5" customHeight="1">
      <c r="A281" s="191"/>
      <c r="B281" s="191"/>
      <c r="C281" s="189">
        <v>4010</v>
      </c>
      <c r="D281" s="10" t="s">
        <v>664</v>
      </c>
      <c r="E281" s="90"/>
      <c r="F281" s="90"/>
      <c r="G281" s="402">
        <v>45844</v>
      </c>
      <c r="H281" s="402"/>
      <c r="I281" s="25"/>
    </row>
    <row r="282" spans="1:9" ht="19.5" customHeight="1">
      <c r="A282" s="191"/>
      <c r="B282" s="191"/>
      <c r="C282" s="222">
        <v>4170</v>
      </c>
      <c r="D282" s="222" t="s">
        <v>681</v>
      </c>
      <c r="E282" s="751"/>
      <c r="F282" s="751"/>
      <c r="G282" s="398">
        <v>1000</v>
      </c>
      <c r="H282" s="751"/>
      <c r="I282" s="25"/>
    </row>
    <row r="283" spans="1:9" ht="19.5" customHeight="1">
      <c r="A283" s="191"/>
      <c r="B283" s="191"/>
      <c r="C283" s="188"/>
      <c r="D283" s="496" t="s">
        <v>921</v>
      </c>
      <c r="E283" s="611"/>
      <c r="F283" s="611"/>
      <c r="G283" s="578">
        <f>G284</f>
        <v>11315</v>
      </c>
      <c r="H283" s="574"/>
      <c r="I283" s="25"/>
    </row>
    <row r="284" spans="1:9" ht="19.5" customHeight="1">
      <c r="A284" s="191"/>
      <c r="B284" s="191"/>
      <c r="C284" s="189">
        <v>4110</v>
      </c>
      <c r="D284" s="10" t="s">
        <v>665</v>
      </c>
      <c r="E284" s="90"/>
      <c r="F284" s="90"/>
      <c r="G284" s="402">
        <v>11315</v>
      </c>
      <c r="H284" s="402"/>
      <c r="I284" s="25"/>
    </row>
    <row r="285" spans="1:9" ht="19.5" customHeight="1">
      <c r="A285" s="191"/>
      <c r="B285" s="203">
        <v>85403</v>
      </c>
      <c r="C285" s="193"/>
      <c r="D285" s="193" t="s">
        <v>15</v>
      </c>
      <c r="E285" s="667"/>
      <c r="F285" s="667"/>
      <c r="G285" s="733">
        <f>G286+G289+G291</f>
        <v>69600</v>
      </c>
      <c r="H285" s="667"/>
      <c r="I285" s="25"/>
    </row>
    <row r="286" spans="1:9" ht="19.5" customHeight="1">
      <c r="A286" s="191"/>
      <c r="B286" s="191"/>
      <c r="C286" s="188"/>
      <c r="D286" s="496" t="s">
        <v>747</v>
      </c>
      <c r="E286" s="611"/>
      <c r="F286" s="611"/>
      <c r="G286" s="578">
        <f>SUM(G287:G288)</f>
        <v>49900</v>
      </c>
      <c r="H286" s="574"/>
      <c r="I286" s="25"/>
    </row>
    <row r="287" spans="1:9" ht="19.5" customHeight="1">
      <c r="A287" s="191"/>
      <c r="B287" s="191"/>
      <c r="C287" s="189">
        <v>4010</v>
      </c>
      <c r="D287" s="10" t="s">
        <v>664</v>
      </c>
      <c r="E287" s="90"/>
      <c r="F287" s="90"/>
      <c r="G287" s="402">
        <v>47900</v>
      </c>
      <c r="H287" s="402"/>
      <c r="I287" s="25"/>
    </row>
    <row r="288" spans="1:9" ht="19.5" customHeight="1">
      <c r="A288" s="191"/>
      <c r="B288" s="191"/>
      <c r="C288" s="222">
        <v>4170</v>
      </c>
      <c r="D288" s="222" t="s">
        <v>681</v>
      </c>
      <c r="E288" s="751"/>
      <c r="F288" s="751"/>
      <c r="G288" s="398">
        <v>2000</v>
      </c>
      <c r="H288" s="751"/>
      <c r="I288" s="25"/>
    </row>
    <row r="289" spans="1:9" ht="19.5" customHeight="1">
      <c r="A289" s="191"/>
      <c r="B289" s="191"/>
      <c r="C289" s="478"/>
      <c r="D289" s="496" t="s">
        <v>828</v>
      </c>
      <c r="E289" s="611"/>
      <c r="F289" s="611"/>
      <c r="G289" s="578">
        <f>G290</f>
        <v>10000</v>
      </c>
      <c r="H289" s="574"/>
      <c r="I289" s="25"/>
    </row>
    <row r="290" spans="1:9" ht="19.5" customHeight="1">
      <c r="A290" s="201"/>
      <c r="B290" s="201"/>
      <c r="C290" s="189">
        <v>4260</v>
      </c>
      <c r="D290" s="10" t="s">
        <v>741</v>
      </c>
      <c r="E290" s="90"/>
      <c r="F290" s="90"/>
      <c r="G290" s="402">
        <v>10000</v>
      </c>
      <c r="H290" s="402"/>
      <c r="I290" s="25"/>
    </row>
    <row r="291" spans="1:9" ht="19.5" customHeight="1">
      <c r="A291" s="191"/>
      <c r="B291" s="191"/>
      <c r="C291" s="188"/>
      <c r="D291" s="446" t="s">
        <v>921</v>
      </c>
      <c r="E291" s="900"/>
      <c r="F291" s="900"/>
      <c r="G291" s="850">
        <f>G292</f>
        <v>9700</v>
      </c>
      <c r="H291" s="576"/>
      <c r="I291" s="25"/>
    </row>
    <row r="292" spans="1:9" ht="19.5" customHeight="1">
      <c r="A292" s="191"/>
      <c r="B292" s="191"/>
      <c r="C292" s="189">
        <v>4110</v>
      </c>
      <c r="D292" s="10" t="s">
        <v>665</v>
      </c>
      <c r="E292" s="90"/>
      <c r="F292" s="90"/>
      <c r="G292" s="402">
        <v>9700</v>
      </c>
      <c r="H292" s="402"/>
      <c r="I292" s="25"/>
    </row>
    <row r="293" spans="1:9" ht="19.5" customHeight="1">
      <c r="A293" s="191"/>
      <c r="B293" s="477">
        <v>85406</v>
      </c>
      <c r="C293" s="205"/>
      <c r="D293" s="429" t="s">
        <v>930</v>
      </c>
      <c r="E293" s="667"/>
      <c r="F293" s="667"/>
      <c r="G293" s="733">
        <f>G294+G297</f>
        <v>209130</v>
      </c>
      <c r="H293" s="667"/>
      <c r="I293" s="25"/>
    </row>
    <row r="294" spans="1:9" ht="19.5" customHeight="1">
      <c r="A294" s="191"/>
      <c r="B294" s="191"/>
      <c r="C294" s="188"/>
      <c r="D294" s="496" t="s">
        <v>747</v>
      </c>
      <c r="E294" s="611"/>
      <c r="F294" s="611"/>
      <c r="G294" s="578">
        <f>SUM(G295:G296)</f>
        <v>197000</v>
      </c>
      <c r="H294" s="574"/>
      <c r="I294" s="25"/>
    </row>
    <row r="295" spans="1:9" ht="19.5" customHeight="1">
      <c r="A295" s="191"/>
      <c r="B295" s="191"/>
      <c r="C295" s="189">
        <v>4010</v>
      </c>
      <c r="D295" s="10" t="s">
        <v>664</v>
      </c>
      <c r="E295" s="90"/>
      <c r="F295" s="90"/>
      <c r="G295" s="402">
        <v>196000</v>
      </c>
      <c r="H295" s="402"/>
      <c r="I295" s="25"/>
    </row>
    <row r="296" spans="1:9" ht="19.5" customHeight="1">
      <c r="A296" s="191"/>
      <c r="B296" s="191"/>
      <c r="C296" s="222">
        <v>4170</v>
      </c>
      <c r="D296" s="222" t="s">
        <v>681</v>
      </c>
      <c r="E296" s="751"/>
      <c r="F296" s="751"/>
      <c r="G296" s="398">
        <v>1000</v>
      </c>
      <c r="H296" s="751"/>
      <c r="I296" s="25"/>
    </row>
    <row r="297" spans="1:9" ht="19.5" customHeight="1">
      <c r="A297" s="191"/>
      <c r="B297" s="191"/>
      <c r="C297" s="188"/>
      <c r="D297" s="496" t="s">
        <v>921</v>
      </c>
      <c r="E297" s="611"/>
      <c r="F297" s="611"/>
      <c r="G297" s="578">
        <f>G298</f>
        <v>12130</v>
      </c>
      <c r="H297" s="574"/>
      <c r="I297" s="25"/>
    </row>
    <row r="298" spans="1:9" ht="19.5" customHeight="1">
      <c r="A298" s="191"/>
      <c r="B298" s="191"/>
      <c r="C298" s="189">
        <v>4110</v>
      </c>
      <c r="D298" s="10" t="s">
        <v>665</v>
      </c>
      <c r="E298" s="90"/>
      <c r="F298" s="90"/>
      <c r="G298" s="402">
        <v>12130</v>
      </c>
      <c r="H298" s="402"/>
      <c r="I298" s="25"/>
    </row>
    <row r="299" spans="1:9" ht="19.5" customHeight="1">
      <c r="A299" s="191"/>
      <c r="B299" s="203">
        <v>85407</v>
      </c>
      <c r="C299" s="193"/>
      <c r="D299" s="193" t="s">
        <v>931</v>
      </c>
      <c r="E299" s="667"/>
      <c r="F299" s="667"/>
      <c r="G299" s="733">
        <f>G300+G302+G304</f>
        <v>60800</v>
      </c>
      <c r="H299" s="667"/>
      <c r="I299" s="25"/>
    </row>
    <row r="300" spans="1:9" ht="19.5" customHeight="1">
      <c r="A300" s="191"/>
      <c r="B300" s="191"/>
      <c r="C300" s="188"/>
      <c r="D300" s="496" t="s">
        <v>747</v>
      </c>
      <c r="E300" s="611"/>
      <c r="F300" s="611"/>
      <c r="G300" s="578">
        <f>G301</f>
        <v>33800</v>
      </c>
      <c r="H300" s="574"/>
      <c r="I300" s="25"/>
    </row>
    <row r="301" spans="1:9" ht="19.5" customHeight="1">
      <c r="A301" s="191"/>
      <c r="B301" s="191"/>
      <c r="C301" s="189">
        <v>4010</v>
      </c>
      <c r="D301" s="10" t="s">
        <v>664</v>
      </c>
      <c r="E301" s="90"/>
      <c r="F301" s="90"/>
      <c r="G301" s="402">
        <v>33800</v>
      </c>
      <c r="H301" s="402"/>
      <c r="I301" s="25"/>
    </row>
    <row r="302" spans="1:9" ht="19.5" customHeight="1">
      <c r="A302" s="191"/>
      <c r="B302" s="191"/>
      <c r="C302" s="188"/>
      <c r="D302" s="496" t="s">
        <v>828</v>
      </c>
      <c r="E302" s="611"/>
      <c r="F302" s="611"/>
      <c r="G302" s="578">
        <f>G303</f>
        <v>3000</v>
      </c>
      <c r="H302" s="574"/>
      <c r="I302" s="25"/>
    </row>
    <row r="303" spans="1:9" ht="19.5" customHeight="1">
      <c r="A303" s="191"/>
      <c r="B303" s="191"/>
      <c r="C303" s="189">
        <v>4260</v>
      </c>
      <c r="D303" s="10" t="s">
        <v>741</v>
      </c>
      <c r="E303" s="90"/>
      <c r="F303" s="90"/>
      <c r="G303" s="402">
        <v>3000</v>
      </c>
      <c r="H303" s="402"/>
      <c r="I303" s="25"/>
    </row>
    <row r="304" spans="1:9" ht="19.5" customHeight="1">
      <c r="A304" s="191"/>
      <c r="B304" s="191"/>
      <c r="C304" s="188"/>
      <c r="D304" s="496" t="s">
        <v>921</v>
      </c>
      <c r="E304" s="611"/>
      <c r="F304" s="611"/>
      <c r="G304" s="578">
        <f>G305</f>
        <v>24000</v>
      </c>
      <c r="H304" s="574"/>
      <c r="I304" s="25"/>
    </row>
    <row r="305" spans="1:9" ht="19.5" customHeight="1">
      <c r="A305" s="191"/>
      <c r="B305" s="191"/>
      <c r="C305" s="189">
        <v>4110</v>
      </c>
      <c r="D305" s="10" t="s">
        <v>665</v>
      </c>
      <c r="E305" s="90"/>
      <c r="F305" s="90"/>
      <c r="G305" s="402">
        <v>24000</v>
      </c>
      <c r="H305" s="402"/>
      <c r="I305" s="25"/>
    </row>
    <row r="306" spans="1:9" ht="19.5" customHeight="1">
      <c r="A306" s="191"/>
      <c r="B306" s="203">
        <v>85410</v>
      </c>
      <c r="C306" s="193"/>
      <c r="D306" s="193" t="s">
        <v>932</v>
      </c>
      <c r="E306" s="667"/>
      <c r="F306" s="667"/>
      <c r="G306" s="733">
        <f>G307+G310+G312</f>
        <v>65000</v>
      </c>
      <c r="H306" s="667"/>
      <c r="I306" s="25"/>
    </row>
    <row r="307" spans="1:9" ht="19.5" customHeight="1">
      <c r="A307" s="191"/>
      <c r="B307" s="191"/>
      <c r="C307" s="188"/>
      <c r="D307" s="496" t="s">
        <v>747</v>
      </c>
      <c r="E307" s="611"/>
      <c r="F307" s="611"/>
      <c r="G307" s="578">
        <f>SUM(G308:G309)</f>
        <v>40000</v>
      </c>
      <c r="H307" s="574"/>
      <c r="I307" s="25"/>
    </row>
    <row r="308" spans="1:9" ht="19.5" customHeight="1">
      <c r="A308" s="191"/>
      <c r="B308" s="191"/>
      <c r="C308" s="189">
        <v>4010</v>
      </c>
      <c r="D308" s="10" t="s">
        <v>664</v>
      </c>
      <c r="E308" s="90"/>
      <c r="F308" s="90"/>
      <c r="G308" s="402">
        <v>37000</v>
      </c>
      <c r="H308" s="402"/>
      <c r="I308" s="25"/>
    </row>
    <row r="309" spans="1:9" ht="19.5" customHeight="1">
      <c r="A309" s="191"/>
      <c r="B309" s="191"/>
      <c r="C309" s="222">
        <v>4170</v>
      </c>
      <c r="D309" s="222" t="s">
        <v>681</v>
      </c>
      <c r="E309" s="751"/>
      <c r="F309" s="751"/>
      <c r="G309" s="398">
        <v>3000</v>
      </c>
      <c r="H309" s="751"/>
      <c r="I309" s="25"/>
    </row>
    <row r="310" spans="1:9" ht="19.5" customHeight="1">
      <c r="A310" s="191"/>
      <c r="B310" s="191"/>
      <c r="C310" s="188"/>
      <c r="D310" s="496" t="s">
        <v>828</v>
      </c>
      <c r="E310" s="611"/>
      <c r="F310" s="611"/>
      <c r="G310" s="578">
        <f>G311</f>
        <v>15000</v>
      </c>
      <c r="H310" s="574"/>
      <c r="I310" s="25"/>
    </row>
    <row r="311" spans="1:9" ht="19.5" customHeight="1">
      <c r="A311" s="191"/>
      <c r="B311" s="191"/>
      <c r="C311" s="189">
        <v>4260</v>
      </c>
      <c r="D311" s="10" t="s">
        <v>741</v>
      </c>
      <c r="E311" s="90"/>
      <c r="F311" s="90"/>
      <c r="G311" s="402">
        <v>15000</v>
      </c>
      <c r="H311" s="402"/>
      <c r="I311" s="25"/>
    </row>
    <row r="312" spans="1:9" ht="18.75" customHeight="1">
      <c r="A312" s="191"/>
      <c r="B312" s="191"/>
      <c r="C312" s="188"/>
      <c r="D312" s="496" t="s">
        <v>921</v>
      </c>
      <c r="E312" s="611"/>
      <c r="F312" s="611"/>
      <c r="G312" s="578">
        <f>G313</f>
        <v>10000</v>
      </c>
      <c r="H312" s="574"/>
      <c r="I312" s="25"/>
    </row>
    <row r="313" spans="1:9" ht="19.5" customHeight="1">
      <c r="A313" s="191"/>
      <c r="B313" s="201"/>
      <c r="C313" s="189">
        <v>4110</v>
      </c>
      <c r="D313" s="10" t="s">
        <v>665</v>
      </c>
      <c r="E313" s="90"/>
      <c r="F313" s="90"/>
      <c r="G313" s="402">
        <v>10000</v>
      </c>
      <c r="H313" s="402"/>
      <c r="I313" s="25"/>
    </row>
    <row r="314" spans="1:9" ht="19.5" customHeight="1">
      <c r="A314" s="191"/>
      <c r="B314" s="203">
        <v>85415</v>
      </c>
      <c r="C314" s="193"/>
      <c r="D314" s="193" t="s">
        <v>933</v>
      </c>
      <c r="E314" s="667"/>
      <c r="F314" s="667"/>
      <c r="G314" s="733">
        <f>G315+G317</f>
        <v>120326</v>
      </c>
      <c r="H314" s="667"/>
      <c r="I314" s="25"/>
    </row>
    <row r="315" spans="1:9" ht="19.5" customHeight="1">
      <c r="A315" s="191"/>
      <c r="B315" s="510"/>
      <c r="C315" s="188"/>
      <c r="D315" s="496" t="s">
        <v>608</v>
      </c>
      <c r="E315" s="611"/>
      <c r="F315" s="611"/>
      <c r="G315" s="578">
        <f>G316</f>
        <v>57326</v>
      </c>
      <c r="H315" s="574"/>
      <c r="I315" s="25"/>
    </row>
    <row r="316" spans="1:9" ht="19.5" customHeight="1">
      <c r="A316" s="191"/>
      <c r="B316" s="191"/>
      <c r="C316" s="189">
        <v>3240</v>
      </c>
      <c r="D316" s="10" t="s">
        <v>609</v>
      </c>
      <c r="E316" s="90"/>
      <c r="F316" s="90"/>
      <c r="G316" s="402">
        <v>57326</v>
      </c>
      <c r="H316" s="402"/>
      <c r="I316" s="25"/>
    </row>
    <row r="317" spans="1:9" ht="19.5" customHeight="1">
      <c r="A317" s="191"/>
      <c r="B317" s="191"/>
      <c r="C317" s="188"/>
      <c r="D317" s="496" t="s">
        <v>934</v>
      </c>
      <c r="E317" s="611"/>
      <c r="F317" s="611"/>
      <c r="G317" s="578">
        <f>G318</f>
        <v>63000</v>
      </c>
      <c r="H317" s="574"/>
      <c r="I317" s="25"/>
    </row>
    <row r="318" spans="1:9" ht="19.5" customHeight="1">
      <c r="A318" s="191"/>
      <c r="B318" s="201"/>
      <c r="C318" s="189">
        <v>3260</v>
      </c>
      <c r="D318" s="10" t="s">
        <v>610</v>
      </c>
      <c r="E318" s="90"/>
      <c r="F318" s="90"/>
      <c r="G318" s="402">
        <v>63000</v>
      </c>
      <c r="H318" s="402"/>
      <c r="I318" s="25"/>
    </row>
    <row r="319" spans="1:9" ht="19.5" customHeight="1">
      <c r="A319" s="191"/>
      <c r="B319" s="203">
        <v>85495</v>
      </c>
      <c r="C319" s="203"/>
      <c r="D319" s="203" t="s">
        <v>829</v>
      </c>
      <c r="E319" s="751"/>
      <c r="F319" s="751"/>
      <c r="G319" s="752">
        <f>G320</f>
        <v>70070</v>
      </c>
      <c r="H319" s="751"/>
      <c r="I319" s="25"/>
    </row>
    <row r="320" spans="1:9" ht="19.5" customHeight="1">
      <c r="A320" s="191"/>
      <c r="B320" s="191"/>
      <c r="C320" s="191"/>
      <c r="D320" s="971" t="s">
        <v>935</v>
      </c>
      <c r="E320" s="1340"/>
      <c r="F320" s="1340"/>
      <c r="G320" s="1341">
        <f>G321+G324+G326</f>
        <v>70070</v>
      </c>
      <c r="H320" s="1340"/>
      <c r="I320" s="25"/>
    </row>
    <row r="321" spans="1:9" ht="19.5" customHeight="1">
      <c r="A321" s="191"/>
      <c r="B321" s="510"/>
      <c r="C321" s="188"/>
      <c r="D321" s="446" t="s">
        <v>747</v>
      </c>
      <c r="E321" s="900"/>
      <c r="F321" s="900"/>
      <c r="G321" s="850">
        <f>G322+G323</f>
        <v>40000</v>
      </c>
      <c r="H321" s="576"/>
      <c r="I321" s="25"/>
    </row>
    <row r="322" spans="1:9" ht="19.5" customHeight="1">
      <c r="A322" s="201"/>
      <c r="B322" s="1346"/>
      <c r="C322" s="189">
        <v>4010</v>
      </c>
      <c r="D322" s="10" t="s">
        <v>664</v>
      </c>
      <c r="E322" s="90"/>
      <c r="F322" s="90"/>
      <c r="G322" s="402">
        <v>37000</v>
      </c>
      <c r="H322" s="402"/>
      <c r="I322" s="25"/>
    </row>
    <row r="323" spans="1:9" ht="19.5" customHeight="1">
      <c r="A323" s="191"/>
      <c r="B323" s="510"/>
      <c r="C323" s="734">
        <v>4170</v>
      </c>
      <c r="D323" s="734" t="s">
        <v>681</v>
      </c>
      <c r="E323" s="750"/>
      <c r="F323" s="750"/>
      <c r="G323" s="455">
        <v>3000</v>
      </c>
      <c r="H323" s="750"/>
      <c r="I323" s="25"/>
    </row>
    <row r="324" spans="1:9" ht="19.5" customHeight="1">
      <c r="A324" s="191"/>
      <c r="B324" s="510"/>
      <c r="C324" s="188"/>
      <c r="D324" s="496" t="s">
        <v>828</v>
      </c>
      <c r="E324" s="611"/>
      <c r="F324" s="611"/>
      <c r="G324" s="578">
        <f>G325</f>
        <v>15960</v>
      </c>
      <c r="H324" s="574"/>
      <c r="I324" s="25"/>
    </row>
    <row r="325" spans="1:9" ht="19.5" customHeight="1">
      <c r="A325" s="191"/>
      <c r="B325" s="191"/>
      <c r="C325" s="189">
        <v>4220</v>
      </c>
      <c r="D325" s="10" t="s">
        <v>611</v>
      </c>
      <c r="E325" s="90"/>
      <c r="F325" s="90"/>
      <c r="G325" s="402">
        <v>15960</v>
      </c>
      <c r="H325" s="402"/>
      <c r="I325" s="25"/>
    </row>
    <row r="326" spans="1:9" ht="19.5" customHeight="1">
      <c r="A326" s="191"/>
      <c r="B326" s="191"/>
      <c r="C326" s="188"/>
      <c r="D326" s="496" t="s">
        <v>921</v>
      </c>
      <c r="E326" s="611"/>
      <c r="F326" s="611"/>
      <c r="G326" s="578">
        <f>G327</f>
        <v>14110</v>
      </c>
      <c r="H326" s="574"/>
      <c r="I326" s="25"/>
    </row>
    <row r="327" spans="1:9" ht="18.75" customHeight="1">
      <c r="A327" s="191"/>
      <c r="B327" s="191"/>
      <c r="C327" s="189">
        <v>4110</v>
      </c>
      <c r="D327" s="10" t="s">
        <v>665</v>
      </c>
      <c r="E327" s="90"/>
      <c r="F327" s="90"/>
      <c r="G327" s="402">
        <v>14110</v>
      </c>
      <c r="H327" s="402"/>
      <c r="I327" s="25"/>
    </row>
    <row r="328" spans="1:8" ht="36.75" customHeight="1">
      <c r="A328" s="191"/>
      <c r="B328" s="77"/>
      <c r="C328" s="89"/>
      <c r="D328" s="116" t="s">
        <v>439</v>
      </c>
      <c r="E328" s="117"/>
      <c r="F328" s="117"/>
      <c r="G328" s="117">
        <f>G329</f>
        <v>210400</v>
      </c>
      <c r="H328" s="117">
        <f>H329</f>
        <v>160400</v>
      </c>
    </row>
    <row r="329" spans="1:8" ht="19.5" customHeight="1" thickBot="1">
      <c r="A329" s="191"/>
      <c r="B329" s="86"/>
      <c r="C329" s="86"/>
      <c r="D329" s="87" t="s">
        <v>827</v>
      </c>
      <c r="E329" s="88"/>
      <c r="F329" s="88"/>
      <c r="G329" s="88">
        <f>G330</f>
        <v>210400</v>
      </c>
      <c r="H329" s="88">
        <f>H330</f>
        <v>160400</v>
      </c>
    </row>
    <row r="330" spans="1:8" ht="18" customHeight="1" thickTop="1">
      <c r="A330" s="412">
        <v>851</v>
      </c>
      <c r="B330" s="192"/>
      <c r="C330" s="192"/>
      <c r="D330" s="192" t="s">
        <v>877</v>
      </c>
      <c r="E330" s="212"/>
      <c r="F330" s="212"/>
      <c r="G330" s="212">
        <f>G331+G334+G337</f>
        <v>210400</v>
      </c>
      <c r="H330" s="622">
        <f>H331+H334+H337</f>
        <v>160400</v>
      </c>
    </row>
    <row r="331" spans="1:8" s="747" customFormat="1" ht="18" customHeight="1">
      <c r="A331" s="580"/>
      <c r="B331" s="203">
        <v>85121</v>
      </c>
      <c r="C331" s="203"/>
      <c r="D331" s="203" t="s">
        <v>485</v>
      </c>
      <c r="E331" s="746"/>
      <c r="F331" s="746"/>
      <c r="G331" s="746">
        <f>G332</f>
        <v>20000</v>
      </c>
      <c r="H331" s="910"/>
    </row>
    <row r="332" spans="1:8" s="747" customFormat="1" ht="21" customHeight="1">
      <c r="A332" s="580"/>
      <c r="B332" s="567"/>
      <c r="C332" s="191"/>
      <c r="D332" s="511" t="s">
        <v>487</v>
      </c>
      <c r="E332" s="765"/>
      <c r="F332" s="765"/>
      <c r="G332" s="766">
        <f>G333</f>
        <v>20000</v>
      </c>
      <c r="H332" s="911"/>
    </row>
    <row r="333" spans="1:8" s="747" customFormat="1" ht="30" customHeight="1">
      <c r="A333" s="580"/>
      <c r="B333" s="481"/>
      <c r="C333" s="189">
        <v>4160</v>
      </c>
      <c r="D333" s="10" t="s">
        <v>382</v>
      </c>
      <c r="E333" s="746"/>
      <c r="F333" s="746"/>
      <c r="G333" s="764">
        <v>20000</v>
      </c>
      <c r="H333" s="912"/>
    </row>
    <row r="334" spans="1:8" s="747" customFormat="1" ht="18" customHeight="1">
      <c r="A334" s="580"/>
      <c r="B334" s="193">
        <v>85149</v>
      </c>
      <c r="C334" s="193"/>
      <c r="D334" s="193" t="s">
        <v>453</v>
      </c>
      <c r="E334" s="746"/>
      <c r="F334" s="746"/>
      <c r="G334" s="746">
        <f>G335</f>
        <v>30000</v>
      </c>
      <c r="H334" s="910"/>
    </row>
    <row r="335" spans="1:8" s="747" customFormat="1" ht="18" customHeight="1">
      <c r="A335" s="580"/>
      <c r="B335" s="191"/>
      <c r="C335" s="188"/>
      <c r="D335" s="496" t="s">
        <v>454</v>
      </c>
      <c r="E335" s="611"/>
      <c r="F335" s="611"/>
      <c r="G335" s="578">
        <f>G336</f>
        <v>30000</v>
      </c>
      <c r="H335" s="574"/>
    </row>
    <row r="336" spans="1:8" s="747" customFormat="1" ht="18" customHeight="1">
      <c r="A336" s="580"/>
      <c r="B336" s="191"/>
      <c r="C336" s="189">
        <v>4280</v>
      </c>
      <c r="D336" s="10" t="s">
        <v>40</v>
      </c>
      <c r="E336" s="90"/>
      <c r="F336" s="90"/>
      <c r="G336" s="402">
        <v>30000</v>
      </c>
      <c r="H336" s="402"/>
    </row>
    <row r="337" spans="1:8" ht="18" customHeight="1">
      <c r="A337" s="580"/>
      <c r="B337" s="658">
        <v>85154</v>
      </c>
      <c r="C337" s="658"/>
      <c r="D337" s="658" t="s">
        <v>878</v>
      </c>
      <c r="E337" s="293"/>
      <c r="F337" s="293"/>
      <c r="G337" s="293">
        <f>G338</f>
        <v>160400</v>
      </c>
      <c r="H337" s="292">
        <f>H338</f>
        <v>160400</v>
      </c>
    </row>
    <row r="338" spans="1:8" ht="29.25" customHeight="1">
      <c r="A338" s="191"/>
      <c r="B338" s="191"/>
      <c r="C338" s="188"/>
      <c r="D338" s="473" t="s">
        <v>383</v>
      </c>
      <c r="E338" s="207"/>
      <c r="F338" s="207"/>
      <c r="G338" s="207">
        <f>G339+G350+G357+G361</f>
        <v>160400</v>
      </c>
      <c r="H338" s="207">
        <f>H339+H350+H357+H361</f>
        <v>160400</v>
      </c>
    </row>
    <row r="339" spans="1:8" ht="24.75" customHeight="1">
      <c r="A339" s="191"/>
      <c r="B339" s="191"/>
      <c r="C339" s="188"/>
      <c r="D339" s="653" t="s">
        <v>552</v>
      </c>
      <c r="E339" s="265"/>
      <c r="F339" s="265"/>
      <c r="G339" s="1339">
        <f>G342+G348</f>
        <v>82900</v>
      </c>
      <c r="H339" s="1339">
        <f>H342+H348</f>
        <v>82900</v>
      </c>
    </row>
    <row r="340" spans="1:8" ht="27" customHeight="1">
      <c r="A340" s="191"/>
      <c r="B340" s="191"/>
      <c r="C340" s="188"/>
      <c r="D340" s="659" t="s">
        <v>557</v>
      </c>
      <c r="E340" s="661"/>
      <c r="F340" s="661"/>
      <c r="G340" s="661"/>
      <c r="H340" s="661">
        <v>10980</v>
      </c>
    </row>
    <row r="341" spans="1:8" ht="19.5" customHeight="1">
      <c r="A341" s="191"/>
      <c r="B341" s="191"/>
      <c r="C341" s="188"/>
      <c r="D341" s="471" t="s">
        <v>558</v>
      </c>
      <c r="E341" s="662"/>
      <c r="F341" s="662"/>
      <c r="G341" s="662">
        <v>9625</v>
      </c>
      <c r="H341" s="662"/>
    </row>
    <row r="342" spans="1:8" ht="27.75" customHeight="1">
      <c r="A342" s="191"/>
      <c r="B342" s="191"/>
      <c r="C342" s="189">
        <v>2810</v>
      </c>
      <c r="D342" s="10" t="s">
        <v>553</v>
      </c>
      <c r="E342" s="265"/>
      <c r="F342" s="265"/>
      <c r="G342" s="265">
        <f>SUM(G340:G341)</f>
        <v>9625</v>
      </c>
      <c r="H342" s="265">
        <f>SUM(H340:H341)</f>
        <v>10980</v>
      </c>
    </row>
    <row r="343" spans="1:8" ht="27.75" customHeight="1">
      <c r="A343" s="191"/>
      <c r="B343" s="191"/>
      <c r="C343" s="188"/>
      <c r="D343" s="486" t="s">
        <v>559</v>
      </c>
      <c r="E343" s="610"/>
      <c r="F343" s="610"/>
      <c r="G343" s="610"/>
      <c r="H343" s="610">
        <f>SUM(H344:H345)</f>
        <v>53620</v>
      </c>
    </row>
    <row r="344" spans="1:8" ht="20.25" customHeight="1">
      <c r="A344" s="191"/>
      <c r="B344" s="191"/>
      <c r="C344" s="188"/>
      <c r="D344" s="474" t="s">
        <v>524</v>
      </c>
      <c r="E344" s="577"/>
      <c r="F344" s="577"/>
      <c r="G344" s="577"/>
      <c r="H344" s="577">
        <v>25620</v>
      </c>
    </row>
    <row r="345" spans="1:8" ht="27.75" customHeight="1">
      <c r="A345" s="191"/>
      <c r="B345" s="191"/>
      <c r="C345" s="188"/>
      <c r="D345" s="474" t="s">
        <v>384</v>
      </c>
      <c r="E345" s="577"/>
      <c r="F345" s="577"/>
      <c r="G345" s="577"/>
      <c r="H345" s="577">
        <v>28000</v>
      </c>
    </row>
    <row r="346" spans="1:8" ht="28.5" customHeight="1">
      <c r="A346" s="191"/>
      <c r="B346" s="191"/>
      <c r="C346" s="188"/>
      <c r="D346" s="1338" t="s">
        <v>560</v>
      </c>
      <c r="E346" s="662"/>
      <c r="F346" s="662"/>
      <c r="G346" s="662"/>
      <c r="H346" s="662">
        <v>18300</v>
      </c>
    </row>
    <row r="347" spans="1:8" ht="17.25" customHeight="1">
      <c r="A347" s="191"/>
      <c r="B347" s="191"/>
      <c r="C347" s="188"/>
      <c r="D347" s="660" t="s">
        <v>558</v>
      </c>
      <c r="E347" s="661"/>
      <c r="F347" s="661"/>
      <c r="G347" s="661">
        <v>73275</v>
      </c>
      <c r="H347" s="661"/>
    </row>
    <row r="348" spans="1:8" ht="26.25" customHeight="1">
      <c r="A348" s="201"/>
      <c r="B348" s="201"/>
      <c r="C348" s="189">
        <v>2820</v>
      </c>
      <c r="D348" s="10" t="s">
        <v>554</v>
      </c>
      <c r="E348" s="643"/>
      <c r="F348" s="643"/>
      <c r="G348" s="643">
        <f>SUM(G345:G347)</f>
        <v>73275</v>
      </c>
      <c r="H348" s="643">
        <f>H343+H346</f>
        <v>71920</v>
      </c>
    </row>
    <row r="349" ht="26.25" customHeight="1">
      <c r="A349"/>
    </row>
    <row r="350" spans="1:8" ht="39.75" customHeight="1">
      <c r="A350" s="191"/>
      <c r="B350" s="191"/>
      <c r="C350" s="191"/>
      <c r="D350" s="654" t="s">
        <v>555</v>
      </c>
      <c r="E350" s="663"/>
      <c r="F350" s="663"/>
      <c r="G350" s="657">
        <f>G352+G354+G356</f>
        <v>47500</v>
      </c>
      <c r="H350" s="657">
        <f>H352+H354+H356</f>
        <v>47500</v>
      </c>
    </row>
    <row r="351" spans="1:8" ht="30.75" customHeight="1">
      <c r="A351" s="191"/>
      <c r="B351" s="191"/>
      <c r="C351" s="191"/>
      <c r="D351" s="659" t="s">
        <v>457</v>
      </c>
      <c r="E351" s="1336"/>
      <c r="F351" s="1336"/>
      <c r="G351" s="1337"/>
      <c r="H351" s="1337">
        <v>47500</v>
      </c>
    </row>
    <row r="352" spans="1:8" ht="25.5" customHeight="1">
      <c r="A352" s="191"/>
      <c r="B352" s="191"/>
      <c r="C352" s="189">
        <v>2810</v>
      </c>
      <c r="D352" s="10" t="s">
        <v>553</v>
      </c>
      <c r="E352" s="407"/>
      <c r="F352" s="407"/>
      <c r="G352" s="407"/>
      <c r="H352" s="407">
        <f>SUM(H351:H351)</f>
        <v>47500</v>
      </c>
    </row>
    <row r="353" spans="1:8" ht="21" customHeight="1">
      <c r="A353" s="191"/>
      <c r="B353" s="191"/>
      <c r="C353" s="188"/>
      <c r="D353" s="664" t="s">
        <v>558</v>
      </c>
      <c r="E353" s="665"/>
      <c r="F353" s="665"/>
      <c r="G353" s="665">
        <v>27500</v>
      </c>
      <c r="H353" s="665"/>
    </row>
    <row r="354" spans="1:8" ht="26.25" customHeight="1">
      <c r="A354" s="191"/>
      <c r="B354" s="191"/>
      <c r="C354" s="189">
        <v>2820</v>
      </c>
      <c r="D354" s="10" t="s">
        <v>554</v>
      </c>
      <c r="E354" s="265"/>
      <c r="F354" s="265"/>
      <c r="G354" s="265">
        <f>G353</f>
        <v>27500</v>
      </c>
      <c r="H354" s="265"/>
    </row>
    <row r="355" spans="1:8" ht="18.75" customHeight="1">
      <c r="A355" s="191"/>
      <c r="B355" s="191"/>
      <c r="C355" s="188"/>
      <c r="D355" s="664" t="s">
        <v>558</v>
      </c>
      <c r="E355" s="666"/>
      <c r="F355" s="666"/>
      <c r="G355" s="666">
        <v>20000</v>
      </c>
      <c r="H355" s="666"/>
    </row>
    <row r="356" spans="1:8" ht="37.5" customHeight="1">
      <c r="A356" s="191"/>
      <c r="B356" s="191"/>
      <c r="C356" s="214">
        <v>2830</v>
      </c>
      <c r="D356" s="10" t="s">
        <v>556</v>
      </c>
      <c r="E356" s="265"/>
      <c r="F356" s="265"/>
      <c r="G356" s="265">
        <f>G355</f>
        <v>20000</v>
      </c>
      <c r="H356" s="265"/>
    </row>
    <row r="357" spans="1:8" ht="27.75" customHeight="1">
      <c r="A357" s="191"/>
      <c r="B357" s="191"/>
      <c r="C357" s="731"/>
      <c r="D357" s="1409" t="s">
        <v>483</v>
      </c>
      <c r="E357" s="1410"/>
      <c r="F357" s="1410"/>
      <c r="G357" s="1411">
        <f>SUM(G358:G360)</f>
        <v>6000</v>
      </c>
      <c r="H357" s="1411">
        <f>H360</f>
        <v>6000</v>
      </c>
    </row>
    <row r="358" spans="1:8" ht="21" customHeight="1">
      <c r="A358" s="191"/>
      <c r="B358" s="191"/>
      <c r="C358" s="189">
        <v>4300</v>
      </c>
      <c r="D358" s="10" t="s">
        <v>742</v>
      </c>
      <c r="E358" s="265"/>
      <c r="F358" s="265"/>
      <c r="G358" s="265">
        <v>6000</v>
      </c>
      <c r="H358" s="265"/>
    </row>
    <row r="359" spans="1:8" ht="21" customHeight="1">
      <c r="A359" s="191"/>
      <c r="B359" s="191"/>
      <c r="C359" s="478"/>
      <c r="D359" s="975" t="s">
        <v>647</v>
      </c>
      <c r="E359" s="1001"/>
      <c r="F359" s="1001"/>
      <c r="G359" s="1001"/>
      <c r="H359" s="1001">
        <v>6000</v>
      </c>
    </row>
    <row r="360" spans="1:8" ht="21" customHeight="1">
      <c r="A360" s="191"/>
      <c r="B360" s="191"/>
      <c r="C360" s="189">
        <v>6060</v>
      </c>
      <c r="D360" s="10" t="s">
        <v>671</v>
      </c>
      <c r="E360" s="265"/>
      <c r="F360" s="265"/>
      <c r="G360" s="265"/>
      <c r="H360" s="265">
        <v>6000</v>
      </c>
    </row>
    <row r="361" spans="1:8" ht="21.75" customHeight="1">
      <c r="A361" s="191"/>
      <c r="B361" s="191"/>
      <c r="C361" s="188"/>
      <c r="D361" s="654" t="s">
        <v>484</v>
      </c>
      <c r="E361" s="577"/>
      <c r="F361" s="577"/>
      <c r="G361" s="684">
        <f>SUM(G362:G364)</f>
        <v>24000</v>
      </c>
      <c r="H361" s="684">
        <f>H364</f>
        <v>24000</v>
      </c>
    </row>
    <row r="362" spans="1:8" ht="21.75" customHeight="1">
      <c r="A362" s="191"/>
      <c r="B362" s="191"/>
      <c r="C362" s="189">
        <v>4300</v>
      </c>
      <c r="D362" s="10" t="s">
        <v>742</v>
      </c>
      <c r="E362" s="443"/>
      <c r="F362" s="443"/>
      <c r="G362" s="443">
        <v>24000</v>
      </c>
      <c r="H362" s="443"/>
    </row>
    <row r="363" spans="1:8" ht="21.75" customHeight="1">
      <c r="A363" s="191"/>
      <c r="B363" s="191"/>
      <c r="C363" s="478"/>
      <c r="D363" s="975" t="s">
        <v>647</v>
      </c>
      <c r="E363" s="666"/>
      <c r="F363" s="666"/>
      <c r="G363" s="666"/>
      <c r="H363" s="1001">
        <v>24000</v>
      </c>
    </row>
    <row r="364" spans="1:8" ht="21.75" customHeight="1">
      <c r="A364" s="191"/>
      <c r="B364" s="191"/>
      <c r="C364" s="189">
        <v>6060</v>
      </c>
      <c r="D364" s="10" t="s">
        <v>671</v>
      </c>
      <c r="E364" s="265"/>
      <c r="F364" s="265"/>
      <c r="G364" s="265"/>
      <c r="H364" s="265">
        <v>24000</v>
      </c>
    </row>
    <row r="365" spans="1:8" ht="34.5" customHeight="1">
      <c r="A365" s="191"/>
      <c r="B365" s="77"/>
      <c r="C365" s="89"/>
      <c r="D365" s="116" t="s">
        <v>440</v>
      </c>
      <c r="E365" s="117"/>
      <c r="F365" s="117"/>
      <c r="G365" s="117">
        <f aca="true" t="shared" si="4" ref="G365:H367">G366</f>
        <v>1917213</v>
      </c>
      <c r="H365" s="117">
        <f t="shared" si="4"/>
        <v>4037213</v>
      </c>
    </row>
    <row r="366" spans="1:8" ht="21" customHeight="1" thickBot="1">
      <c r="A366" s="191"/>
      <c r="B366" s="115"/>
      <c r="C366" s="115"/>
      <c r="D366" s="87" t="s">
        <v>827</v>
      </c>
      <c r="E366" s="88"/>
      <c r="F366" s="88"/>
      <c r="G366" s="88">
        <f>G367+G378</f>
        <v>1917213</v>
      </c>
      <c r="H366" s="88">
        <f t="shared" si="4"/>
        <v>4037213</v>
      </c>
    </row>
    <row r="367" spans="1:8" ht="18.75" customHeight="1" thickTop="1">
      <c r="A367" s="412">
        <v>600</v>
      </c>
      <c r="B367" s="192"/>
      <c r="C367" s="192"/>
      <c r="D367" s="192" t="s">
        <v>369</v>
      </c>
      <c r="E367" s="192"/>
      <c r="F367" s="192"/>
      <c r="G367" s="248">
        <f t="shared" si="4"/>
        <v>1117213</v>
      </c>
      <c r="H367" s="248">
        <f t="shared" si="4"/>
        <v>4037213</v>
      </c>
    </row>
    <row r="368" spans="1:8" ht="20.25" customHeight="1">
      <c r="A368" s="194"/>
      <c r="B368" s="372">
        <v>60016</v>
      </c>
      <c r="C368" s="372"/>
      <c r="D368" s="434" t="s">
        <v>750</v>
      </c>
      <c r="E368" s="630"/>
      <c r="F368" s="630"/>
      <c r="G368" s="687">
        <f>G370+G374</f>
        <v>1117213</v>
      </c>
      <c r="H368" s="687">
        <f>H370+H374</f>
        <v>4037213</v>
      </c>
    </row>
    <row r="369" spans="1:8" ht="20.25" customHeight="1">
      <c r="A369" s="191"/>
      <c r="B369" s="254"/>
      <c r="C369" s="254"/>
      <c r="D369" s="784" t="s">
        <v>655</v>
      </c>
      <c r="E369" s="1022"/>
      <c r="F369" s="1022"/>
      <c r="G369" s="850">
        <v>1117213</v>
      </c>
      <c r="H369" s="850">
        <v>4037213</v>
      </c>
    </row>
    <row r="370" spans="1:8" ht="28.5" customHeight="1">
      <c r="A370" s="191"/>
      <c r="B370" s="89"/>
      <c r="C370" s="280"/>
      <c r="D370" s="1335" t="s">
        <v>206</v>
      </c>
      <c r="E370" s="1334"/>
      <c r="F370" s="1334"/>
      <c r="G370" s="979">
        <f>SUM(G371:G373)</f>
        <v>560000</v>
      </c>
      <c r="H370" s="979">
        <f>SUM(H371:H373)</f>
        <v>2080000</v>
      </c>
    </row>
    <row r="371" spans="1:8" ht="18.75" customHeight="1">
      <c r="A371" s="191"/>
      <c r="B371" s="89"/>
      <c r="C371" s="189">
        <v>6050</v>
      </c>
      <c r="D371" s="189" t="s">
        <v>670</v>
      </c>
      <c r="E371" s="190"/>
      <c r="F371" s="190"/>
      <c r="G371" s="402">
        <v>560000</v>
      </c>
      <c r="H371" s="402"/>
    </row>
    <row r="372" spans="1:8" ht="19.5" customHeight="1">
      <c r="A372" s="191"/>
      <c r="B372" s="89"/>
      <c r="C372" s="189">
        <v>6058</v>
      </c>
      <c r="D372" s="246" t="s">
        <v>670</v>
      </c>
      <c r="E372" s="630"/>
      <c r="F372" s="630"/>
      <c r="G372" s="572"/>
      <c r="H372" s="572">
        <v>1560000</v>
      </c>
    </row>
    <row r="373" spans="1:8" ht="21" customHeight="1">
      <c r="A373" s="191"/>
      <c r="B373" s="89"/>
      <c r="C373" s="189">
        <v>6059</v>
      </c>
      <c r="D373" s="246" t="s">
        <v>670</v>
      </c>
      <c r="E373" s="630"/>
      <c r="F373" s="630"/>
      <c r="G373" s="572"/>
      <c r="H373" s="572">
        <v>520000</v>
      </c>
    </row>
    <row r="374" spans="1:8" ht="18" customHeight="1">
      <c r="A374" s="191"/>
      <c r="B374" s="89"/>
      <c r="C374" s="280"/>
      <c r="D374" s="1335" t="s">
        <v>523</v>
      </c>
      <c r="E374" s="1334"/>
      <c r="F374" s="1334"/>
      <c r="G374" s="979">
        <f>SUM(G375:G377)</f>
        <v>557213</v>
      </c>
      <c r="H374" s="979">
        <f>SUM(H375:H377)</f>
        <v>1957213</v>
      </c>
    </row>
    <row r="375" spans="1:8" ht="18.75" customHeight="1">
      <c r="A375" s="201"/>
      <c r="B375" s="90"/>
      <c r="C375" s="189">
        <v>6050</v>
      </c>
      <c r="D375" s="189" t="s">
        <v>670</v>
      </c>
      <c r="E375" s="190"/>
      <c r="F375" s="190"/>
      <c r="G375" s="402">
        <v>557213</v>
      </c>
      <c r="H375" s="402"/>
    </row>
    <row r="376" spans="1:8" ht="18.75" customHeight="1">
      <c r="A376" s="191"/>
      <c r="B376" s="89"/>
      <c r="C376" s="189">
        <v>6058</v>
      </c>
      <c r="D376" s="246" t="s">
        <v>670</v>
      </c>
      <c r="E376" s="630"/>
      <c r="F376" s="630"/>
      <c r="G376" s="572"/>
      <c r="H376" s="572">
        <v>1467910</v>
      </c>
    </row>
    <row r="377" spans="1:8" ht="18.75" customHeight="1">
      <c r="A377" s="191"/>
      <c r="B377" s="89"/>
      <c r="C377" s="188">
        <v>6059</v>
      </c>
      <c r="D377" s="1332" t="s">
        <v>670</v>
      </c>
      <c r="E377" s="914"/>
      <c r="F377" s="914"/>
      <c r="G377" s="999"/>
      <c r="H377" s="999">
        <v>489303</v>
      </c>
    </row>
    <row r="378" spans="1:8" ht="18.75" customHeight="1">
      <c r="A378" s="412">
        <v>900</v>
      </c>
      <c r="B378" s="412"/>
      <c r="C378" s="412"/>
      <c r="D378" s="412" t="s">
        <v>498</v>
      </c>
      <c r="E378" s="369"/>
      <c r="F378" s="369"/>
      <c r="G378" s="650">
        <f>G379</f>
        <v>800000</v>
      </c>
      <c r="H378" s="650"/>
    </row>
    <row r="379" spans="1:8" ht="18.75" customHeight="1">
      <c r="A379" s="191"/>
      <c r="B379" s="193">
        <v>90095</v>
      </c>
      <c r="C379" s="1029"/>
      <c r="D379" s="193" t="s">
        <v>829</v>
      </c>
      <c r="E379" s="242"/>
      <c r="F379" s="242"/>
      <c r="G379" s="905">
        <f>G380</f>
        <v>800000</v>
      </c>
      <c r="H379" s="905"/>
    </row>
    <row r="380" spans="1:8" ht="18.75" customHeight="1">
      <c r="A380" s="191"/>
      <c r="B380" s="89"/>
      <c r="C380" s="188"/>
      <c r="D380" s="195" t="s">
        <v>655</v>
      </c>
      <c r="E380" s="916"/>
      <c r="F380" s="916"/>
      <c r="G380" s="574">
        <f>G382</f>
        <v>800000</v>
      </c>
      <c r="H380" s="574"/>
    </row>
    <row r="381" spans="1:8" ht="18.75" customHeight="1">
      <c r="A381" s="191"/>
      <c r="B381" s="89"/>
      <c r="C381" s="188"/>
      <c r="D381" s="982" t="s">
        <v>522</v>
      </c>
      <c r="E381" s="1333"/>
      <c r="F381" s="1333"/>
      <c r="G381" s="966">
        <v>800000</v>
      </c>
      <c r="H381" s="966"/>
    </row>
    <row r="382" spans="1:8" ht="18.75" customHeight="1">
      <c r="A382" s="191"/>
      <c r="B382" s="89"/>
      <c r="C382" s="189">
        <v>6050</v>
      </c>
      <c r="D382" s="189" t="s">
        <v>670</v>
      </c>
      <c r="E382" s="190"/>
      <c r="F382" s="190"/>
      <c r="G382" s="402">
        <v>800000</v>
      </c>
      <c r="H382" s="402"/>
    </row>
    <row r="383" spans="1:8" ht="18.75" customHeight="1">
      <c r="A383" s="191"/>
      <c r="B383" s="89"/>
      <c r="C383" s="89"/>
      <c r="D383" s="668"/>
      <c r="E383" s="668"/>
      <c r="F383" s="668"/>
      <c r="G383" s="454"/>
      <c r="H383" s="454"/>
    </row>
    <row r="384" spans="1:8" ht="18.75" customHeight="1">
      <c r="A384" s="191"/>
      <c r="B384" s="77"/>
      <c r="C384" s="89"/>
      <c r="D384" s="116" t="s">
        <v>687</v>
      </c>
      <c r="E384" s="117"/>
      <c r="F384" s="117"/>
      <c r="G384" s="117">
        <f>G385</f>
        <v>70000</v>
      </c>
      <c r="H384" s="117">
        <f>H385</f>
        <v>10000</v>
      </c>
    </row>
    <row r="385" spans="1:8" ht="18.75" customHeight="1" thickBot="1">
      <c r="A385" s="191"/>
      <c r="B385" s="86"/>
      <c r="C385" s="86"/>
      <c r="D385" s="87" t="s">
        <v>827</v>
      </c>
      <c r="E385" s="88"/>
      <c r="F385" s="88"/>
      <c r="G385" s="88">
        <f aca="true" t="shared" si="5" ref="G385:H387">G386</f>
        <v>70000</v>
      </c>
      <c r="H385" s="88">
        <f t="shared" si="5"/>
        <v>10000</v>
      </c>
    </row>
    <row r="386" spans="1:8" ht="20.25" customHeight="1" thickTop="1">
      <c r="A386" s="412">
        <v>750</v>
      </c>
      <c r="B386" s="412"/>
      <c r="C386" s="412"/>
      <c r="D386" s="412" t="s">
        <v>505</v>
      </c>
      <c r="E386" s="244"/>
      <c r="F386" s="244"/>
      <c r="G386" s="244">
        <f t="shared" si="5"/>
        <v>70000</v>
      </c>
      <c r="H386" s="244">
        <f t="shared" si="5"/>
        <v>10000</v>
      </c>
    </row>
    <row r="387" spans="1:9" ht="18.75" customHeight="1">
      <c r="A387" s="191"/>
      <c r="B387" s="203">
        <v>75022</v>
      </c>
      <c r="C387" s="203"/>
      <c r="D387" s="203" t="s">
        <v>682</v>
      </c>
      <c r="E387" s="479"/>
      <c r="F387" s="610"/>
      <c r="G387" s="604">
        <f t="shared" si="5"/>
        <v>70000</v>
      </c>
      <c r="H387" s="604">
        <f t="shared" si="5"/>
        <v>10000</v>
      </c>
      <c r="I387" s="25">
        <f>H387-G387</f>
        <v>-60000</v>
      </c>
    </row>
    <row r="388" spans="1:8" ht="18.75" customHeight="1">
      <c r="A388" s="191"/>
      <c r="B388" s="191"/>
      <c r="C388" s="191"/>
      <c r="D388" s="496" t="s">
        <v>683</v>
      </c>
      <c r="E388" s="607"/>
      <c r="F388" s="498"/>
      <c r="G388" s="543">
        <f>SUM(G389:G393)</f>
        <v>70000</v>
      </c>
      <c r="H388" s="543">
        <f>SUM(H389:H393)</f>
        <v>10000</v>
      </c>
    </row>
    <row r="389" spans="1:8" ht="18.75" customHeight="1">
      <c r="A389" s="191"/>
      <c r="B389" s="191"/>
      <c r="C389" s="189">
        <v>4170</v>
      </c>
      <c r="D389" s="10" t="s">
        <v>684</v>
      </c>
      <c r="E389" s="480"/>
      <c r="F389" s="577"/>
      <c r="G389" s="579"/>
      <c r="H389" s="579">
        <v>2000</v>
      </c>
    </row>
    <row r="390" spans="1:8" ht="18.75" customHeight="1">
      <c r="A390" s="191"/>
      <c r="B390" s="191"/>
      <c r="C390" s="189">
        <v>4210</v>
      </c>
      <c r="D390" s="10" t="s">
        <v>674</v>
      </c>
      <c r="E390" s="609"/>
      <c r="F390" s="400"/>
      <c r="G390" s="579">
        <v>35000</v>
      </c>
      <c r="H390" s="579"/>
    </row>
    <row r="391" spans="1:8" ht="18.75" customHeight="1">
      <c r="A391" s="191"/>
      <c r="B391" s="191"/>
      <c r="C391" s="188">
        <v>4300</v>
      </c>
      <c r="D391" s="603" t="s">
        <v>742</v>
      </c>
      <c r="E391" s="609"/>
      <c r="F391" s="400"/>
      <c r="G391" s="579">
        <v>35000</v>
      </c>
      <c r="H391" s="579"/>
    </row>
    <row r="392" spans="1:8" ht="18.75" customHeight="1">
      <c r="A392" s="191"/>
      <c r="B392" s="191"/>
      <c r="C392" s="478">
        <v>4410</v>
      </c>
      <c r="D392" s="478" t="s">
        <v>685</v>
      </c>
      <c r="E392" s="609"/>
      <c r="F392" s="400"/>
      <c r="G392" s="579"/>
      <c r="H392" s="579">
        <v>3000</v>
      </c>
    </row>
    <row r="393" spans="1:8" ht="18.75" customHeight="1">
      <c r="A393" s="191"/>
      <c r="B393" s="191"/>
      <c r="C393" s="222">
        <v>4420</v>
      </c>
      <c r="D393" s="222" t="s">
        <v>686</v>
      </c>
      <c r="E393" s="609"/>
      <c r="F393" s="400"/>
      <c r="G393" s="579"/>
      <c r="H393" s="579">
        <v>5000</v>
      </c>
    </row>
    <row r="394" spans="1:8" ht="25.5" customHeight="1">
      <c r="A394" s="191"/>
      <c r="B394" s="191"/>
      <c r="C394" s="188"/>
      <c r="D394" s="463" t="s">
        <v>587</v>
      </c>
      <c r="E394" s="617"/>
      <c r="F394" s="577"/>
      <c r="G394" s="1331">
        <f>G395</f>
        <v>132249</v>
      </c>
      <c r="H394" s="1331">
        <f>H395</f>
        <v>118900</v>
      </c>
    </row>
    <row r="395" spans="1:8" ht="24" customHeight="1" thickBot="1">
      <c r="A395" s="191"/>
      <c r="B395" s="191"/>
      <c r="C395" s="188"/>
      <c r="D395" s="87" t="s">
        <v>827</v>
      </c>
      <c r="E395" s="618"/>
      <c r="F395" s="619"/>
      <c r="G395" s="85">
        <f>G396</f>
        <v>132249</v>
      </c>
      <c r="H395" s="85">
        <f>H396</f>
        <v>118900</v>
      </c>
    </row>
    <row r="396" spans="1:8" ht="18.75" customHeight="1" thickTop="1">
      <c r="A396" s="412">
        <v>750</v>
      </c>
      <c r="B396" s="412"/>
      <c r="C396" s="412"/>
      <c r="D396" s="412" t="s">
        <v>505</v>
      </c>
      <c r="E396" s="621"/>
      <c r="F396" s="622"/>
      <c r="G396" s="544">
        <f>G397+G403</f>
        <v>132249</v>
      </c>
      <c r="H396" s="544">
        <f>H397</f>
        <v>118900</v>
      </c>
    </row>
    <row r="397" spans="1:8" ht="18" customHeight="1">
      <c r="A397" s="191"/>
      <c r="B397" s="193">
        <v>75075</v>
      </c>
      <c r="C397" s="193"/>
      <c r="D397" s="193" t="s">
        <v>349</v>
      </c>
      <c r="E397" s="623"/>
      <c r="F397" s="624"/>
      <c r="G397" s="625">
        <f>G400</f>
        <v>18900</v>
      </c>
      <c r="H397" s="625">
        <f>H398+H400</f>
        <v>118900</v>
      </c>
    </row>
    <row r="398" spans="1:8" ht="18.75" customHeight="1">
      <c r="A398" s="191"/>
      <c r="B398" s="243"/>
      <c r="C398" s="360"/>
      <c r="D398" s="446" t="s">
        <v>350</v>
      </c>
      <c r="E398" s="626"/>
      <c r="F398" s="461"/>
      <c r="G398" s="543"/>
      <c r="H398" s="543">
        <f>H399</f>
        <v>100000</v>
      </c>
    </row>
    <row r="399" spans="1:8" ht="18.75" customHeight="1">
      <c r="A399" s="191"/>
      <c r="B399" s="243"/>
      <c r="C399" s="189">
        <v>4300</v>
      </c>
      <c r="D399" s="189" t="s">
        <v>742</v>
      </c>
      <c r="E399" s="683"/>
      <c r="F399" s="684"/>
      <c r="G399" s="106"/>
      <c r="H399" s="106">
        <v>100000</v>
      </c>
    </row>
    <row r="400" spans="1:8" ht="18.75" customHeight="1">
      <c r="A400" s="191"/>
      <c r="B400" s="191"/>
      <c r="C400" s="478"/>
      <c r="D400" s="446" t="s">
        <v>586</v>
      </c>
      <c r="E400" s="626"/>
      <c r="F400" s="461"/>
      <c r="G400" s="543">
        <f>G401</f>
        <v>18900</v>
      </c>
      <c r="H400" s="543">
        <f>H402</f>
        <v>18900</v>
      </c>
    </row>
    <row r="401" spans="1:8" ht="18.75" customHeight="1">
      <c r="A401" s="191"/>
      <c r="B401" s="191"/>
      <c r="C401" s="188">
        <v>4300</v>
      </c>
      <c r="D401" s="188" t="s">
        <v>742</v>
      </c>
      <c r="E401" s="617"/>
      <c r="F401" s="577"/>
      <c r="G401" s="542">
        <v>18900</v>
      </c>
      <c r="H401" s="542"/>
    </row>
    <row r="402" spans="1:8" ht="18.75" customHeight="1">
      <c r="A402" s="191"/>
      <c r="B402" s="201"/>
      <c r="C402" s="222">
        <v>4420</v>
      </c>
      <c r="D402" s="222" t="s">
        <v>686</v>
      </c>
      <c r="E402" s="609"/>
      <c r="F402" s="400"/>
      <c r="G402" s="548"/>
      <c r="H402" s="548">
        <v>18900</v>
      </c>
    </row>
    <row r="403" spans="1:8" ht="18.75" customHeight="1">
      <c r="A403" s="191"/>
      <c r="B403" s="193">
        <v>75095</v>
      </c>
      <c r="C403" s="193"/>
      <c r="D403" s="193" t="s">
        <v>829</v>
      </c>
      <c r="E403" s="685"/>
      <c r="F403" s="686"/>
      <c r="G403" s="552">
        <f>G404</f>
        <v>113349</v>
      </c>
      <c r="H403" s="552"/>
    </row>
    <row r="404" spans="1:8" ht="24" customHeight="1">
      <c r="A404" s="191"/>
      <c r="B404" s="191"/>
      <c r="C404" s="188"/>
      <c r="D404" s="195" t="s">
        <v>9</v>
      </c>
      <c r="E404" s="683"/>
      <c r="F404" s="684"/>
      <c r="G404" s="106">
        <f>SUM(G405:G412)</f>
        <v>113349</v>
      </c>
      <c r="H404" s="106"/>
    </row>
    <row r="405" spans="1:8" ht="18.75" customHeight="1">
      <c r="A405" s="191"/>
      <c r="B405" s="191"/>
      <c r="C405" s="188">
        <v>4012</v>
      </c>
      <c r="D405" s="415" t="s">
        <v>664</v>
      </c>
      <c r="E405" s="608"/>
      <c r="F405" s="443"/>
      <c r="G405" s="247">
        <v>2300</v>
      </c>
      <c r="H405" s="547"/>
    </row>
    <row r="406" spans="1:8" ht="19.5" customHeight="1">
      <c r="A406" s="191"/>
      <c r="B406" s="191"/>
      <c r="C406" s="222">
        <v>4112</v>
      </c>
      <c r="D406" s="199" t="s">
        <v>665</v>
      </c>
      <c r="E406" s="609"/>
      <c r="F406" s="400"/>
      <c r="G406" s="682">
        <v>479</v>
      </c>
      <c r="H406" s="548"/>
    </row>
    <row r="407" spans="1:8" ht="18.75" customHeight="1">
      <c r="A407" s="201"/>
      <c r="B407" s="201"/>
      <c r="C407" s="222">
        <v>4172</v>
      </c>
      <c r="D407" s="199" t="s">
        <v>458</v>
      </c>
      <c r="E407" s="609"/>
      <c r="F407" s="400"/>
      <c r="G407" s="682">
        <v>23000</v>
      </c>
      <c r="H407" s="548"/>
    </row>
    <row r="408" spans="1:8" ht="18.75" customHeight="1">
      <c r="A408" s="191"/>
      <c r="B408" s="191"/>
      <c r="C408" s="189">
        <v>4211</v>
      </c>
      <c r="D408" s="189" t="s">
        <v>10</v>
      </c>
      <c r="E408" s="1002"/>
      <c r="F408" s="265"/>
      <c r="G408" s="198">
        <v>2740</v>
      </c>
      <c r="H408" s="579"/>
    </row>
    <row r="409" spans="1:8" ht="18.75" customHeight="1">
      <c r="A409" s="191"/>
      <c r="B409" s="191"/>
      <c r="C409" s="222">
        <v>4212</v>
      </c>
      <c r="D409" s="222" t="s">
        <v>10</v>
      </c>
      <c r="E409" s="609"/>
      <c r="F409" s="400"/>
      <c r="G409" s="682">
        <v>2530</v>
      </c>
      <c r="H409" s="548"/>
    </row>
    <row r="410" spans="1:8" ht="18.75" customHeight="1">
      <c r="A410" s="191"/>
      <c r="B410" s="191"/>
      <c r="C410" s="222">
        <v>4301</v>
      </c>
      <c r="D410" s="222" t="s">
        <v>742</v>
      </c>
      <c r="E410" s="609"/>
      <c r="F410" s="400"/>
      <c r="G410" s="682">
        <v>73600</v>
      </c>
      <c r="H410" s="548"/>
    </row>
    <row r="411" spans="1:8" ht="18.75" customHeight="1">
      <c r="A411" s="191"/>
      <c r="B411" s="191"/>
      <c r="C411" s="222">
        <v>4421</v>
      </c>
      <c r="D411" s="222" t="s">
        <v>686</v>
      </c>
      <c r="E411" s="609"/>
      <c r="F411" s="400"/>
      <c r="G411" s="682">
        <v>4800</v>
      </c>
      <c r="H411" s="548"/>
    </row>
    <row r="412" spans="1:8" ht="18.75" customHeight="1">
      <c r="A412" s="191"/>
      <c r="B412" s="191"/>
      <c r="C412" s="222">
        <v>4422</v>
      </c>
      <c r="D412" s="222" t="s">
        <v>686</v>
      </c>
      <c r="E412" s="609"/>
      <c r="F412" s="400"/>
      <c r="G412" s="682">
        <v>3900</v>
      </c>
      <c r="H412" s="548"/>
    </row>
    <row r="413" spans="1:8" ht="18.75" customHeight="1">
      <c r="A413" s="191"/>
      <c r="B413" s="191"/>
      <c r="C413" s="188"/>
      <c r="D413" s="188"/>
      <c r="E413" s="617"/>
      <c r="F413" s="577"/>
      <c r="G413" s="542"/>
      <c r="H413" s="542"/>
    </row>
    <row r="414" spans="1:8" ht="18.75" customHeight="1">
      <c r="A414" s="191"/>
      <c r="B414" s="191"/>
      <c r="C414" s="188"/>
      <c r="D414" s="463" t="s">
        <v>638</v>
      </c>
      <c r="E414" s="617"/>
      <c r="F414" s="577"/>
      <c r="G414" s="84">
        <f aca="true" t="shared" si="6" ref="G414:H416">G415</f>
        <v>1700</v>
      </c>
      <c r="H414" s="84">
        <f t="shared" si="6"/>
        <v>1700</v>
      </c>
    </row>
    <row r="415" spans="1:8" ht="18.75" customHeight="1" thickBot="1">
      <c r="A415" s="191"/>
      <c r="B415" s="191"/>
      <c r="C415" s="188"/>
      <c r="D415" s="87" t="s">
        <v>827</v>
      </c>
      <c r="E415" s="617"/>
      <c r="F415" s="577"/>
      <c r="G415" s="158">
        <f t="shared" si="6"/>
        <v>1700</v>
      </c>
      <c r="H415" s="158">
        <f t="shared" si="6"/>
        <v>1700</v>
      </c>
    </row>
    <row r="416" spans="1:8" ht="18.75" customHeight="1" thickTop="1">
      <c r="A416" s="412">
        <v>754</v>
      </c>
      <c r="B416" s="412"/>
      <c r="C416" s="412"/>
      <c r="D416" s="238" t="s">
        <v>724</v>
      </c>
      <c r="E416" s="633"/>
      <c r="F416" s="634"/>
      <c r="G416" s="544">
        <f t="shared" si="6"/>
        <v>1700</v>
      </c>
      <c r="H416" s="544">
        <f t="shared" si="6"/>
        <v>1700</v>
      </c>
    </row>
    <row r="417" spans="1:8" ht="18.75" customHeight="1">
      <c r="A417" s="243"/>
      <c r="B417" s="203">
        <v>75416</v>
      </c>
      <c r="C417" s="243"/>
      <c r="D417" s="193" t="s">
        <v>593</v>
      </c>
      <c r="E417" s="609"/>
      <c r="F417" s="400"/>
      <c r="G417" s="552">
        <f>G418+G420</f>
        <v>1700</v>
      </c>
      <c r="H417" s="552">
        <f>H418+H420</f>
        <v>1700</v>
      </c>
    </row>
    <row r="418" spans="1:8" ht="18.75" customHeight="1">
      <c r="A418" s="191"/>
      <c r="B418" s="191"/>
      <c r="C418" s="478"/>
      <c r="D418" s="496" t="s">
        <v>828</v>
      </c>
      <c r="E418" s="607"/>
      <c r="F418" s="498"/>
      <c r="G418" s="543">
        <f>G419</f>
        <v>1700</v>
      </c>
      <c r="H418" s="616"/>
    </row>
    <row r="419" spans="1:8" ht="18.75" customHeight="1">
      <c r="A419" s="191"/>
      <c r="B419" s="191"/>
      <c r="C419" s="189">
        <v>4260</v>
      </c>
      <c r="D419" s="189" t="s">
        <v>741</v>
      </c>
      <c r="E419" s="617"/>
      <c r="F419" s="577"/>
      <c r="G419" s="542">
        <v>1700</v>
      </c>
      <c r="H419" s="542"/>
    </row>
    <row r="420" spans="1:8" ht="18.75" customHeight="1">
      <c r="A420" s="191"/>
      <c r="B420" s="191"/>
      <c r="C420" s="191"/>
      <c r="D420" s="511" t="s">
        <v>647</v>
      </c>
      <c r="E420" s="607"/>
      <c r="F420" s="498"/>
      <c r="G420" s="616"/>
      <c r="H420" s="543">
        <f>H421</f>
        <v>1700</v>
      </c>
    </row>
    <row r="421" spans="1:8" ht="18.75" customHeight="1">
      <c r="A421" s="191"/>
      <c r="B421" s="191"/>
      <c r="C421" s="189">
        <v>6060</v>
      </c>
      <c r="D421" s="10" t="s">
        <v>671</v>
      </c>
      <c r="E421" s="1002"/>
      <c r="F421" s="265"/>
      <c r="G421" s="579"/>
      <c r="H421" s="579">
        <v>1700</v>
      </c>
    </row>
    <row r="422" spans="1:8" ht="34.5" customHeight="1">
      <c r="A422" s="89"/>
      <c r="B422" s="77"/>
      <c r="C422" s="89"/>
      <c r="D422" s="116" t="s">
        <v>639</v>
      </c>
      <c r="E422" s="117"/>
      <c r="F422" s="117"/>
      <c r="G422" s="117"/>
      <c r="H422" s="117">
        <f>H423</f>
        <v>3000</v>
      </c>
    </row>
    <row r="423" spans="1:8" ht="18.75" customHeight="1" thickBot="1">
      <c r="A423" s="567"/>
      <c r="B423" s="191"/>
      <c r="C423" s="426"/>
      <c r="D423" s="278" t="s">
        <v>827</v>
      </c>
      <c r="E423" s="279"/>
      <c r="F423" s="279"/>
      <c r="G423" s="279"/>
      <c r="H423" s="1413">
        <f>H424</f>
        <v>3000</v>
      </c>
    </row>
    <row r="424" spans="1:8" ht="18.75" customHeight="1" thickTop="1">
      <c r="A424" s="412">
        <v>852</v>
      </c>
      <c r="B424" s="412"/>
      <c r="C424" s="412"/>
      <c r="D424" s="238" t="s">
        <v>746</v>
      </c>
      <c r="E424" s="1329"/>
      <c r="F424" s="1329"/>
      <c r="G424" s="1329"/>
      <c r="H424" s="622">
        <f>H425</f>
        <v>3000</v>
      </c>
    </row>
    <row r="425" spans="1:8" ht="18.75" customHeight="1">
      <c r="A425" s="243"/>
      <c r="B425" s="193">
        <v>85201</v>
      </c>
      <c r="C425" s="193"/>
      <c r="D425" s="429" t="s">
        <v>667</v>
      </c>
      <c r="E425" s="1324"/>
      <c r="F425" s="1324"/>
      <c r="G425" s="1324"/>
      <c r="H425" s="835">
        <f>H426+H428</f>
        <v>3000</v>
      </c>
    </row>
    <row r="426" spans="1:8" ht="18.75" customHeight="1">
      <c r="A426" s="191"/>
      <c r="B426" s="243"/>
      <c r="C426" s="243"/>
      <c r="D426" s="496" t="s">
        <v>747</v>
      </c>
      <c r="E426" s="1330"/>
      <c r="F426" s="1330"/>
      <c r="G426" s="1330"/>
      <c r="H426" s="207">
        <f>H427</f>
        <v>2500</v>
      </c>
    </row>
    <row r="427" spans="1:8" ht="18.75" customHeight="1">
      <c r="A427" s="191"/>
      <c r="B427" s="243"/>
      <c r="C427" s="189">
        <v>4010</v>
      </c>
      <c r="D427" s="189" t="s">
        <v>664</v>
      </c>
      <c r="E427" s="1325"/>
      <c r="F427" s="1325"/>
      <c r="G427" s="1325"/>
      <c r="H427" s="933">
        <v>2500</v>
      </c>
    </row>
    <row r="428" spans="1:8" ht="18.75" customHeight="1">
      <c r="A428" s="567"/>
      <c r="B428" s="191"/>
      <c r="C428" s="191"/>
      <c r="D428" s="446" t="s">
        <v>921</v>
      </c>
      <c r="E428" s="1324"/>
      <c r="F428" s="1324"/>
      <c r="G428" s="1324"/>
      <c r="H428" s="1326">
        <f>H429+H430</f>
        <v>500</v>
      </c>
    </row>
    <row r="429" spans="1:8" ht="18.75" customHeight="1">
      <c r="A429" s="567"/>
      <c r="B429" s="191"/>
      <c r="C429" s="189">
        <v>4110</v>
      </c>
      <c r="D429" s="189" t="s">
        <v>665</v>
      </c>
      <c r="E429" s="1325"/>
      <c r="F429" s="1325"/>
      <c r="G429" s="1325"/>
      <c r="H429" s="933">
        <v>440</v>
      </c>
    </row>
    <row r="430" spans="1:8" ht="18.75" customHeight="1">
      <c r="A430" s="567"/>
      <c r="B430" s="191"/>
      <c r="C430" s="222">
        <v>4120</v>
      </c>
      <c r="D430" s="222" t="s">
        <v>666</v>
      </c>
      <c r="E430" s="1323"/>
      <c r="F430" s="1323"/>
      <c r="G430" s="1323"/>
      <c r="H430" s="1412">
        <v>60</v>
      </c>
    </row>
    <row r="431" spans="1:8" ht="27" customHeight="1">
      <c r="A431" s="567"/>
      <c r="B431" s="191"/>
      <c r="C431" s="426"/>
      <c r="D431" s="435" t="s">
        <v>748</v>
      </c>
      <c r="E431" s="472"/>
      <c r="F431" s="472"/>
      <c r="G431" s="472"/>
      <c r="H431" s="472">
        <f>H432</f>
        <v>3000</v>
      </c>
    </row>
    <row r="432" spans="1:8" ht="21.75" customHeight="1" thickBot="1">
      <c r="A432" s="567"/>
      <c r="B432" s="191"/>
      <c r="C432" s="426"/>
      <c r="D432" s="278" t="s">
        <v>827</v>
      </c>
      <c r="E432" s="279"/>
      <c r="F432" s="279"/>
      <c r="G432" s="279"/>
      <c r="H432" s="1413">
        <f>H433</f>
        <v>3000</v>
      </c>
    </row>
    <row r="433" spans="1:8" ht="18" customHeight="1" thickTop="1">
      <c r="A433" s="412">
        <v>852</v>
      </c>
      <c r="B433" s="412"/>
      <c r="C433" s="412"/>
      <c r="D433" s="238" t="s">
        <v>746</v>
      </c>
      <c r="E433" s="569"/>
      <c r="F433" s="569"/>
      <c r="G433" s="569"/>
      <c r="H433" s="622">
        <f>H434</f>
        <v>3000</v>
      </c>
    </row>
    <row r="434" spans="1:8" ht="18" customHeight="1">
      <c r="A434" s="243"/>
      <c r="B434" s="193">
        <v>85201</v>
      </c>
      <c r="C434" s="193"/>
      <c r="D434" s="429" t="s">
        <v>667</v>
      </c>
      <c r="E434" s="433"/>
      <c r="F434" s="433"/>
      <c r="G434" s="433"/>
      <c r="H434" s="835">
        <f>H435+H437</f>
        <v>3000</v>
      </c>
    </row>
    <row r="435" spans="1:8" ht="18" customHeight="1">
      <c r="A435" s="191"/>
      <c r="B435" s="243"/>
      <c r="C435" s="243"/>
      <c r="D435" s="496" t="s">
        <v>747</v>
      </c>
      <c r="E435" s="570"/>
      <c r="F435" s="570"/>
      <c r="G435" s="570"/>
      <c r="H435" s="207">
        <f>H436</f>
        <v>2500</v>
      </c>
    </row>
    <row r="436" spans="1:8" ht="18" customHeight="1">
      <c r="A436" s="191"/>
      <c r="B436" s="243"/>
      <c r="C436" s="189">
        <v>4010</v>
      </c>
      <c r="D436" s="189" t="s">
        <v>664</v>
      </c>
      <c r="E436" s="532"/>
      <c r="F436" s="532"/>
      <c r="G436" s="532"/>
      <c r="H436" s="933">
        <v>2500</v>
      </c>
    </row>
    <row r="437" spans="1:8" ht="18" customHeight="1">
      <c r="A437" s="567"/>
      <c r="B437" s="191"/>
      <c r="C437" s="191"/>
      <c r="D437" s="446" t="s">
        <v>921</v>
      </c>
      <c r="E437" s="433"/>
      <c r="F437" s="433"/>
      <c r="G437" s="433"/>
      <c r="H437" s="1326">
        <f>H438+H439</f>
        <v>500</v>
      </c>
    </row>
    <row r="438" spans="1:8" ht="18" customHeight="1">
      <c r="A438" s="567"/>
      <c r="B438" s="191"/>
      <c r="C438" s="189">
        <v>4110</v>
      </c>
      <c r="D438" s="189" t="s">
        <v>665</v>
      </c>
      <c r="E438" s="532"/>
      <c r="F438" s="532"/>
      <c r="G438" s="532"/>
      <c r="H438" s="933">
        <v>440</v>
      </c>
    </row>
    <row r="439" spans="1:8" ht="18" customHeight="1">
      <c r="A439" s="481"/>
      <c r="B439" s="201"/>
      <c r="C439" s="189">
        <v>4120</v>
      </c>
      <c r="D439" s="189" t="s">
        <v>666</v>
      </c>
      <c r="E439" s="836"/>
      <c r="F439" s="836"/>
      <c r="G439" s="836"/>
      <c r="H439" s="208">
        <v>60</v>
      </c>
    </row>
    <row r="440" spans="1:8" ht="26.25" customHeight="1">
      <c r="A440" s="947"/>
      <c r="B440" s="191"/>
      <c r="C440" s="426"/>
      <c r="D440" s="427" t="s">
        <v>659</v>
      </c>
      <c r="E440" s="433"/>
      <c r="F440" s="433"/>
      <c r="G440" s="433">
        <f aca="true" t="shared" si="7" ref="G440:H442">G441</f>
        <v>12700</v>
      </c>
      <c r="H440" s="433">
        <f t="shared" si="7"/>
        <v>12700</v>
      </c>
    </row>
    <row r="441" spans="1:8" ht="18.75" customHeight="1" thickBot="1">
      <c r="A441" s="191"/>
      <c r="B441" s="201"/>
      <c r="C441" s="428"/>
      <c r="D441" s="278" t="s">
        <v>827</v>
      </c>
      <c r="E441" s="279"/>
      <c r="F441" s="279"/>
      <c r="G441" s="913">
        <f t="shared" si="7"/>
        <v>12700</v>
      </c>
      <c r="H441" s="913">
        <f t="shared" si="7"/>
        <v>12700</v>
      </c>
    </row>
    <row r="442" spans="1:8" s="1" customFormat="1" ht="18.75" customHeight="1" thickTop="1">
      <c r="A442" s="412">
        <v>852</v>
      </c>
      <c r="B442" s="412"/>
      <c r="C442" s="192"/>
      <c r="D442" s="192" t="s">
        <v>746</v>
      </c>
      <c r="E442" s="239"/>
      <c r="F442" s="239"/>
      <c r="G442" s="239">
        <f t="shared" si="7"/>
        <v>12700</v>
      </c>
      <c r="H442" s="239">
        <f t="shared" si="7"/>
        <v>12700</v>
      </c>
    </row>
    <row r="443" spans="1:8" ht="21.75" customHeight="1">
      <c r="A443" s="580"/>
      <c r="B443" s="193">
        <v>85202</v>
      </c>
      <c r="C443" s="193"/>
      <c r="D443" s="193" t="s">
        <v>497</v>
      </c>
      <c r="E443" s="455"/>
      <c r="F443" s="455"/>
      <c r="G443" s="589">
        <f>G444</f>
        <v>12700</v>
      </c>
      <c r="H443" s="589">
        <f>H444+H448</f>
        <v>12700</v>
      </c>
    </row>
    <row r="444" spans="1:8" ht="17.25" customHeight="1">
      <c r="A444" s="580"/>
      <c r="B444" s="580"/>
      <c r="C444" s="191"/>
      <c r="D444" s="446" t="s">
        <v>828</v>
      </c>
      <c r="E444" s="585"/>
      <c r="F444" s="585"/>
      <c r="G444" s="91">
        <f>G446</f>
        <v>12700</v>
      </c>
      <c r="H444" s="91">
        <f>H445+H447</f>
        <v>11000</v>
      </c>
    </row>
    <row r="445" spans="1:8" ht="19.5" customHeight="1">
      <c r="A445" s="580"/>
      <c r="B445" s="580"/>
      <c r="C445" s="189">
        <v>4210</v>
      </c>
      <c r="D445" s="233" t="s">
        <v>674</v>
      </c>
      <c r="E445" s="586"/>
      <c r="F445" s="586"/>
      <c r="G445" s="586"/>
      <c r="H445" s="586">
        <v>8500</v>
      </c>
    </row>
    <row r="446" spans="1:8" ht="20.25" customHeight="1">
      <c r="A446" s="580"/>
      <c r="B446" s="580"/>
      <c r="C446" s="189">
        <v>4270</v>
      </c>
      <c r="D446" s="246" t="s">
        <v>679</v>
      </c>
      <c r="E446" s="398"/>
      <c r="F446" s="398"/>
      <c r="G446" s="398">
        <v>12700</v>
      </c>
      <c r="H446" s="398"/>
    </row>
    <row r="447" spans="1:8" ht="22.5" customHeight="1">
      <c r="A447" s="580"/>
      <c r="B447" s="580"/>
      <c r="C447" s="189">
        <v>4300</v>
      </c>
      <c r="D447" s="189" t="s">
        <v>742</v>
      </c>
      <c r="E447" s="398"/>
      <c r="F447" s="398"/>
      <c r="G447" s="398"/>
      <c r="H447" s="398">
        <v>2500</v>
      </c>
    </row>
    <row r="448" spans="1:8" ht="21" customHeight="1">
      <c r="A448" s="580"/>
      <c r="B448" s="580"/>
      <c r="C448" s="583"/>
      <c r="D448" s="584" t="s">
        <v>655</v>
      </c>
      <c r="E448" s="587"/>
      <c r="F448" s="587"/>
      <c r="G448" s="587"/>
      <c r="H448" s="588">
        <f>H450</f>
        <v>1700</v>
      </c>
    </row>
    <row r="449" spans="1:8" ht="21" customHeight="1">
      <c r="A449" s="580"/>
      <c r="B449" s="580"/>
      <c r="C449" s="580"/>
      <c r="D449" s="1003" t="s">
        <v>20</v>
      </c>
      <c r="E449" s="787"/>
      <c r="F449" s="787"/>
      <c r="G449" s="787"/>
      <c r="H449" s="1004">
        <v>1700</v>
      </c>
    </row>
    <row r="450" spans="1:8" ht="21.75" customHeight="1">
      <c r="A450" s="580"/>
      <c r="B450" s="580"/>
      <c r="C450" s="189">
        <v>6060</v>
      </c>
      <c r="D450" s="10" t="s">
        <v>671</v>
      </c>
      <c r="E450" s="455"/>
      <c r="F450" s="455"/>
      <c r="G450" s="455"/>
      <c r="H450" s="455">
        <v>1700</v>
      </c>
    </row>
    <row r="451" spans="1:8" ht="26.25" customHeight="1">
      <c r="A451" s="567"/>
      <c r="B451" s="191"/>
      <c r="C451" s="426"/>
      <c r="D451" s="427" t="s">
        <v>352</v>
      </c>
      <c r="E451" s="433"/>
      <c r="F451" s="433"/>
      <c r="G451" s="433"/>
      <c r="H451" s="433">
        <f>H452</f>
        <v>8100</v>
      </c>
    </row>
    <row r="452" spans="1:8" ht="24" customHeight="1" thickBot="1">
      <c r="A452" s="191"/>
      <c r="B452" s="201"/>
      <c r="C452" s="428"/>
      <c r="D452" s="278" t="s">
        <v>827</v>
      </c>
      <c r="E452" s="279"/>
      <c r="F452" s="279"/>
      <c r="G452" s="279"/>
      <c r="H452" s="279">
        <f>H453</f>
        <v>8100</v>
      </c>
    </row>
    <row r="453" spans="1:8" ht="21" customHeight="1" thickTop="1">
      <c r="A453" s="412">
        <v>852</v>
      </c>
      <c r="B453" s="412"/>
      <c r="C453" s="192"/>
      <c r="D453" s="192" t="s">
        <v>746</v>
      </c>
      <c r="E453" s="239"/>
      <c r="F453" s="239"/>
      <c r="G453" s="239"/>
      <c r="H453" s="239">
        <f>H454</f>
        <v>8100</v>
      </c>
    </row>
    <row r="454" spans="1:8" ht="20.25" customHeight="1">
      <c r="A454" s="194"/>
      <c r="B454" s="481">
        <v>85202</v>
      </c>
      <c r="C454" s="481"/>
      <c r="D454" s="481" t="s">
        <v>497</v>
      </c>
      <c r="E454" s="432"/>
      <c r="F454" s="432"/>
      <c r="G454" s="432"/>
      <c r="H454" s="432">
        <f>H455</f>
        <v>8100</v>
      </c>
    </row>
    <row r="455" spans="1:8" ht="18" customHeight="1">
      <c r="A455" s="1328"/>
      <c r="B455" s="191"/>
      <c r="C455" s="191"/>
      <c r="D455" s="496" t="s">
        <v>655</v>
      </c>
      <c r="E455" s="197"/>
      <c r="F455" s="197"/>
      <c r="G455" s="197"/>
      <c r="H455" s="197">
        <v>8100</v>
      </c>
    </row>
    <row r="456" spans="1:8" ht="36.75" customHeight="1">
      <c r="A456" s="191"/>
      <c r="B456" s="89"/>
      <c r="C456" s="188"/>
      <c r="D456" s="982" t="s">
        <v>530</v>
      </c>
      <c r="E456" s="655"/>
      <c r="F456" s="655"/>
      <c r="G456" s="655"/>
      <c r="H456" s="655">
        <v>8100</v>
      </c>
    </row>
    <row r="457" spans="1:8" ht="20.25" customHeight="1">
      <c r="A457" s="191"/>
      <c r="B457" s="89"/>
      <c r="C457" s="189">
        <v>6050</v>
      </c>
      <c r="D457" s="189" t="s">
        <v>670</v>
      </c>
      <c r="E457" s="455"/>
      <c r="F457" s="455"/>
      <c r="G457" s="455"/>
      <c r="H457" s="455">
        <v>8100</v>
      </c>
    </row>
    <row r="458" spans="1:8" ht="20.25" customHeight="1">
      <c r="A458" s="425"/>
      <c r="B458" s="89"/>
      <c r="C458" s="188"/>
      <c r="D458" s="188"/>
      <c r="E458" s="585"/>
      <c r="F458" s="585"/>
      <c r="G458" s="585"/>
      <c r="H458" s="585"/>
    </row>
    <row r="459" spans="1:8" ht="19.5" customHeight="1">
      <c r="A459" s="425"/>
      <c r="B459" s="191"/>
      <c r="C459" s="426"/>
      <c r="D459" s="427" t="s">
        <v>640</v>
      </c>
      <c r="E459" s="433"/>
      <c r="F459" s="433"/>
      <c r="G459" s="433">
        <f>G460+G475+G495</f>
        <v>1115595</v>
      </c>
      <c r="H459" s="433">
        <f>H460+H475+H495</f>
        <v>507714</v>
      </c>
    </row>
    <row r="460" spans="1:8" ht="18" customHeight="1" thickBot="1">
      <c r="A460" s="425"/>
      <c r="B460" s="191"/>
      <c r="C460" s="426"/>
      <c r="D460" s="278" t="s">
        <v>827</v>
      </c>
      <c r="E460" s="525"/>
      <c r="F460" s="525"/>
      <c r="G460" s="1327">
        <f>G461</f>
        <v>1106000</v>
      </c>
      <c r="H460" s="1327">
        <f>H461</f>
        <v>442928</v>
      </c>
    </row>
    <row r="461" spans="1:8" ht="18" customHeight="1" thickTop="1">
      <c r="A461" s="412">
        <v>852</v>
      </c>
      <c r="B461" s="412"/>
      <c r="C461" s="531"/>
      <c r="D461" s="527" t="s">
        <v>746</v>
      </c>
      <c r="E461" s="1312"/>
      <c r="F461" s="1312"/>
      <c r="G461" s="841">
        <f>G462+G469</f>
        <v>1106000</v>
      </c>
      <c r="H461" s="841">
        <f>H472</f>
        <v>442928</v>
      </c>
    </row>
    <row r="462" spans="1:8" s="568" customFormat="1" ht="18" customHeight="1">
      <c r="A462" s="567"/>
      <c r="B462" s="481">
        <v>85201</v>
      </c>
      <c r="C462" s="481"/>
      <c r="D462" s="423" t="s">
        <v>667</v>
      </c>
      <c r="E462" s="1313"/>
      <c r="F462" s="1313"/>
      <c r="G462" s="686">
        <f>G463+G465</f>
        <v>6000</v>
      </c>
      <c r="H462" s="1314"/>
    </row>
    <row r="463" spans="1:8" s="568" customFormat="1" ht="18" customHeight="1">
      <c r="A463" s="567"/>
      <c r="B463" s="567"/>
      <c r="C463" s="243"/>
      <c r="D463" s="446" t="s">
        <v>747</v>
      </c>
      <c r="E463" s="1315"/>
      <c r="F463" s="1315"/>
      <c r="G463" s="684">
        <f>G464</f>
        <v>5000</v>
      </c>
      <c r="H463" s="1316"/>
    </row>
    <row r="464" spans="1:8" s="568" customFormat="1" ht="18" customHeight="1">
      <c r="A464" s="567"/>
      <c r="B464" s="567"/>
      <c r="C464" s="189">
        <v>4010</v>
      </c>
      <c r="D464" s="189" t="s">
        <v>664</v>
      </c>
      <c r="E464" s="1317"/>
      <c r="F464" s="1317"/>
      <c r="G464" s="443">
        <v>5000</v>
      </c>
      <c r="H464" s="1318"/>
    </row>
    <row r="465" spans="1:8" s="568" customFormat="1" ht="18" customHeight="1">
      <c r="A465" s="567"/>
      <c r="B465" s="567"/>
      <c r="C465" s="191"/>
      <c r="D465" s="495" t="s">
        <v>921</v>
      </c>
      <c r="E465" s="1319"/>
      <c r="F465" s="1319"/>
      <c r="G465" s="461">
        <f>G466+G467</f>
        <v>1000</v>
      </c>
      <c r="H465" s="1320"/>
    </row>
    <row r="466" spans="1:8" s="568" customFormat="1" ht="18" customHeight="1">
      <c r="A466" s="567"/>
      <c r="B466" s="567"/>
      <c r="C466" s="188">
        <v>4110</v>
      </c>
      <c r="D466" s="188" t="s">
        <v>665</v>
      </c>
      <c r="E466" s="1315"/>
      <c r="F466" s="1315"/>
      <c r="G466" s="577">
        <v>880</v>
      </c>
      <c r="H466" s="1316"/>
    </row>
    <row r="467" spans="1:8" s="568" customFormat="1" ht="18" customHeight="1">
      <c r="A467" s="481"/>
      <c r="B467" s="481"/>
      <c r="C467" s="222">
        <v>4120</v>
      </c>
      <c r="D467" s="222" t="s">
        <v>666</v>
      </c>
      <c r="E467" s="1313"/>
      <c r="F467" s="1313"/>
      <c r="G467" s="400">
        <v>120</v>
      </c>
      <c r="H467" s="1314"/>
    </row>
    <row r="468" ht="36" customHeight="1">
      <c r="A468"/>
    </row>
    <row r="469" spans="1:8" s="568" customFormat="1" ht="18" customHeight="1">
      <c r="A469" s="567"/>
      <c r="B469" s="203">
        <v>85214</v>
      </c>
      <c r="C469" s="203"/>
      <c r="D469" s="223" t="s">
        <v>595</v>
      </c>
      <c r="E469" s="1314"/>
      <c r="F469" s="1314"/>
      <c r="G469" s="686">
        <f>G470</f>
        <v>1100000</v>
      </c>
      <c r="H469" s="1314"/>
    </row>
    <row r="470" spans="1:8" s="568" customFormat="1" ht="18" customHeight="1">
      <c r="A470" s="567"/>
      <c r="B470" s="191"/>
      <c r="C470" s="194"/>
      <c r="D470" s="496" t="s">
        <v>591</v>
      </c>
      <c r="E470" s="1319"/>
      <c r="F470" s="1319"/>
      <c r="G470" s="461">
        <f>G471</f>
        <v>1100000</v>
      </c>
      <c r="H470" s="1320"/>
    </row>
    <row r="471" spans="1:8" s="568" customFormat="1" ht="18" customHeight="1">
      <c r="A471" s="567"/>
      <c r="B471" s="191"/>
      <c r="C471" s="189">
        <v>3110</v>
      </c>
      <c r="D471" s="246" t="s">
        <v>729</v>
      </c>
      <c r="E471" s="1321"/>
      <c r="F471" s="1321"/>
      <c r="G471" s="265">
        <v>1100000</v>
      </c>
      <c r="H471" s="1322"/>
    </row>
    <row r="472" spans="1:8" ht="18" customHeight="1">
      <c r="A472" s="191"/>
      <c r="B472" s="512">
        <v>85295</v>
      </c>
      <c r="C472" s="512"/>
      <c r="D472" s="533" t="s">
        <v>829</v>
      </c>
      <c r="E472" s="1323"/>
      <c r="F472" s="1323"/>
      <c r="G472" s="1323"/>
      <c r="H472" s="292">
        <f>H473</f>
        <v>442928</v>
      </c>
    </row>
    <row r="473" spans="1:8" ht="18" customHeight="1">
      <c r="A473" s="191"/>
      <c r="B473" s="77"/>
      <c r="C473" s="77"/>
      <c r="D473" s="526" t="s">
        <v>937</v>
      </c>
      <c r="E473" s="1324"/>
      <c r="F473" s="1324"/>
      <c r="G473" s="1324"/>
      <c r="H473" s="1326">
        <f>H474</f>
        <v>442928</v>
      </c>
    </row>
    <row r="474" spans="1:8" ht="18" customHeight="1">
      <c r="A474" s="191"/>
      <c r="B474" s="77"/>
      <c r="C474" s="90">
        <v>3110</v>
      </c>
      <c r="D474" s="90" t="s">
        <v>729</v>
      </c>
      <c r="E474" s="1325"/>
      <c r="F474" s="1325"/>
      <c r="G474" s="1325"/>
      <c r="H474" s="933">
        <v>442928</v>
      </c>
    </row>
    <row r="475" spans="1:8" ht="24.75" customHeight="1" thickBot="1">
      <c r="A475" s="191"/>
      <c r="B475" s="201"/>
      <c r="C475" s="428"/>
      <c r="D475" s="87" t="s">
        <v>830</v>
      </c>
      <c r="E475" s="279"/>
      <c r="F475" s="279"/>
      <c r="G475" s="279">
        <f>G476+G482</f>
        <v>9595</v>
      </c>
      <c r="H475" s="279">
        <f>H476+H482</f>
        <v>54800</v>
      </c>
    </row>
    <row r="476" spans="1:8" ht="18.75" customHeight="1" thickTop="1">
      <c r="A476" s="412">
        <v>851</v>
      </c>
      <c r="B476" s="412"/>
      <c r="C476" s="412"/>
      <c r="D476" s="509" t="s">
        <v>877</v>
      </c>
      <c r="E476" s="629"/>
      <c r="F476" s="629"/>
      <c r="G476" s="629"/>
      <c r="H476" s="629">
        <f>H477</f>
        <v>1605</v>
      </c>
    </row>
    <row r="477" spans="1:8" ht="18.75" customHeight="1">
      <c r="A477" s="191"/>
      <c r="B477" s="477">
        <v>85195</v>
      </c>
      <c r="C477" s="477"/>
      <c r="D477" s="286" t="s">
        <v>829</v>
      </c>
      <c r="E477" s="940"/>
      <c r="F477" s="940"/>
      <c r="G477" s="940"/>
      <c r="H477" s="242">
        <f>H478</f>
        <v>1605</v>
      </c>
    </row>
    <row r="478" spans="1:8" ht="18.75" customHeight="1">
      <c r="A478" s="191"/>
      <c r="B478" s="191"/>
      <c r="C478" s="426"/>
      <c r="D478" s="230" t="s">
        <v>215</v>
      </c>
      <c r="E478" s="941"/>
      <c r="F478" s="941"/>
      <c r="G478" s="941"/>
      <c r="H478" s="197">
        <f>SUM(H479:H481)</f>
        <v>1605</v>
      </c>
    </row>
    <row r="479" spans="1:8" ht="18.75" customHeight="1">
      <c r="A479" s="191"/>
      <c r="B479" s="191"/>
      <c r="C479" s="939">
        <v>4010</v>
      </c>
      <c r="D479" s="246" t="s">
        <v>664</v>
      </c>
      <c r="E479" s="938"/>
      <c r="F479" s="938"/>
      <c r="G479" s="938"/>
      <c r="H479" s="668">
        <v>1341</v>
      </c>
    </row>
    <row r="480" spans="1:8" ht="18.75" customHeight="1">
      <c r="A480" s="191"/>
      <c r="B480" s="191"/>
      <c r="C480" s="188">
        <v>4110</v>
      </c>
      <c r="D480" s="188" t="s">
        <v>665</v>
      </c>
      <c r="E480" s="940"/>
      <c r="F480" s="940"/>
      <c r="G480" s="940"/>
      <c r="H480" s="630">
        <v>231</v>
      </c>
    </row>
    <row r="481" spans="1:8" ht="18.75" customHeight="1">
      <c r="A481" s="191"/>
      <c r="B481" s="201"/>
      <c r="C481" s="222">
        <v>4120</v>
      </c>
      <c r="D481" s="222" t="s">
        <v>666</v>
      </c>
      <c r="E481" s="940"/>
      <c r="F481" s="940"/>
      <c r="G481" s="940"/>
      <c r="H481" s="630">
        <v>33</v>
      </c>
    </row>
    <row r="482" spans="1:8" ht="18.75" customHeight="1">
      <c r="A482" s="412">
        <v>852</v>
      </c>
      <c r="B482" s="412"/>
      <c r="C482" s="412"/>
      <c r="D482" s="192" t="s">
        <v>746</v>
      </c>
      <c r="E482" s="629"/>
      <c r="F482" s="629"/>
      <c r="G482" s="629">
        <f>G483+G488+G492</f>
        <v>9595</v>
      </c>
      <c r="H482" s="629">
        <f>H483+H488+H492</f>
        <v>53195</v>
      </c>
    </row>
    <row r="483" spans="1:8" ht="27.75" customHeight="1">
      <c r="A483" s="191"/>
      <c r="B483" s="193">
        <v>85212</v>
      </c>
      <c r="C483" s="193"/>
      <c r="D483" s="429" t="s">
        <v>588</v>
      </c>
      <c r="E483" s="284"/>
      <c r="F483" s="284"/>
      <c r="G483" s="284">
        <f>G484</f>
        <v>9400</v>
      </c>
      <c r="H483" s="284">
        <f>H484</f>
        <v>9400</v>
      </c>
    </row>
    <row r="484" spans="1:8" ht="18.75" customHeight="1">
      <c r="A484" s="191"/>
      <c r="B484" s="191"/>
      <c r="C484" s="478"/>
      <c r="D484" s="496" t="s">
        <v>828</v>
      </c>
      <c r="E484" s="197"/>
      <c r="F484" s="197"/>
      <c r="G484" s="197">
        <f>SUM(G485:G487)</f>
        <v>9400</v>
      </c>
      <c r="H484" s="197">
        <f>SUM(H485:H487)</f>
        <v>9400</v>
      </c>
    </row>
    <row r="485" spans="1:8" ht="18.75" customHeight="1">
      <c r="A485" s="191"/>
      <c r="B485" s="191"/>
      <c r="C485" s="188">
        <v>4260</v>
      </c>
      <c r="D485" s="188" t="s">
        <v>741</v>
      </c>
      <c r="E485" s="202"/>
      <c r="F485" s="202"/>
      <c r="G485" s="202"/>
      <c r="H485" s="202">
        <v>9000</v>
      </c>
    </row>
    <row r="486" spans="1:8" ht="18.75" customHeight="1">
      <c r="A486" s="191"/>
      <c r="B486" s="191"/>
      <c r="C486" s="478">
        <v>4300</v>
      </c>
      <c r="D486" s="478" t="s">
        <v>742</v>
      </c>
      <c r="E486" s="630"/>
      <c r="F486" s="630"/>
      <c r="G486" s="630">
        <v>9400</v>
      </c>
      <c r="H486" s="630"/>
    </row>
    <row r="487" spans="1:8" ht="18.75" customHeight="1">
      <c r="A487" s="191"/>
      <c r="B487" s="191"/>
      <c r="C487" s="222">
        <v>4350</v>
      </c>
      <c r="D487" s="222" t="s">
        <v>589</v>
      </c>
      <c r="E487" s="630"/>
      <c r="F487" s="630"/>
      <c r="G487" s="630"/>
      <c r="H487" s="630">
        <v>400</v>
      </c>
    </row>
    <row r="488" spans="1:8" ht="18.75" customHeight="1">
      <c r="A488" s="191"/>
      <c r="B488" s="477">
        <v>85214</v>
      </c>
      <c r="C488" s="205"/>
      <c r="D488" s="429" t="s">
        <v>590</v>
      </c>
      <c r="E488" s="284"/>
      <c r="F488" s="284"/>
      <c r="G488" s="284">
        <f>G489</f>
        <v>195</v>
      </c>
      <c r="H488" s="284">
        <f>H489</f>
        <v>195</v>
      </c>
    </row>
    <row r="489" spans="1:8" ht="18.75" customHeight="1">
      <c r="A489" s="191"/>
      <c r="B489" s="191"/>
      <c r="C489" s="194"/>
      <c r="D489" s="496" t="s">
        <v>591</v>
      </c>
      <c r="E489" s="197"/>
      <c r="F489" s="197"/>
      <c r="G489" s="197">
        <f>SUM(G490:G491)</f>
        <v>195</v>
      </c>
      <c r="H489" s="197">
        <f>SUM(H490:H491)</f>
        <v>195</v>
      </c>
    </row>
    <row r="490" spans="1:8" ht="18.75" customHeight="1">
      <c r="A490" s="191"/>
      <c r="B490" s="191"/>
      <c r="C490" s="189">
        <v>3110</v>
      </c>
      <c r="D490" s="189" t="s">
        <v>729</v>
      </c>
      <c r="E490" s="190"/>
      <c r="F490" s="190"/>
      <c r="G490" s="190">
        <v>195</v>
      </c>
      <c r="H490" s="190"/>
    </row>
    <row r="491" spans="1:8" ht="21" customHeight="1">
      <c r="A491" s="191"/>
      <c r="B491" s="191"/>
      <c r="C491" s="222">
        <v>4110</v>
      </c>
      <c r="D491" s="199" t="s">
        <v>665</v>
      </c>
      <c r="E491" s="630"/>
      <c r="F491" s="630"/>
      <c r="G491" s="630"/>
      <c r="H491" s="630">
        <v>195</v>
      </c>
    </row>
    <row r="492" spans="1:8" ht="21" customHeight="1">
      <c r="A492" s="191"/>
      <c r="B492" s="203">
        <v>85278</v>
      </c>
      <c r="C492" s="203"/>
      <c r="D492" s="481" t="s">
        <v>727</v>
      </c>
      <c r="E492" s="680"/>
      <c r="F492" s="914"/>
      <c r="G492" s="914"/>
      <c r="H492" s="755">
        <v>43600</v>
      </c>
    </row>
    <row r="493" spans="1:8" ht="21" customHeight="1">
      <c r="A493" s="191"/>
      <c r="B493" s="191"/>
      <c r="C493" s="194"/>
      <c r="D493" s="384" t="s">
        <v>728</v>
      </c>
      <c r="E493" s="915"/>
      <c r="F493" s="916"/>
      <c r="G493" s="916"/>
      <c r="H493" s="917">
        <v>43600</v>
      </c>
    </row>
    <row r="494" spans="1:8" ht="21" customHeight="1">
      <c r="A494" s="191"/>
      <c r="B494" s="191"/>
      <c r="C494" s="189">
        <v>3110</v>
      </c>
      <c r="D494" s="233" t="s">
        <v>729</v>
      </c>
      <c r="E494" s="1310"/>
      <c r="F494" s="202"/>
      <c r="G494" s="202"/>
      <c r="H494" s="1311">
        <v>43600</v>
      </c>
    </row>
    <row r="495" spans="1:8" ht="29.25" customHeight="1" thickBot="1">
      <c r="A495" s="425"/>
      <c r="B495" s="243"/>
      <c r="C495" s="243"/>
      <c r="D495" s="87" t="s">
        <v>831</v>
      </c>
      <c r="E495" s="392"/>
      <c r="F495" s="392"/>
      <c r="G495" s="392"/>
      <c r="H495" s="392">
        <f>H496</f>
        <v>9986</v>
      </c>
    </row>
    <row r="496" spans="1:8" ht="18.75" customHeight="1" thickTop="1">
      <c r="A496" s="412">
        <v>853</v>
      </c>
      <c r="B496" s="412"/>
      <c r="C496" s="647"/>
      <c r="D496" s="192" t="s">
        <v>752</v>
      </c>
      <c r="E496" s="507"/>
      <c r="F496" s="507"/>
      <c r="G496" s="507"/>
      <c r="H496" s="508">
        <f>H497</f>
        <v>9986</v>
      </c>
    </row>
    <row r="497" spans="1:8" ht="18" customHeight="1">
      <c r="A497" s="425"/>
      <c r="B497" s="203">
        <v>85334</v>
      </c>
      <c r="C497" s="203"/>
      <c r="D497" s="203" t="s">
        <v>753</v>
      </c>
      <c r="E497" s="198"/>
      <c r="F497" s="198"/>
      <c r="G497" s="198"/>
      <c r="H497" s="196">
        <f>H498</f>
        <v>9986</v>
      </c>
    </row>
    <row r="498" spans="1:8" ht="18" customHeight="1">
      <c r="A498" s="425"/>
      <c r="B498" s="191"/>
      <c r="C498" s="194"/>
      <c r="D498" s="215" t="s">
        <v>331</v>
      </c>
      <c r="E498" s="392"/>
      <c r="F498" s="392"/>
      <c r="G498" s="392"/>
      <c r="H498" s="464">
        <f>H499</f>
        <v>9986</v>
      </c>
    </row>
    <row r="499" spans="1:8" ht="18" customHeight="1">
      <c r="A499" s="189"/>
      <c r="B499" s="189"/>
      <c r="C499" s="189">
        <v>3110</v>
      </c>
      <c r="D499" s="200" t="s">
        <v>729</v>
      </c>
      <c r="E499" s="506"/>
      <c r="F499" s="506"/>
      <c r="G499" s="506"/>
      <c r="H499" s="247">
        <v>9986</v>
      </c>
    </row>
    <row r="500" spans="1:8" ht="24.75" customHeight="1">
      <c r="A500" s="191"/>
      <c r="B500" s="191"/>
      <c r="C500" s="426"/>
      <c r="D500" s="435" t="s">
        <v>641</v>
      </c>
      <c r="E500" s="433"/>
      <c r="F500" s="433"/>
      <c r="G500" s="433"/>
      <c r="H500" s="433">
        <f>H501+H506</f>
        <v>166000</v>
      </c>
    </row>
    <row r="501" spans="1:8" ht="20.25" customHeight="1" thickBot="1">
      <c r="A501" s="89"/>
      <c r="B501" s="90"/>
      <c r="C501" s="189"/>
      <c r="D501" s="96" t="s">
        <v>785</v>
      </c>
      <c r="E501" s="525"/>
      <c r="F501" s="525"/>
      <c r="G501" s="525"/>
      <c r="H501" s="970">
        <f>H502</f>
        <v>24000</v>
      </c>
    </row>
    <row r="502" spans="1:8" ht="20.25" customHeight="1" thickTop="1">
      <c r="A502" s="535">
        <v>754</v>
      </c>
      <c r="B502" s="211"/>
      <c r="C502" s="418"/>
      <c r="D502" s="229" t="s">
        <v>724</v>
      </c>
      <c r="E502" s="569"/>
      <c r="F502" s="569"/>
      <c r="G502" s="569"/>
      <c r="H502" s="968">
        <f>H503</f>
        <v>24000</v>
      </c>
    </row>
    <row r="503" spans="1:8" ht="20.25" customHeight="1">
      <c r="A503" s="204"/>
      <c r="B503" s="205">
        <v>75411</v>
      </c>
      <c r="C503" s="205"/>
      <c r="D503" s="416" t="s">
        <v>489</v>
      </c>
      <c r="E503" s="534"/>
      <c r="F503" s="534"/>
      <c r="G503" s="534"/>
      <c r="H503" s="1309">
        <f>H504</f>
        <v>24000</v>
      </c>
    </row>
    <row r="504" spans="1:8" ht="18.75" customHeight="1">
      <c r="A504" s="191"/>
      <c r="B504" s="191"/>
      <c r="C504" s="188"/>
      <c r="D504" s="496" t="s">
        <v>521</v>
      </c>
      <c r="E504" s="1307"/>
      <c r="F504" s="1307"/>
      <c r="G504" s="1307"/>
      <c r="H504" s="1308">
        <v>24000</v>
      </c>
    </row>
    <row r="505" spans="1:8" ht="18.75" customHeight="1">
      <c r="A505" s="191"/>
      <c r="B505" s="191"/>
      <c r="C505" s="189">
        <v>6060</v>
      </c>
      <c r="D505" s="10" t="s">
        <v>671</v>
      </c>
      <c r="E505" s="836"/>
      <c r="F505" s="836"/>
      <c r="G505" s="836"/>
      <c r="H505" s="969">
        <v>24000</v>
      </c>
    </row>
    <row r="506" spans="1:8" ht="20.25" customHeight="1" thickBot="1">
      <c r="A506" s="89"/>
      <c r="B506" s="201"/>
      <c r="C506" s="428"/>
      <c r="D506" s="87" t="s">
        <v>831</v>
      </c>
      <c r="E506" s="279"/>
      <c r="F506" s="279"/>
      <c r="G506" s="279"/>
      <c r="H506" s="279">
        <f>H507</f>
        <v>142000</v>
      </c>
    </row>
    <row r="507" spans="1:8" ht="18" customHeight="1" thickTop="1">
      <c r="A507" s="447">
        <v>754</v>
      </c>
      <c r="B507" s="238"/>
      <c r="C507" s="238"/>
      <c r="D507" s="238" t="s">
        <v>724</v>
      </c>
      <c r="E507" s="248"/>
      <c r="F507" s="248"/>
      <c r="G507" s="248"/>
      <c r="H507" s="248">
        <f>H508</f>
        <v>142000</v>
      </c>
    </row>
    <row r="508" spans="1:8" ht="18" customHeight="1">
      <c r="A508" s="89"/>
      <c r="B508" s="193">
        <v>75411</v>
      </c>
      <c r="C508" s="193"/>
      <c r="D508" s="481" t="s">
        <v>489</v>
      </c>
      <c r="E508" s="434"/>
      <c r="F508" s="434"/>
      <c r="G508" s="434"/>
      <c r="H508" s="434">
        <f>H509+H511</f>
        <v>142000</v>
      </c>
    </row>
    <row r="509" spans="1:8" ht="18" customHeight="1">
      <c r="A509" s="89"/>
      <c r="B509" s="191"/>
      <c r="C509" s="478"/>
      <c r="D509" s="384" t="s">
        <v>828</v>
      </c>
      <c r="E509" s="392"/>
      <c r="F509" s="392"/>
      <c r="G509" s="392"/>
      <c r="H509" s="464">
        <f>H510</f>
        <v>42000</v>
      </c>
    </row>
    <row r="510" spans="1:8" ht="18" customHeight="1">
      <c r="A510" s="89"/>
      <c r="B510" s="191"/>
      <c r="C510" s="189">
        <v>4210</v>
      </c>
      <c r="D510" s="497" t="s">
        <v>674</v>
      </c>
      <c r="E510" s="597"/>
      <c r="F510" s="597"/>
      <c r="G510" s="597"/>
      <c r="H510" s="247">
        <v>42000</v>
      </c>
    </row>
    <row r="511" spans="1:8" ht="17.25" customHeight="1">
      <c r="A511" s="89"/>
      <c r="B511" s="191"/>
      <c r="C511" s="191"/>
      <c r="D511" s="384" t="s">
        <v>647</v>
      </c>
      <c r="E511" s="392"/>
      <c r="F511" s="392"/>
      <c r="G511" s="392"/>
      <c r="H511" s="464">
        <f>H512</f>
        <v>100000</v>
      </c>
    </row>
    <row r="512" spans="1:8" ht="18" customHeight="1">
      <c r="A512" s="89"/>
      <c r="B512" s="191"/>
      <c r="C512" s="189">
        <v>6060</v>
      </c>
      <c r="D512" s="10" t="s">
        <v>671</v>
      </c>
      <c r="E512" s="1005"/>
      <c r="F512" s="1005"/>
      <c r="G512" s="1005"/>
      <c r="H512" s="1006">
        <v>100000</v>
      </c>
    </row>
    <row r="513" spans="1:8" ht="21" customHeight="1">
      <c r="A513" s="191"/>
      <c r="B513" s="191"/>
      <c r="C513" s="426"/>
      <c r="D513" s="427" t="s">
        <v>642</v>
      </c>
      <c r="E513" s="433"/>
      <c r="F513" s="433"/>
      <c r="G513" s="433">
        <f aca="true" t="shared" si="8" ref="G513:H515">G514</f>
        <v>17400</v>
      </c>
      <c r="H513" s="433">
        <f t="shared" si="8"/>
        <v>17400</v>
      </c>
    </row>
    <row r="514" spans="1:8" ht="16.5" customHeight="1" thickBot="1">
      <c r="A514" s="191"/>
      <c r="B514" s="201"/>
      <c r="C514" s="428"/>
      <c r="D514" s="87" t="s">
        <v>827</v>
      </c>
      <c r="E514" s="279"/>
      <c r="F514" s="279"/>
      <c r="G514" s="279">
        <f t="shared" si="8"/>
        <v>17400</v>
      </c>
      <c r="H514" s="279">
        <f t="shared" si="8"/>
        <v>17400</v>
      </c>
    </row>
    <row r="515" spans="1:8" ht="18" customHeight="1" thickTop="1">
      <c r="A515" s="412">
        <v>853</v>
      </c>
      <c r="B515" s="192"/>
      <c r="C515" s="192"/>
      <c r="D515" s="192" t="s">
        <v>752</v>
      </c>
      <c r="E515" s="244"/>
      <c r="F515" s="244"/>
      <c r="G515" s="244">
        <f t="shared" si="8"/>
        <v>17400</v>
      </c>
      <c r="H515" s="244">
        <f t="shared" si="8"/>
        <v>17400</v>
      </c>
    </row>
    <row r="516" spans="1:8" ht="18" customHeight="1">
      <c r="A516" s="360"/>
      <c r="B516" s="203">
        <v>85333</v>
      </c>
      <c r="C516" s="203"/>
      <c r="D516" s="203" t="s">
        <v>668</v>
      </c>
      <c r="E516" s="252"/>
      <c r="F516" s="252"/>
      <c r="G516" s="252">
        <f>G519</f>
        <v>17400</v>
      </c>
      <c r="H516" s="252">
        <f>H517+H522</f>
        <v>17400</v>
      </c>
    </row>
    <row r="517" spans="1:8" ht="18" customHeight="1">
      <c r="A517" s="243"/>
      <c r="B517" s="243"/>
      <c r="C517" s="360"/>
      <c r="D517" s="191" t="s">
        <v>564</v>
      </c>
      <c r="E517" s="602"/>
      <c r="F517" s="602"/>
      <c r="G517" s="602"/>
      <c r="H517" s="602">
        <f>H518</f>
        <v>9600</v>
      </c>
    </row>
    <row r="518" spans="1:8" ht="17.25" customHeight="1">
      <c r="A518" s="243"/>
      <c r="B518" s="243"/>
      <c r="C518" s="189">
        <v>4170</v>
      </c>
      <c r="D518" s="246" t="s">
        <v>681</v>
      </c>
      <c r="E518" s="601"/>
      <c r="F518" s="601"/>
      <c r="G518" s="601"/>
      <c r="H518" s="453">
        <v>9600</v>
      </c>
    </row>
    <row r="519" spans="1:8" ht="17.25" customHeight="1">
      <c r="A519" s="89"/>
      <c r="B519" s="89"/>
      <c r="C519" s="188"/>
      <c r="D519" s="446" t="s">
        <v>828</v>
      </c>
      <c r="E519" s="498"/>
      <c r="F519" s="498"/>
      <c r="G519" s="578">
        <f>G520+G521</f>
        <v>17400</v>
      </c>
      <c r="H519" s="574"/>
    </row>
    <row r="520" spans="1:8" ht="17.25" customHeight="1">
      <c r="A520" s="89"/>
      <c r="B520" s="89"/>
      <c r="C520" s="189">
        <v>4270</v>
      </c>
      <c r="D520" s="246" t="s">
        <v>669</v>
      </c>
      <c r="E520" s="265"/>
      <c r="F520" s="265"/>
      <c r="G520" s="402">
        <v>7800</v>
      </c>
      <c r="H520" s="402"/>
    </row>
    <row r="521" spans="1:8" ht="18" customHeight="1">
      <c r="A521" s="89"/>
      <c r="B521" s="89"/>
      <c r="C521" s="188">
        <v>4300</v>
      </c>
      <c r="D521" s="222" t="s">
        <v>742</v>
      </c>
      <c r="E521" s="577"/>
      <c r="F521" s="577"/>
      <c r="G521" s="454">
        <v>9600</v>
      </c>
      <c r="H521" s="454"/>
    </row>
    <row r="522" spans="1:8" ht="18" customHeight="1">
      <c r="A522" s="89"/>
      <c r="B522" s="89"/>
      <c r="C522" s="194"/>
      <c r="D522" s="191" t="s">
        <v>655</v>
      </c>
      <c r="E522" s="1007"/>
      <c r="F522" s="1007"/>
      <c r="G522" s="1008"/>
      <c r="H522" s="1008">
        <f>H524+H526</f>
        <v>7800</v>
      </c>
    </row>
    <row r="523" spans="1:8" ht="18" customHeight="1">
      <c r="A523" s="89"/>
      <c r="B523" s="89"/>
      <c r="C523" s="191"/>
      <c r="D523" s="974" t="s">
        <v>21</v>
      </c>
      <c r="E523" s="993"/>
      <c r="F523" s="993"/>
      <c r="G523" s="997"/>
      <c r="H523" s="997">
        <v>3500</v>
      </c>
    </row>
    <row r="524" spans="1:8" ht="18" customHeight="1">
      <c r="A524" s="89"/>
      <c r="B524" s="89"/>
      <c r="C524" s="189">
        <v>6050</v>
      </c>
      <c r="D524" s="189" t="s">
        <v>670</v>
      </c>
      <c r="E524" s="265"/>
      <c r="F524" s="265"/>
      <c r="G524" s="402"/>
      <c r="H524" s="402">
        <v>3500</v>
      </c>
    </row>
    <row r="525" spans="1:8" ht="18" customHeight="1">
      <c r="A525" s="89"/>
      <c r="B525" s="89"/>
      <c r="C525" s="478"/>
      <c r="D525" s="985" t="s">
        <v>20</v>
      </c>
      <c r="E525" s="1001"/>
      <c r="F525" s="1001"/>
      <c r="G525" s="977"/>
      <c r="H525" s="977">
        <v>4300</v>
      </c>
    </row>
    <row r="526" spans="1:8" ht="18" customHeight="1">
      <c r="A526" s="89"/>
      <c r="B526" s="89"/>
      <c r="C526" s="189">
        <v>6060</v>
      </c>
      <c r="D526" s="10" t="s">
        <v>671</v>
      </c>
      <c r="E526" s="265"/>
      <c r="F526" s="265"/>
      <c r="G526" s="402"/>
      <c r="H526" s="402">
        <v>4300</v>
      </c>
    </row>
    <row r="527" spans="1:8" ht="21.75" customHeight="1">
      <c r="A527" s="89"/>
      <c r="B527" s="77"/>
      <c r="C527" s="89"/>
      <c r="D527" s="83" t="s">
        <v>643</v>
      </c>
      <c r="E527" s="84"/>
      <c r="F527" s="84"/>
      <c r="G527" s="84"/>
      <c r="H527" s="84">
        <f>H528</f>
        <v>3205971</v>
      </c>
    </row>
    <row r="528" spans="1:8" ht="18" customHeight="1" thickBot="1">
      <c r="A528" s="89"/>
      <c r="B528" s="86"/>
      <c r="C528" s="90"/>
      <c r="D528" s="87" t="s">
        <v>827</v>
      </c>
      <c r="E528" s="88"/>
      <c r="F528" s="88"/>
      <c r="G528" s="88"/>
      <c r="H528" s="88">
        <f>SUM(H529:H531)</f>
        <v>3205971</v>
      </c>
    </row>
    <row r="529" spans="1:8" ht="17.25" customHeight="1" thickTop="1">
      <c r="A529" s="412">
        <v>801</v>
      </c>
      <c r="B529" s="448"/>
      <c r="C529" s="449"/>
      <c r="D529" s="447" t="s">
        <v>730</v>
      </c>
      <c r="E529" s="450"/>
      <c r="F529" s="450"/>
      <c r="G529" s="450"/>
      <c r="H529" s="450">
        <f>'szkoły zm'!V12</f>
        <v>2494248</v>
      </c>
    </row>
    <row r="530" spans="1:8" ht="18" customHeight="1">
      <c r="A530" s="447">
        <v>851</v>
      </c>
      <c r="B530" s="192"/>
      <c r="C530" s="192"/>
      <c r="D530" s="192" t="s">
        <v>877</v>
      </c>
      <c r="E530" s="244"/>
      <c r="F530" s="244"/>
      <c r="G530" s="244"/>
      <c r="H530" s="244">
        <f>'szkoły zm'!V240</f>
        <v>30000</v>
      </c>
    </row>
    <row r="531" spans="1:8" ht="17.25" customHeight="1">
      <c r="A531" s="447">
        <v>854</v>
      </c>
      <c r="B531" s="192"/>
      <c r="C531" s="192"/>
      <c r="D531" s="192" t="s">
        <v>503</v>
      </c>
      <c r="E531" s="244"/>
      <c r="F531" s="244"/>
      <c r="G531" s="244"/>
      <c r="H531" s="244">
        <f>'szkoły zm'!V268</f>
        <v>681723</v>
      </c>
    </row>
    <row r="532" ht="18" customHeight="1">
      <c r="A532" s="1024"/>
    </row>
    <row r="533" ht="18" customHeight="1">
      <c r="A533" s="1025"/>
    </row>
    <row r="534" spans="1:5" ht="18" customHeight="1">
      <c r="A534" s="1025"/>
      <c r="C534" s="296" t="s">
        <v>24</v>
      </c>
      <c r="D534" s="296"/>
      <c r="E534" s="296" t="s">
        <v>22</v>
      </c>
    </row>
    <row r="535" spans="1:5" ht="18" customHeight="1">
      <c r="A535" s="1025"/>
      <c r="C535" s="297" t="s">
        <v>25</v>
      </c>
      <c r="D535" s="296"/>
      <c r="E535" s="296" t="s">
        <v>26</v>
      </c>
    </row>
    <row r="536" spans="1:5" ht="18" customHeight="1">
      <c r="A536" s="967"/>
      <c r="C536" s="409" t="s">
        <v>23</v>
      </c>
      <c r="D536" s="231"/>
      <c r="E536" s="231" t="s">
        <v>27</v>
      </c>
    </row>
    <row r="537" ht="18" customHeight="1">
      <c r="A537" s="1026"/>
    </row>
    <row r="538" ht="18" customHeight="1">
      <c r="A538" s="1026"/>
    </row>
    <row r="539" ht="18" customHeight="1">
      <c r="A539" s="16"/>
    </row>
    <row r="540" ht="18" customHeight="1">
      <c r="A540" s="1026"/>
    </row>
    <row r="541" ht="18" customHeight="1">
      <c r="A541" s="1026"/>
    </row>
    <row r="542" ht="18" customHeight="1">
      <c r="A542" s="16"/>
    </row>
    <row r="543" ht="18" customHeight="1">
      <c r="A543" s="16"/>
    </row>
    <row r="544" ht="19.5" customHeight="1">
      <c r="A544" s="1026"/>
    </row>
  </sheetData>
  <mergeCells count="6">
    <mergeCell ref="G7:H7"/>
    <mergeCell ref="D7:D8"/>
    <mergeCell ref="A7:A8"/>
    <mergeCell ref="B7:B8"/>
    <mergeCell ref="C7:C8"/>
    <mergeCell ref="E7:F7"/>
  </mergeCells>
  <printOptions horizontalCentered="1"/>
  <pageMargins left="0.3937007874015748" right="0.3937007874015748" top="0.5118110236220472" bottom="0.7480314960629921" header="0.5118110236220472" footer="0.31496062992125984"/>
  <pageSetup firstPageNumber="41" useFirstPageNumber="1" horizontalDpi="300" verticalDpi="300" orientation="landscape" paperSize="9" scale="8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62"/>
  <sheetViews>
    <sheetView zoomScale="75" zoomScaleNormal="75" workbookViewId="0" topLeftCell="A1">
      <pane xSplit="5" ySplit="10" topLeftCell="F37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85" sqref="F385"/>
    </sheetView>
  </sheetViews>
  <sheetFormatPr defaultColWidth="9.00390625" defaultRowHeight="12.75"/>
  <cols>
    <col min="1" max="1" width="0.12890625" style="324" customWidth="1"/>
    <col min="2" max="2" width="44.125" style="329" customWidth="1"/>
    <col min="3" max="3" width="10.75390625" style="329" hidden="1" customWidth="1"/>
    <col min="4" max="4" width="16.75390625" style="329" hidden="1" customWidth="1"/>
    <col min="5" max="5" width="10.875" style="328" hidden="1" customWidth="1"/>
    <col min="6" max="6" width="13.625" style="329" customWidth="1"/>
    <col min="7" max="7" width="10.875" style="329" customWidth="1"/>
    <col min="8" max="8" width="9.75390625" style="329" customWidth="1"/>
    <col min="9" max="9" width="8.00390625" style="329" customWidth="1"/>
    <col min="10" max="10" width="9.75390625" style="328" customWidth="1"/>
    <col min="11" max="11" width="10.375" style="329" customWidth="1"/>
    <col min="12" max="12" width="11.125" style="329" customWidth="1"/>
    <col min="13" max="13" width="10.25390625" style="329" customWidth="1"/>
    <col min="14" max="14" width="10.75390625" style="329" customWidth="1"/>
    <col min="15" max="15" width="9.375" style="329" customWidth="1"/>
    <col min="16" max="16" width="12.75390625" style="329" customWidth="1"/>
    <col min="17" max="17" width="10.875" style="329" customWidth="1"/>
    <col min="18" max="18" width="10.625" style="329" customWidth="1"/>
    <col min="19" max="19" width="10.375" style="329" customWidth="1"/>
    <col min="20" max="20" width="9.125" style="329" customWidth="1"/>
    <col min="21" max="21" width="10.375" style="329" customWidth="1"/>
    <col min="22" max="22" width="10.625" style="333" customWidth="1"/>
    <col min="23" max="23" width="9.125" style="331" customWidth="1"/>
    <col min="24" max="24" width="9.75390625" style="331" bestFit="1" customWidth="1"/>
    <col min="25" max="16384" width="9.125" style="331" customWidth="1"/>
  </cols>
  <sheetData>
    <row r="1" spans="2:22" ht="15.75" customHeight="1">
      <c r="B1" s="325" t="s">
        <v>632</v>
      </c>
      <c r="C1" s="326"/>
      <c r="D1" s="327"/>
      <c r="E1" s="894"/>
      <c r="F1" s="331"/>
      <c r="G1" s="327"/>
      <c r="H1" s="327"/>
      <c r="I1" s="327"/>
      <c r="J1" s="330"/>
      <c r="K1" s="327"/>
      <c r="L1" s="327"/>
      <c r="M1" s="331"/>
      <c r="N1" s="331"/>
      <c r="O1" s="331"/>
      <c r="P1" s="331"/>
      <c r="Q1" s="331"/>
      <c r="R1" s="331"/>
      <c r="S1" s="331"/>
      <c r="T1" s="331"/>
      <c r="U1" s="331"/>
      <c r="V1" s="331"/>
    </row>
    <row r="2" spans="1:22" ht="13.5" thickBot="1">
      <c r="A2" s="332"/>
      <c r="B2" s="895"/>
      <c r="C2" s="896"/>
      <c r="D2" s="897"/>
      <c r="E2" s="898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 t="s">
        <v>819</v>
      </c>
    </row>
    <row r="3" spans="1:22" ht="24.75" customHeight="1" thickTop="1">
      <c r="A3" s="711"/>
      <c r="B3" s="1033"/>
      <c r="C3" s="712" t="s">
        <v>293</v>
      </c>
      <c r="D3" s="713"/>
      <c r="E3" s="714"/>
      <c r="F3" s="1455" t="s">
        <v>879</v>
      </c>
      <c r="G3" s="1456"/>
      <c r="H3" s="1453" t="s">
        <v>336</v>
      </c>
      <c r="I3" s="1454"/>
      <c r="J3" s="1455" t="s">
        <v>880</v>
      </c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6"/>
      <c r="V3" s="1034"/>
    </row>
    <row r="4" spans="1:22" s="334" customFormat="1" ht="12.75">
      <c r="A4" s="324"/>
      <c r="B4" s="1035" t="s">
        <v>881</v>
      </c>
      <c r="C4" s="715" t="s">
        <v>296</v>
      </c>
      <c r="D4" s="408" t="s">
        <v>297</v>
      </c>
      <c r="E4" s="716" t="s">
        <v>298</v>
      </c>
      <c r="F4" s="717" t="s">
        <v>882</v>
      </c>
      <c r="G4" s="717" t="s">
        <v>883</v>
      </c>
      <c r="H4" s="717" t="s">
        <v>884</v>
      </c>
      <c r="I4" s="717" t="s">
        <v>885</v>
      </c>
      <c r="J4" s="718" t="s">
        <v>886</v>
      </c>
      <c r="K4" s="717" t="s">
        <v>395</v>
      </c>
      <c r="L4" s="717" t="s">
        <v>887</v>
      </c>
      <c r="M4" s="717" t="s">
        <v>888</v>
      </c>
      <c r="N4" s="717" t="s">
        <v>294</v>
      </c>
      <c r="O4" s="717" t="s">
        <v>889</v>
      </c>
      <c r="P4" s="719" t="s">
        <v>768</v>
      </c>
      <c r="Q4" s="720" t="s">
        <v>890</v>
      </c>
      <c r="R4" s="717" t="s">
        <v>891</v>
      </c>
      <c r="S4" s="717" t="s">
        <v>42</v>
      </c>
      <c r="T4" s="408" t="s">
        <v>565</v>
      </c>
      <c r="U4" s="717" t="s">
        <v>299</v>
      </c>
      <c r="V4" s="1036"/>
    </row>
    <row r="5" spans="1:22" s="334" customFormat="1" ht="12.75">
      <c r="A5" s="324"/>
      <c r="B5" s="1035" t="s">
        <v>892</v>
      </c>
      <c r="C5" s="721" t="s">
        <v>300</v>
      </c>
      <c r="D5" s="721" t="s">
        <v>43</v>
      </c>
      <c r="E5" s="722" t="s">
        <v>301</v>
      </c>
      <c r="F5" s="717" t="s">
        <v>879</v>
      </c>
      <c r="G5" s="723" t="s">
        <v>879</v>
      </c>
      <c r="H5" s="717" t="s">
        <v>893</v>
      </c>
      <c r="I5" s="717" t="s">
        <v>894</v>
      </c>
      <c r="J5" s="717" t="s">
        <v>818</v>
      </c>
      <c r="K5" s="723" t="s">
        <v>44</v>
      </c>
      <c r="L5" s="717" t="s">
        <v>302</v>
      </c>
      <c r="M5" s="717" t="s">
        <v>895</v>
      </c>
      <c r="N5" s="717" t="s">
        <v>895</v>
      </c>
      <c r="O5" s="717" t="s">
        <v>895</v>
      </c>
      <c r="P5" s="719" t="s">
        <v>895</v>
      </c>
      <c r="Q5" s="720" t="s">
        <v>896</v>
      </c>
      <c r="R5" s="717" t="s">
        <v>895</v>
      </c>
      <c r="S5" s="717" t="s">
        <v>897</v>
      </c>
      <c r="T5" s="408" t="s">
        <v>898</v>
      </c>
      <c r="U5" s="408" t="s">
        <v>303</v>
      </c>
      <c r="V5" s="1037"/>
    </row>
    <row r="6" spans="1:22" s="334" customFormat="1" ht="12.75">
      <c r="A6" s="324"/>
      <c r="B6" s="1035"/>
      <c r="C6" s="721" t="s">
        <v>304</v>
      </c>
      <c r="D6" s="721" t="s">
        <v>45</v>
      </c>
      <c r="E6" s="722" t="s">
        <v>305</v>
      </c>
      <c r="F6" s="717" t="s">
        <v>899</v>
      </c>
      <c r="G6" s="723" t="s">
        <v>901</v>
      </c>
      <c r="H6" s="717" t="s">
        <v>902</v>
      </c>
      <c r="I6" s="717" t="s">
        <v>903</v>
      </c>
      <c r="J6" s="717" t="s">
        <v>899</v>
      </c>
      <c r="K6" s="723" t="s">
        <v>46</v>
      </c>
      <c r="L6" s="717" t="s">
        <v>905</v>
      </c>
      <c r="M6" s="717" t="s">
        <v>906</v>
      </c>
      <c r="N6" s="717" t="s">
        <v>491</v>
      </c>
      <c r="O6" s="717" t="s">
        <v>907</v>
      </c>
      <c r="P6" s="717" t="s">
        <v>908</v>
      </c>
      <c r="Q6" s="720" t="s">
        <v>908</v>
      </c>
      <c r="R6" s="717" t="s">
        <v>909</v>
      </c>
      <c r="S6" s="717" t="s">
        <v>910</v>
      </c>
      <c r="T6" s="408" t="s">
        <v>911</v>
      </c>
      <c r="U6" s="408" t="s">
        <v>306</v>
      </c>
      <c r="V6" s="1037"/>
    </row>
    <row r="7" spans="1:22" s="334" customFormat="1" ht="12.75">
      <c r="A7" s="324"/>
      <c r="B7" s="1035"/>
      <c r="C7" s="721" t="s">
        <v>307</v>
      </c>
      <c r="D7" s="721" t="s">
        <v>308</v>
      </c>
      <c r="E7" s="722" t="s">
        <v>309</v>
      </c>
      <c r="F7" s="717" t="s">
        <v>912</v>
      </c>
      <c r="G7" s="723"/>
      <c r="H7" s="717" t="s">
        <v>913</v>
      </c>
      <c r="I7" s="717" t="s">
        <v>914</v>
      </c>
      <c r="J7" s="717" t="s">
        <v>915</v>
      </c>
      <c r="K7" s="723" t="s">
        <v>914</v>
      </c>
      <c r="L7" s="717" t="s">
        <v>916</v>
      </c>
      <c r="M7" s="717" t="s">
        <v>917</v>
      </c>
      <c r="N7" s="717" t="s">
        <v>47</v>
      </c>
      <c r="O7" s="717"/>
      <c r="P7" s="717" t="s">
        <v>769</v>
      </c>
      <c r="Q7" s="335" t="s">
        <v>918</v>
      </c>
      <c r="R7" s="717" t="s">
        <v>919</v>
      </c>
      <c r="S7" s="717" t="s">
        <v>920</v>
      </c>
      <c r="T7" s="408" t="s">
        <v>48</v>
      </c>
      <c r="U7" s="408" t="s">
        <v>310</v>
      </c>
      <c r="V7" s="1036" t="s">
        <v>1</v>
      </c>
    </row>
    <row r="8" spans="1:22" s="334" customFormat="1" ht="12.75">
      <c r="A8" s="324"/>
      <c r="B8" s="1038" t="s">
        <v>881</v>
      </c>
      <c r="C8" s="721" t="s">
        <v>311</v>
      </c>
      <c r="D8" s="721" t="s">
        <v>49</v>
      </c>
      <c r="E8" s="722" t="s">
        <v>904</v>
      </c>
      <c r="F8" s="717"/>
      <c r="G8" s="723"/>
      <c r="H8" s="717"/>
      <c r="I8" s="717" t="s">
        <v>2</v>
      </c>
      <c r="J8" s="717" t="s">
        <v>3</v>
      </c>
      <c r="K8" s="723" t="s">
        <v>50</v>
      </c>
      <c r="L8" s="717" t="s">
        <v>4</v>
      </c>
      <c r="M8" s="717"/>
      <c r="N8" s="723" t="s">
        <v>51</v>
      </c>
      <c r="O8" s="717"/>
      <c r="P8" s="717"/>
      <c r="Q8" s="408"/>
      <c r="R8" s="717"/>
      <c r="S8" s="717"/>
      <c r="T8" s="408"/>
      <c r="U8" s="408" t="s">
        <v>312</v>
      </c>
      <c r="V8" s="1037"/>
    </row>
    <row r="9" spans="1:22" s="334" customFormat="1" ht="12" customHeight="1">
      <c r="A9" s="324"/>
      <c r="B9" s="1039" t="s">
        <v>5</v>
      </c>
      <c r="C9" s="721" t="s">
        <v>313</v>
      </c>
      <c r="D9" s="721" t="s">
        <v>314</v>
      </c>
      <c r="E9" s="722" t="s">
        <v>315</v>
      </c>
      <c r="F9" s="724"/>
      <c r="G9" s="725"/>
      <c r="H9" s="724"/>
      <c r="I9" s="724"/>
      <c r="J9" s="724" t="s">
        <v>900</v>
      </c>
      <c r="K9" s="725" t="s">
        <v>52</v>
      </c>
      <c r="L9" s="724"/>
      <c r="M9" s="724"/>
      <c r="N9" s="724" t="s">
        <v>295</v>
      </c>
      <c r="O9" s="724"/>
      <c r="P9" s="724"/>
      <c r="Q9" s="726"/>
      <c r="R9" s="724"/>
      <c r="S9" s="724"/>
      <c r="T9" s="726"/>
      <c r="U9" s="726" t="s">
        <v>316</v>
      </c>
      <c r="V9" s="1040"/>
    </row>
    <row r="10" spans="1:22" s="337" customFormat="1" ht="12.75">
      <c r="A10" s="324"/>
      <c r="B10" s="1041">
        <v>1</v>
      </c>
      <c r="C10" s="336">
        <v>2</v>
      </c>
      <c r="D10" s="336">
        <v>3</v>
      </c>
      <c r="E10" s="336">
        <v>4</v>
      </c>
      <c r="F10" s="336">
        <v>2</v>
      </c>
      <c r="G10" s="336">
        <v>3</v>
      </c>
      <c r="H10" s="336">
        <v>4</v>
      </c>
      <c r="I10" s="336">
        <v>5</v>
      </c>
      <c r="J10" s="336">
        <v>6</v>
      </c>
      <c r="K10" s="336">
        <v>7</v>
      </c>
      <c r="L10" s="336">
        <v>8</v>
      </c>
      <c r="M10" s="336">
        <v>9</v>
      </c>
      <c r="N10" s="336">
        <v>10</v>
      </c>
      <c r="O10" s="336">
        <v>11</v>
      </c>
      <c r="P10" s="336">
        <v>12</v>
      </c>
      <c r="Q10" s="336">
        <v>13</v>
      </c>
      <c r="R10" s="336">
        <v>14</v>
      </c>
      <c r="S10" s="336">
        <v>15</v>
      </c>
      <c r="T10" s="336">
        <v>16</v>
      </c>
      <c r="U10" s="336">
        <v>17</v>
      </c>
      <c r="V10" s="1042">
        <v>18</v>
      </c>
    </row>
    <row r="11" spans="1:22" s="356" customFormat="1" ht="18" customHeight="1" thickBot="1">
      <c r="A11" s="354"/>
      <c r="B11" s="1043" t="s">
        <v>827</v>
      </c>
      <c r="C11" s="355">
        <v>0</v>
      </c>
      <c r="D11" s="355">
        <v>0</v>
      </c>
      <c r="E11" s="355">
        <v>0</v>
      </c>
      <c r="F11" s="358">
        <f>F12+F240+F268</f>
        <v>1435686</v>
      </c>
      <c r="G11" s="358">
        <f aca="true" t="shared" si="0" ref="G11:U11">G12+G268+G240</f>
        <v>32148</v>
      </c>
      <c r="H11" s="358">
        <f t="shared" si="0"/>
        <v>372541</v>
      </c>
      <c r="I11" s="358">
        <f t="shared" si="0"/>
        <v>59646</v>
      </c>
      <c r="J11" s="358">
        <f t="shared" si="0"/>
        <v>6567</v>
      </c>
      <c r="K11" s="358">
        <f t="shared" si="0"/>
        <v>-6477</v>
      </c>
      <c r="L11" s="358">
        <f t="shared" si="0"/>
        <v>34045</v>
      </c>
      <c r="M11" s="358">
        <f t="shared" si="0"/>
        <v>17000</v>
      </c>
      <c r="N11" s="358">
        <f t="shared" si="0"/>
        <v>21332</v>
      </c>
      <c r="O11" s="358">
        <f t="shared" si="0"/>
        <v>242933</v>
      </c>
      <c r="P11" s="358">
        <f t="shared" si="0"/>
        <v>879917</v>
      </c>
      <c r="Q11" s="358">
        <f t="shared" si="0"/>
        <v>2882</v>
      </c>
      <c r="R11" s="358">
        <f t="shared" si="0"/>
        <v>11181</v>
      </c>
      <c r="S11" s="358">
        <f t="shared" si="0"/>
        <v>127</v>
      </c>
      <c r="T11" s="358">
        <f t="shared" si="0"/>
        <v>42820</v>
      </c>
      <c r="U11" s="358">
        <f t="shared" si="0"/>
        <v>53623</v>
      </c>
      <c r="V11" s="1044">
        <f aca="true" t="shared" si="1" ref="V11:V74">SUM(F11:U11)</f>
        <v>3205971</v>
      </c>
    </row>
    <row r="12" spans="1:22" s="406" customFormat="1" ht="18" customHeight="1" thickBot="1" thickTop="1">
      <c r="A12" s="403"/>
      <c r="B12" s="1045" t="s">
        <v>317</v>
      </c>
      <c r="C12" s="404">
        <v>0</v>
      </c>
      <c r="D12" s="404">
        <v>0</v>
      </c>
      <c r="E12" s="404">
        <v>0</v>
      </c>
      <c r="F12" s="405">
        <f aca="true" t="shared" si="2" ref="F12:U12">F13+F50+F68+F73+F89+F143+F145+F164+F169+F177+F197+F200+F210+F224+F227+F231</f>
        <v>994831</v>
      </c>
      <c r="G12" s="405">
        <f t="shared" si="2"/>
        <v>-4686</v>
      </c>
      <c r="H12" s="405">
        <f t="shared" si="2"/>
        <v>282482</v>
      </c>
      <c r="I12" s="405">
        <f t="shared" si="2"/>
        <v>51552</v>
      </c>
      <c r="J12" s="405">
        <f t="shared" si="2"/>
        <v>6567</v>
      </c>
      <c r="K12" s="405">
        <f t="shared" si="2"/>
        <v>-6477</v>
      </c>
      <c r="L12" s="405">
        <f t="shared" si="2"/>
        <v>7765</v>
      </c>
      <c r="M12" s="405">
        <f t="shared" si="2"/>
        <v>0</v>
      </c>
      <c r="N12" s="405">
        <f t="shared" si="2"/>
        <v>14442</v>
      </c>
      <c r="O12" s="405">
        <f t="shared" si="2"/>
        <v>193533</v>
      </c>
      <c r="P12" s="405">
        <f t="shared" si="2"/>
        <v>843379</v>
      </c>
      <c r="Q12" s="405">
        <f t="shared" si="2"/>
        <v>2882</v>
      </c>
      <c r="R12" s="405">
        <f t="shared" si="2"/>
        <v>47229</v>
      </c>
      <c r="S12" s="405">
        <f t="shared" si="2"/>
        <v>127</v>
      </c>
      <c r="T12" s="405">
        <f t="shared" si="2"/>
        <v>42820</v>
      </c>
      <c r="U12" s="405">
        <f t="shared" si="2"/>
        <v>17802</v>
      </c>
      <c r="V12" s="1046">
        <f t="shared" si="1"/>
        <v>2494248</v>
      </c>
    </row>
    <row r="13" spans="1:22" s="334" customFormat="1" ht="18" customHeight="1" thickBot="1">
      <c r="A13" s="339">
        <v>80101</v>
      </c>
      <c r="B13" s="1047" t="s">
        <v>6</v>
      </c>
      <c r="C13" s="340">
        <v>0</v>
      </c>
      <c r="D13" s="340">
        <v>0</v>
      </c>
      <c r="E13" s="340">
        <v>0</v>
      </c>
      <c r="F13" s="340">
        <f>SUM(F14:F49)</f>
        <v>245483</v>
      </c>
      <c r="G13" s="340">
        <f aca="true" t="shared" si="3" ref="G13:U13">SUM(G14:G49)</f>
        <v>2000</v>
      </c>
      <c r="H13" s="340">
        <f t="shared" si="3"/>
        <v>109085</v>
      </c>
      <c r="I13" s="340">
        <f t="shared" si="3"/>
        <v>28680</v>
      </c>
      <c r="J13" s="340">
        <f t="shared" si="3"/>
        <v>6815</v>
      </c>
      <c r="K13" s="340"/>
      <c r="L13" s="340">
        <f t="shared" si="3"/>
        <v>400</v>
      </c>
      <c r="M13" s="340"/>
      <c r="N13" s="340">
        <f t="shared" si="3"/>
        <v>500</v>
      </c>
      <c r="O13" s="340">
        <f t="shared" si="3"/>
        <v>125060</v>
      </c>
      <c r="P13" s="340">
        <f t="shared" si="3"/>
        <v>259600</v>
      </c>
      <c r="Q13" s="340"/>
      <c r="R13" s="340">
        <f t="shared" si="3"/>
        <v>13200</v>
      </c>
      <c r="S13" s="340"/>
      <c r="T13" s="340">
        <f t="shared" si="3"/>
        <v>-180</v>
      </c>
      <c r="U13" s="340">
        <f t="shared" si="3"/>
        <v>-2086</v>
      </c>
      <c r="V13" s="1048">
        <f t="shared" si="1"/>
        <v>788557</v>
      </c>
    </row>
    <row r="14" spans="1:22" s="334" customFormat="1" ht="18" customHeight="1">
      <c r="A14" s="313">
        <v>2</v>
      </c>
      <c r="B14" s="1049" t="s">
        <v>7</v>
      </c>
      <c r="C14" s="318"/>
      <c r="D14" s="318"/>
      <c r="E14" s="318"/>
      <c r="F14" s="318">
        <v>43000</v>
      </c>
      <c r="G14" s="318"/>
      <c r="H14" s="318"/>
      <c r="I14" s="318"/>
      <c r="J14" s="318"/>
      <c r="K14" s="318"/>
      <c r="L14" s="318"/>
      <c r="M14" s="318"/>
      <c r="N14" s="318"/>
      <c r="O14" s="318"/>
      <c r="P14" s="318">
        <v>27000</v>
      </c>
      <c r="Q14" s="318"/>
      <c r="R14" s="318"/>
      <c r="S14" s="318"/>
      <c r="T14" s="318"/>
      <c r="U14" s="318"/>
      <c r="V14" s="1050">
        <f t="shared" si="1"/>
        <v>70000</v>
      </c>
    </row>
    <row r="15" spans="1:22" s="334" customFormat="1" ht="18" customHeight="1">
      <c r="A15" s="313">
        <v>3</v>
      </c>
      <c r="B15" s="1049" t="s">
        <v>257</v>
      </c>
      <c r="C15" s="318"/>
      <c r="D15" s="318"/>
      <c r="E15" s="318"/>
      <c r="F15" s="318">
        <v>87900</v>
      </c>
      <c r="G15" s="318"/>
      <c r="H15" s="318"/>
      <c r="I15" s="318">
        <v>4000</v>
      </c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>
        <v>7211</v>
      </c>
      <c r="V15" s="1050">
        <f t="shared" si="1"/>
        <v>99111</v>
      </c>
    </row>
    <row r="16" spans="1:22" s="334" customFormat="1" ht="18" customHeight="1">
      <c r="A16" s="313">
        <v>4</v>
      </c>
      <c r="B16" s="1049" t="s">
        <v>258</v>
      </c>
      <c r="C16" s="318"/>
      <c r="D16" s="318"/>
      <c r="E16" s="318"/>
      <c r="F16" s="318">
        <v>28000</v>
      </c>
      <c r="G16" s="318"/>
      <c r="H16" s="318">
        <v>20000</v>
      </c>
      <c r="I16" s="318"/>
      <c r="J16" s="318"/>
      <c r="K16" s="318"/>
      <c r="L16" s="318"/>
      <c r="M16" s="318"/>
      <c r="N16" s="318"/>
      <c r="O16" s="318"/>
      <c r="P16" s="318">
        <v>20000</v>
      </c>
      <c r="Q16" s="318"/>
      <c r="R16" s="318"/>
      <c r="S16" s="318"/>
      <c r="T16" s="318"/>
      <c r="U16" s="318">
        <v>5506</v>
      </c>
      <c r="V16" s="1050">
        <f t="shared" si="1"/>
        <v>73506</v>
      </c>
    </row>
    <row r="17" spans="1:22" s="334" customFormat="1" ht="18" customHeight="1">
      <c r="A17" s="313">
        <v>6</v>
      </c>
      <c r="B17" s="1049" t="s">
        <v>259</v>
      </c>
      <c r="C17" s="318"/>
      <c r="D17" s="318"/>
      <c r="E17" s="318"/>
      <c r="F17" s="318">
        <v>161600</v>
      </c>
      <c r="G17" s="318"/>
      <c r="H17" s="318"/>
      <c r="I17" s="318"/>
      <c r="J17" s="318"/>
      <c r="K17" s="318"/>
      <c r="L17" s="318"/>
      <c r="M17" s="318"/>
      <c r="N17" s="318"/>
      <c r="O17" s="318"/>
      <c r="P17" s="318">
        <v>8000</v>
      </c>
      <c r="Q17" s="318"/>
      <c r="R17" s="318"/>
      <c r="S17" s="318"/>
      <c r="T17" s="318"/>
      <c r="U17" s="318"/>
      <c r="V17" s="1050">
        <f t="shared" si="1"/>
        <v>169600</v>
      </c>
    </row>
    <row r="18" spans="1:22" s="334" customFormat="1" ht="18" customHeight="1">
      <c r="A18" s="313">
        <v>7</v>
      </c>
      <c r="B18" s="1049" t="s">
        <v>260</v>
      </c>
      <c r="C18" s="318"/>
      <c r="D18" s="318"/>
      <c r="E18" s="318"/>
      <c r="F18" s="318"/>
      <c r="G18" s="318"/>
      <c r="H18" s="318">
        <v>-11730</v>
      </c>
      <c r="I18" s="318"/>
      <c r="J18" s="318"/>
      <c r="K18" s="318"/>
      <c r="L18" s="318"/>
      <c r="M18" s="318"/>
      <c r="N18" s="318"/>
      <c r="O18" s="318"/>
      <c r="P18" s="318">
        <v>29000</v>
      </c>
      <c r="Q18" s="318"/>
      <c r="R18" s="318"/>
      <c r="S18" s="318"/>
      <c r="T18" s="318"/>
      <c r="U18" s="318"/>
      <c r="V18" s="1050">
        <f t="shared" si="1"/>
        <v>17270</v>
      </c>
    </row>
    <row r="19" spans="1:22" s="334" customFormat="1" ht="18" customHeight="1">
      <c r="A19" s="313">
        <v>10</v>
      </c>
      <c r="B19" s="1049" t="s">
        <v>261</v>
      </c>
      <c r="C19" s="318"/>
      <c r="D19" s="318"/>
      <c r="E19" s="318"/>
      <c r="F19" s="318">
        <v>40000</v>
      </c>
      <c r="G19" s="318"/>
      <c r="H19" s="318">
        <v>11000</v>
      </c>
      <c r="I19" s="318">
        <v>2000</v>
      </c>
      <c r="J19" s="318"/>
      <c r="K19" s="318"/>
      <c r="L19" s="318"/>
      <c r="M19" s="318"/>
      <c r="N19" s="318"/>
      <c r="O19" s="318">
        <v>6590</v>
      </c>
      <c r="P19" s="318"/>
      <c r="Q19" s="318"/>
      <c r="R19" s="318"/>
      <c r="S19" s="318"/>
      <c r="T19" s="318"/>
      <c r="U19" s="318">
        <v>2444</v>
      </c>
      <c r="V19" s="1050">
        <f t="shared" si="1"/>
        <v>62034</v>
      </c>
    </row>
    <row r="20" spans="1:22" s="334" customFormat="1" ht="18" customHeight="1">
      <c r="A20" s="313"/>
      <c r="B20" s="1049" t="s">
        <v>460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>
        <v>8000</v>
      </c>
      <c r="Q20" s="318"/>
      <c r="R20" s="318"/>
      <c r="S20" s="318"/>
      <c r="T20" s="318"/>
      <c r="U20" s="318"/>
      <c r="V20" s="1050">
        <f t="shared" si="1"/>
        <v>8000</v>
      </c>
    </row>
    <row r="21" spans="1:23" ht="18" customHeight="1">
      <c r="A21" s="313">
        <v>14</v>
      </c>
      <c r="B21" s="1049" t="s">
        <v>262</v>
      </c>
      <c r="C21" s="318"/>
      <c r="D21" s="318"/>
      <c r="E21" s="318"/>
      <c r="F21" s="318">
        <v>133000</v>
      </c>
      <c r="G21" s="318"/>
      <c r="H21" s="318">
        <v>15000</v>
      </c>
      <c r="I21" s="318">
        <v>2200</v>
      </c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1050">
        <f t="shared" si="1"/>
        <v>150200</v>
      </c>
      <c r="W21" s="334"/>
    </row>
    <row r="22" spans="1:23" ht="18" customHeight="1">
      <c r="A22" s="313">
        <v>17</v>
      </c>
      <c r="B22" s="1049" t="s">
        <v>461</v>
      </c>
      <c r="C22" s="318"/>
      <c r="D22" s="318"/>
      <c r="E22" s="318"/>
      <c r="F22" s="318">
        <v>20000</v>
      </c>
      <c r="G22" s="318"/>
      <c r="H22" s="318"/>
      <c r="I22" s="318"/>
      <c r="J22" s="318"/>
      <c r="K22" s="318"/>
      <c r="L22" s="318"/>
      <c r="M22" s="318"/>
      <c r="N22" s="318"/>
      <c r="O22" s="318">
        <v>4000</v>
      </c>
      <c r="P22" s="318"/>
      <c r="Q22" s="318"/>
      <c r="R22" s="318">
        <v>4000</v>
      </c>
      <c r="S22" s="318"/>
      <c r="T22" s="318"/>
      <c r="U22" s="318"/>
      <c r="V22" s="1050">
        <f t="shared" si="1"/>
        <v>28000</v>
      </c>
      <c r="W22" s="334"/>
    </row>
    <row r="23" spans="1:23" ht="18" customHeight="1">
      <c r="A23" s="313">
        <v>20</v>
      </c>
      <c r="B23" s="1049" t="s">
        <v>263</v>
      </c>
      <c r="C23" s="318"/>
      <c r="D23" s="318"/>
      <c r="E23" s="318"/>
      <c r="F23" s="318">
        <v>35000</v>
      </c>
      <c r="G23" s="318"/>
      <c r="H23" s="318"/>
      <c r="I23" s="318"/>
      <c r="J23" s="318"/>
      <c r="K23" s="318"/>
      <c r="L23" s="318"/>
      <c r="M23" s="318"/>
      <c r="N23" s="318"/>
      <c r="O23" s="318">
        <v>18300</v>
      </c>
      <c r="P23" s="318">
        <v>25000</v>
      </c>
      <c r="Q23" s="318"/>
      <c r="R23" s="318"/>
      <c r="S23" s="318"/>
      <c r="T23" s="318"/>
      <c r="U23" s="318"/>
      <c r="V23" s="1050">
        <f t="shared" si="1"/>
        <v>78300</v>
      </c>
      <c r="W23" s="334"/>
    </row>
    <row r="24" spans="1:23" ht="18" customHeight="1">
      <c r="A24" s="313">
        <v>21</v>
      </c>
      <c r="B24" s="1049" t="s">
        <v>264</v>
      </c>
      <c r="C24" s="318"/>
      <c r="D24" s="318"/>
      <c r="E24" s="318"/>
      <c r="F24" s="318">
        <v>60000</v>
      </c>
      <c r="G24" s="318"/>
      <c r="H24" s="318">
        <v>23000</v>
      </c>
      <c r="I24" s="318"/>
      <c r="J24" s="318"/>
      <c r="K24" s="318"/>
      <c r="L24" s="318"/>
      <c r="M24" s="318"/>
      <c r="N24" s="318"/>
      <c r="O24" s="318"/>
      <c r="P24" s="318">
        <v>25000</v>
      </c>
      <c r="Q24" s="318"/>
      <c r="R24" s="318"/>
      <c r="S24" s="318"/>
      <c r="T24" s="318"/>
      <c r="U24" s="318"/>
      <c r="V24" s="1050">
        <f t="shared" si="1"/>
        <v>108000</v>
      </c>
      <c r="W24" s="334"/>
    </row>
    <row r="25" spans="1:23" ht="18" customHeight="1">
      <c r="A25" s="313">
        <v>22</v>
      </c>
      <c r="B25" s="1049" t="s">
        <v>462</v>
      </c>
      <c r="C25" s="318"/>
      <c r="D25" s="318"/>
      <c r="E25" s="318"/>
      <c r="F25" s="318">
        <v>-42867</v>
      </c>
      <c r="G25" s="318"/>
      <c r="H25" s="318">
        <v>-2145</v>
      </c>
      <c r="I25" s="318"/>
      <c r="J25" s="318"/>
      <c r="K25" s="318"/>
      <c r="L25" s="318"/>
      <c r="M25" s="318"/>
      <c r="N25" s="318"/>
      <c r="O25" s="318"/>
      <c r="P25" s="318">
        <v>25000</v>
      </c>
      <c r="Q25" s="318"/>
      <c r="R25" s="318"/>
      <c r="S25" s="318"/>
      <c r="T25" s="318"/>
      <c r="U25" s="318"/>
      <c r="V25" s="1050">
        <f t="shared" si="1"/>
        <v>-20012</v>
      </c>
      <c r="W25" s="334"/>
    </row>
    <row r="26" spans="1:23" ht="18" customHeight="1">
      <c r="A26" s="313">
        <v>24</v>
      </c>
      <c r="B26" s="1049" t="s">
        <v>266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>
        <v>-180</v>
      </c>
      <c r="U26" s="318"/>
      <c r="V26" s="1050">
        <f t="shared" si="1"/>
        <v>-180</v>
      </c>
      <c r="W26" s="334"/>
    </row>
    <row r="27" spans="1:23" ht="18" customHeight="1">
      <c r="A27" s="313">
        <v>25</v>
      </c>
      <c r="B27" s="1049" t="s">
        <v>267</v>
      </c>
      <c r="C27" s="318"/>
      <c r="D27" s="318"/>
      <c r="E27" s="318"/>
      <c r="F27" s="318">
        <v>-34000</v>
      </c>
      <c r="G27" s="318"/>
      <c r="H27" s="318"/>
      <c r="I27" s="318"/>
      <c r="J27" s="318"/>
      <c r="K27" s="318"/>
      <c r="L27" s="318"/>
      <c r="M27" s="318"/>
      <c r="N27" s="318"/>
      <c r="O27" s="318"/>
      <c r="P27" s="318">
        <v>29000</v>
      </c>
      <c r="Q27" s="318"/>
      <c r="R27" s="318"/>
      <c r="S27" s="318"/>
      <c r="T27" s="318"/>
      <c r="U27" s="318"/>
      <c r="V27" s="1050">
        <f t="shared" si="1"/>
        <v>-5000</v>
      </c>
      <c r="W27" s="334"/>
    </row>
    <row r="28" spans="1:23" ht="18" customHeight="1">
      <c r="A28" s="313">
        <v>27</v>
      </c>
      <c r="B28" s="1049" t="s">
        <v>268</v>
      </c>
      <c r="C28" s="318"/>
      <c r="D28" s="318"/>
      <c r="E28" s="318"/>
      <c r="F28" s="318">
        <v>80000</v>
      </c>
      <c r="G28" s="318"/>
      <c r="H28" s="318">
        <v>15000</v>
      </c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1050">
        <f t="shared" si="1"/>
        <v>95000</v>
      </c>
      <c r="W28" s="334"/>
    </row>
    <row r="29" spans="1:23" ht="18" customHeight="1">
      <c r="A29" s="313">
        <v>28</v>
      </c>
      <c r="B29" s="1049" t="s">
        <v>269</v>
      </c>
      <c r="C29" s="318"/>
      <c r="D29" s="318"/>
      <c r="E29" s="318"/>
      <c r="F29" s="318">
        <v>40000</v>
      </c>
      <c r="G29" s="318"/>
      <c r="H29" s="318"/>
      <c r="I29" s="318"/>
      <c r="J29" s="318"/>
      <c r="K29" s="318"/>
      <c r="L29" s="318"/>
      <c r="M29" s="318"/>
      <c r="N29" s="318"/>
      <c r="O29" s="318">
        <v>14170</v>
      </c>
      <c r="P29" s="318">
        <v>29000</v>
      </c>
      <c r="Q29" s="318"/>
      <c r="R29" s="318"/>
      <c r="S29" s="318"/>
      <c r="T29" s="318"/>
      <c r="U29" s="318">
        <v>2606</v>
      </c>
      <c r="V29" s="1050">
        <f t="shared" si="1"/>
        <v>85776</v>
      </c>
      <c r="W29" s="334"/>
    </row>
    <row r="30" spans="1:23" ht="18" customHeight="1">
      <c r="A30" s="313">
        <v>29</v>
      </c>
      <c r="B30" s="1049" t="s">
        <v>270</v>
      </c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>
        <v>5000</v>
      </c>
      <c r="P30" s="318"/>
      <c r="Q30" s="318"/>
      <c r="R30" s="318"/>
      <c r="S30" s="318"/>
      <c r="T30" s="318"/>
      <c r="U30" s="318"/>
      <c r="V30" s="1050">
        <f t="shared" si="1"/>
        <v>5000</v>
      </c>
      <c r="W30" s="334"/>
    </row>
    <row r="31" spans="1:23" ht="18" customHeight="1">
      <c r="A31" s="313">
        <v>30</v>
      </c>
      <c r="B31" s="1049" t="s">
        <v>271</v>
      </c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>
        <v>35000</v>
      </c>
      <c r="P31" s="318"/>
      <c r="Q31" s="318"/>
      <c r="R31" s="318">
        <v>5000</v>
      </c>
      <c r="S31" s="318"/>
      <c r="T31" s="318"/>
      <c r="U31" s="318"/>
      <c r="V31" s="1050">
        <f t="shared" si="1"/>
        <v>40000</v>
      </c>
      <c r="W31" s="334"/>
    </row>
    <row r="32" spans="1:23" ht="18" customHeight="1">
      <c r="A32" s="313">
        <v>31</v>
      </c>
      <c r="B32" s="1049" t="s">
        <v>272</v>
      </c>
      <c r="C32" s="318"/>
      <c r="D32" s="318"/>
      <c r="E32" s="318"/>
      <c r="F32" s="318"/>
      <c r="G32" s="318"/>
      <c r="H32" s="318">
        <v>10000</v>
      </c>
      <c r="I32" s="318">
        <v>3000</v>
      </c>
      <c r="J32" s="318"/>
      <c r="K32" s="318"/>
      <c r="L32" s="318"/>
      <c r="M32" s="318"/>
      <c r="N32" s="318"/>
      <c r="O32" s="318"/>
      <c r="P32" s="318"/>
      <c r="Q32" s="318"/>
      <c r="R32" s="318">
        <v>-7900</v>
      </c>
      <c r="S32" s="318"/>
      <c r="T32" s="318"/>
      <c r="U32" s="318"/>
      <c r="V32" s="1050">
        <f t="shared" si="1"/>
        <v>5100</v>
      </c>
      <c r="W32" s="334"/>
    </row>
    <row r="33" spans="1:23" ht="18" customHeight="1">
      <c r="A33" s="313">
        <v>32</v>
      </c>
      <c r="B33" s="1049" t="s">
        <v>273</v>
      </c>
      <c r="C33" s="318"/>
      <c r="D33" s="318"/>
      <c r="E33" s="318"/>
      <c r="F33" s="318">
        <v>30000</v>
      </c>
      <c r="G33" s="318"/>
      <c r="H33" s="318">
        <v>30000</v>
      </c>
      <c r="I33" s="318"/>
      <c r="J33" s="318"/>
      <c r="K33" s="318"/>
      <c r="L33" s="318"/>
      <c r="M33" s="318"/>
      <c r="N33" s="318"/>
      <c r="O33" s="318"/>
      <c r="P33" s="318">
        <v>7400</v>
      </c>
      <c r="Q33" s="318"/>
      <c r="R33" s="318"/>
      <c r="S33" s="318"/>
      <c r="T33" s="318"/>
      <c r="U33" s="318"/>
      <c r="V33" s="1050">
        <f t="shared" si="1"/>
        <v>67400</v>
      </c>
      <c r="W33" s="334"/>
    </row>
    <row r="34" spans="1:23" ht="18" customHeight="1">
      <c r="A34" s="313">
        <v>34</v>
      </c>
      <c r="B34" s="1049" t="s">
        <v>274</v>
      </c>
      <c r="C34" s="318"/>
      <c r="D34" s="318"/>
      <c r="E34" s="318"/>
      <c r="F34" s="318">
        <v>72000</v>
      </c>
      <c r="G34" s="318"/>
      <c r="H34" s="318"/>
      <c r="I34" s="318"/>
      <c r="J34" s="318">
        <v>-185</v>
      </c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1050">
        <f t="shared" si="1"/>
        <v>71815</v>
      </c>
      <c r="W34" s="334"/>
    </row>
    <row r="35" spans="1:23" ht="18" customHeight="1">
      <c r="A35" s="313">
        <v>38</v>
      </c>
      <c r="B35" s="1049" t="s">
        <v>275</v>
      </c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>
        <v>10000</v>
      </c>
      <c r="Q35" s="318"/>
      <c r="R35" s="318"/>
      <c r="S35" s="318"/>
      <c r="T35" s="318"/>
      <c r="U35" s="318">
        <v>-7100</v>
      </c>
      <c r="V35" s="1050">
        <f t="shared" si="1"/>
        <v>2900</v>
      </c>
      <c r="W35" s="334"/>
    </row>
    <row r="36" spans="1:23" ht="18" customHeight="1">
      <c r="A36" s="313">
        <v>39</v>
      </c>
      <c r="B36" s="1049" t="s">
        <v>276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>
        <v>400</v>
      </c>
      <c r="M36" s="318"/>
      <c r="N36" s="318">
        <v>500</v>
      </c>
      <c r="O36" s="318"/>
      <c r="P36" s="318"/>
      <c r="Q36" s="318"/>
      <c r="R36" s="318">
        <v>100</v>
      </c>
      <c r="S36" s="318"/>
      <c r="T36" s="318"/>
      <c r="U36" s="318"/>
      <c r="V36" s="1050">
        <f t="shared" si="1"/>
        <v>1000</v>
      </c>
      <c r="W36" s="334"/>
    </row>
    <row r="37" spans="1:23" ht="18" customHeight="1">
      <c r="A37" s="313">
        <v>40</v>
      </c>
      <c r="B37" s="1049" t="s">
        <v>277</v>
      </c>
      <c r="C37" s="318"/>
      <c r="D37" s="318"/>
      <c r="E37" s="318"/>
      <c r="F37" s="318"/>
      <c r="G37" s="318">
        <v>2000</v>
      </c>
      <c r="H37" s="318"/>
      <c r="I37" s="318"/>
      <c r="J37" s="318"/>
      <c r="K37" s="318"/>
      <c r="L37" s="318"/>
      <c r="M37" s="318"/>
      <c r="N37" s="318"/>
      <c r="O37" s="318">
        <v>9000</v>
      </c>
      <c r="P37" s="318"/>
      <c r="Q37" s="318"/>
      <c r="R37" s="318"/>
      <c r="S37" s="318"/>
      <c r="T37" s="318"/>
      <c r="U37" s="318"/>
      <c r="V37" s="1050">
        <f t="shared" si="1"/>
        <v>11000</v>
      </c>
      <c r="W37" s="334"/>
    </row>
    <row r="38" spans="1:23" ht="18" customHeight="1">
      <c r="A38" s="313">
        <v>42</v>
      </c>
      <c r="B38" s="1049" t="s">
        <v>278</v>
      </c>
      <c r="C38" s="318"/>
      <c r="D38" s="318"/>
      <c r="E38" s="318"/>
      <c r="F38" s="318">
        <v>-244103</v>
      </c>
      <c r="G38" s="318"/>
      <c r="H38" s="318">
        <v>-34700</v>
      </c>
      <c r="I38" s="318">
        <v>-4900</v>
      </c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>
        <v>-2000</v>
      </c>
      <c r="V38" s="1050">
        <f t="shared" si="1"/>
        <v>-285703</v>
      </c>
      <c r="W38" s="334"/>
    </row>
    <row r="39" spans="1:23" ht="18" customHeight="1">
      <c r="A39" s="313">
        <v>43</v>
      </c>
      <c r="B39" s="1049" t="s">
        <v>279</v>
      </c>
      <c r="C39" s="318"/>
      <c r="D39" s="318"/>
      <c r="E39" s="318"/>
      <c r="F39" s="318">
        <v>88000</v>
      </c>
      <c r="G39" s="318"/>
      <c r="H39" s="318">
        <v>10000</v>
      </c>
      <c r="I39" s="318">
        <v>15000</v>
      </c>
      <c r="J39" s="318"/>
      <c r="K39" s="318"/>
      <c r="L39" s="318"/>
      <c r="M39" s="318"/>
      <c r="N39" s="318"/>
      <c r="O39" s="318">
        <v>10000</v>
      </c>
      <c r="P39" s="318"/>
      <c r="Q39" s="318"/>
      <c r="R39" s="318"/>
      <c r="S39" s="318"/>
      <c r="T39" s="318"/>
      <c r="U39" s="318"/>
      <c r="V39" s="1050">
        <f t="shared" si="1"/>
        <v>123000</v>
      </c>
      <c r="W39" s="334"/>
    </row>
    <row r="40" spans="1:23" ht="18" customHeight="1">
      <c r="A40" s="313">
        <v>44</v>
      </c>
      <c r="B40" s="1049" t="s">
        <v>463</v>
      </c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>
        <v>-3528</v>
      </c>
      <c r="V40" s="1050">
        <f t="shared" si="1"/>
        <v>-3528</v>
      </c>
      <c r="W40" s="334"/>
    </row>
    <row r="41" spans="1:23" ht="18" customHeight="1">
      <c r="A41" s="313">
        <v>45</v>
      </c>
      <c r="B41" s="1049" t="s">
        <v>180</v>
      </c>
      <c r="C41" s="318"/>
      <c r="D41" s="318"/>
      <c r="E41" s="318"/>
      <c r="F41" s="318">
        <v>-57681</v>
      </c>
      <c r="G41" s="318"/>
      <c r="H41" s="318">
        <v>-7240</v>
      </c>
      <c r="I41" s="318">
        <v>-3120</v>
      </c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>
        <v>-8000</v>
      </c>
      <c r="V41" s="1050">
        <f t="shared" si="1"/>
        <v>-76041</v>
      </c>
      <c r="W41" s="334"/>
    </row>
    <row r="42" spans="1:23" ht="18" customHeight="1">
      <c r="A42" s="313">
        <v>46</v>
      </c>
      <c r="B42" s="1049" t="s">
        <v>280</v>
      </c>
      <c r="C42" s="318"/>
      <c r="D42" s="318"/>
      <c r="E42" s="318"/>
      <c r="F42" s="318">
        <v>45000</v>
      </c>
      <c r="G42" s="318"/>
      <c r="H42" s="318"/>
      <c r="I42" s="318">
        <v>5500</v>
      </c>
      <c r="J42" s="318">
        <v>7000</v>
      </c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1050">
        <f t="shared" si="1"/>
        <v>57500</v>
      </c>
      <c r="W42" s="334"/>
    </row>
    <row r="43" spans="1:23" ht="18" customHeight="1">
      <c r="A43" s="313">
        <v>47</v>
      </c>
      <c r="B43" s="1049" t="s">
        <v>281</v>
      </c>
      <c r="C43" s="318"/>
      <c r="D43" s="318"/>
      <c r="E43" s="318"/>
      <c r="F43" s="318"/>
      <c r="G43" s="318"/>
      <c r="H43" s="318">
        <v>3000</v>
      </c>
      <c r="I43" s="318"/>
      <c r="J43" s="318"/>
      <c r="K43" s="318"/>
      <c r="L43" s="318"/>
      <c r="M43" s="318"/>
      <c r="N43" s="318"/>
      <c r="O43" s="318">
        <v>3000</v>
      </c>
      <c r="P43" s="318">
        <v>2000</v>
      </c>
      <c r="Q43" s="318"/>
      <c r="R43" s="318">
        <v>6000</v>
      </c>
      <c r="S43" s="318"/>
      <c r="T43" s="318"/>
      <c r="U43" s="318"/>
      <c r="V43" s="1050">
        <f t="shared" si="1"/>
        <v>14000</v>
      </c>
      <c r="W43" s="334"/>
    </row>
    <row r="44" spans="1:23" ht="18" customHeight="1">
      <c r="A44" s="313">
        <v>48</v>
      </c>
      <c r="B44" s="1049" t="s">
        <v>282</v>
      </c>
      <c r="C44" s="318"/>
      <c r="D44" s="318"/>
      <c r="E44" s="318"/>
      <c r="F44" s="318">
        <v>-24954</v>
      </c>
      <c r="G44" s="318"/>
      <c r="H44" s="318">
        <v>9500</v>
      </c>
      <c r="I44" s="318"/>
      <c r="J44" s="318"/>
      <c r="K44" s="318"/>
      <c r="L44" s="318"/>
      <c r="M44" s="318"/>
      <c r="N44" s="318"/>
      <c r="O44" s="318"/>
      <c r="P44" s="318">
        <v>5200</v>
      </c>
      <c r="Q44" s="318"/>
      <c r="R44" s="318"/>
      <c r="S44" s="318"/>
      <c r="T44" s="318"/>
      <c r="U44" s="318"/>
      <c r="V44" s="1050">
        <f t="shared" si="1"/>
        <v>-10254</v>
      </c>
      <c r="W44" s="334"/>
    </row>
    <row r="45" spans="1:23" ht="18" customHeight="1">
      <c r="A45" s="313">
        <v>49</v>
      </c>
      <c r="B45" s="1049" t="s">
        <v>771</v>
      </c>
      <c r="C45" s="318"/>
      <c r="D45" s="318"/>
      <c r="E45" s="318"/>
      <c r="F45" s="318">
        <v>5000</v>
      </c>
      <c r="G45" s="318"/>
      <c r="H45" s="318">
        <v>2000</v>
      </c>
      <c r="I45" s="318"/>
      <c r="J45" s="318"/>
      <c r="K45" s="318"/>
      <c r="L45" s="318"/>
      <c r="M45" s="318"/>
      <c r="N45" s="318"/>
      <c r="O45" s="318"/>
      <c r="P45" s="318">
        <v>10000</v>
      </c>
      <c r="Q45" s="318"/>
      <c r="R45" s="318"/>
      <c r="S45" s="318"/>
      <c r="T45" s="318"/>
      <c r="U45" s="318"/>
      <c r="V45" s="1050">
        <f t="shared" si="1"/>
        <v>17000</v>
      </c>
      <c r="W45" s="334"/>
    </row>
    <row r="46" spans="1:23" ht="18" customHeight="1">
      <c r="A46" s="313">
        <v>50</v>
      </c>
      <c r="B46" s="1049" t="s">
        <v>283</v>
      </c>
      <c r="C46" s="318"/>
      <c r="D46" s="318"/>
      <c r="E46" s="318"/>
      <c r="F46" s="318">
        <v>-268017</v>
      </c>
      <c r="G46" s="318"/>
      <c r="H46" s="318">
        <v>-600</v>
      </c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1050">
        <f t="shared" si="1"/>
        <v>-268617</v>
      </c>
      <c r="W46" s="334"/>
    </row>
    <row r="47" spans="1:23" ht="18" customHeight="1">
      <c r="A47" s="313">
        <v>51</v>
      </c>
      <c r="B47" s="1049" t="s">
        <v>284</v>
      </c>
      <c r="C47" s="318"/>
      <c r="D47" s="318"/>
      <c r="E47" s="318"/>
      <c r="F47" s="318"/>
      <c r="G47" s="318"/>
      <c r="H47" s="318">
        <v>15000</v>
      </c>
      <c r="I47" s="318">
        <v>5000</v>
      </c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1050">
        <f t="shared" si="1"/>
        <v>20000</v>
      </c>
      <c r="W47" s="334"/>
    </row>
    <row r="48" spans="1:23" ht="18" customHeight="1">
      <c r="A48" s="313">
        <v>52</v>
      </c>
      <c r="B48" s="1049" t="s">
        <v>285</v>
      </c>
      <c r="C48" s="318"/>
      <c r="D48" s="318"/>
      <c r="E48" s="318"/>
      <c r="F48" s="318">
        <v>-56395</v>
      </c>
      <c r="G48" s="318"/>
      <c r="H48" s="318"/>
      <c r="I48" s="318"/>
      <c r="J48" s="318"/>
      <c r="K48" s="318"/>
      <c r="L48" s="318"/>
      <c r="M48" s="318"/>
      <c r="N48" s="318"/>
      <c r="O48" s="318">
        <v>20000</v>
      </c>
      <c r="P48" s="318"/>
      <c r="Q48" s="318"/>
      <c r="R48" s="318">
        <v>6000</v>
      </c>
      <c r="S48" s="318"/>
      <c r="T48" s="318"/>
      <c r="U48" s="318"/>
      <c r="V48" s="1050">
        <f t="shared" si="1"/>
        <v>-30395</v>
      </c>
      <c r="W48" s="334"/>
    </row>
    <row r="49" spans="1:23" ht="18" customHeight="1" thickBot="1">
      <c r="A49" s="313" t="s">
        <v>53</v>
      </c>
      <c r="B49" s="1049" t="s">
        <v>181</v>
      </c>
      <c r="C49" s="318"/>
      <c r="D49" s="318"/>
      <c r="E49" s="318"/>
      <c r="F49" s="318">
        <v>5000</v>
      </c>
      <c r="G49" s="318"/>
      <c r="H49" s="318">
        <v>2000</v>
      </c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>
        <v>775</v>
      </c>
      <c r="V49" s="1050">
        <f t="shared" si="1"/>
        <v>7775</v>
      </c>
      <c r="W49" s="334"/>
    </row>
    <row r="50" spans="1:44" ht="29.25" customHeight="1" thickBot="1">
      <c r="A50" s="313" t="s">
        <v>318</v>
      </c>
      <c r="B50" s="1051" t="s">
        <v>54</v>
      </c>
      <c r="C50" s="341">
        <v>0</v>
      </c>
      <c r="D50" s="341">
        <v>0</v>
      </c>
      <c r="E50" s="357">
        <v>0</v>
      </c>
      <c r="F50" s="340">
        <f>SUM(F51:F67)</f>
        <v>899</v>
      </c>
      <c r="G50" s="340"/>
      <c r="H50" s="340">
        <f>SUM(H51:H67)</f>
        <v>4192</v>
      </c>
      <c r="I50" s="340">
        <f>SUM(I51:I67)</f>
        <v>293</v>
      </c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>
        <f>SUM(U51:U67)</f>
        <v>323</v>
      </c>
      <c r="V50" s="1048">
        <f t="shared" si="1"/>
        <v>5707</v>
      </c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3"/>
      <c r="AR50" s="333"/>
    </row>
    <row r="51" spans="1:23" ht="18" customHeight="1">
      <c r="A51" s="313" t="s">
        <v>319</v>
      </c>
      <c r="B51" s="1049" t="s">
        <v>7</v>
      </c>
      <c r="C51" s="302"/>
      <c r="D51" s="302"/>
      <c r="E51" s="302"/>
      <c r="F51" s="302">
        <v>-1877</v>
      </c>
      <c r="G51" s="302"/>
      <c r="H51" s="302">
        <v>-333</v>
      </c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1050">
        <f t="shared" si="1"/>
        <v>-2210</v>
      </c>
      <c r="W51" s="334"/>
    </row>
    <row r="52" spans="1:23" ht="18" customHeight="1">
      <c r="A52" s="313" t="s">
        <v>320</v>
      </c>
      <c r="B52" s="1049" t="s">
        <v>257</v>
      </c>
      <c r="C52" s="302"/>
      <c r="D52" s="302"/>
      <c r="E52" s="302"/>
      <c r="F52" s="302"/>
      <c r="G52" s="302"/>
      <c r="H52" s="302">
        <v>241</v>
      </c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1050">
        <f t="shared" si="1"/>
        <v>241</v>
      </c>
      <c r="W52" s="334"/>
    </row>
    <row r="53" spans="1:23" ht="18" customHeight="1">
      <c r="A53" s="313" t="s">
        <v>55</v>
      </c>
      <c r="B53" s="1049" t="s">
        <v>258</v>
      </c>
      <c r="C53" s="302"/>
      <c r="D53" s="302"/>
      <c r="E53" s="302"/>
      <c r="F53" s="302">
        <v>-480</v>
      </c>
      <c r="G53" s="302"/>
      <c r="H53" s="302">
        <v>-1185</v>
      </c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1050">
        <f t="shared" si="1"/>
        <v>-1665</v>
      </c>
      <c r="W53" s="334"/>
    </row>
    <row r="54" spans="1:23" ht="18" customHeight="1">
      <c r="A54" s="313" t="s">
        <v>56</v>
      </c>
      <c r="B54" s="1049" t="s">
        <v>259</v>
      </c>
      <c r="C54" s="302"/>
      <c r="D54" s="302"/>
      <c r="E54" s="302"/>
      <c r="F54" s="302"/>
      <c r="G54" s="302"/>
      <c r="H54" s="302">
        <v>955</v>
      </c>
      <c r="I54" s="302">
        <v>90</v>
      </c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1050">
        <f t="shared" si="1"/>
        <v>1045</v>
      </c>
      <c r="W54" s="334"/>
    </row>
    <row r="55" spans="1:23" ht="18" customHeight="1">
      <c r="A55" s="313" t="s">
        <v>57</v>
      </c>
      <c r="B55" s="1049" t="s">
        <v>260</v>
      </c>
      <c r="C55" s="302"/>
      <c r="D55" s="302"/>
      <c r="E55" s="302"/>
      <c r="F55" s="302">
        <v>2240</v>
      </c>
      <c r="G55" s="302"/>
      <c r="H55" s="302">
        <v>523</v>
      </c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1050">
        <f t="shared" si="1"/>
        <v>2763</v>
      </c>
      <c r="W55" s="334"/>
    </row>
    <row r="56" spans="1:23" ht="18" customHeight="1">
      <c r="A56" s="313" t="s">
        <v>321</v>
      </c>
      <c r="B56" s="1049" t="s">
        <v>182</v>
      </c>
      <c r="C56" s="302"/>
      <c r="D56" s="302"/>
      <c r="E56" s="302"/>
      <c r="F56" s="302"/>
      <c r="G56" s="302"/>
      <c r="H56" s="302">
        <v>500</v>
      </c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1050">
        <f t="shared" si="1"/>
        <v>500</v>
      </c>
      <c r="W56" s="334"/>
    </row>
    <row r="57" spans="1:23" ht="18" customHeight="1">
      <c r="A57" s="313" t="s">
        <v>58</v>
      </c>
      <c r="B57" s="1049" t="s">
        <v>262</v>
      </c>
      <c r="C57" s="302"/>
      <c r="D57" s="302"/>
      <c r="E57" s="302"/>
      <c r="F57" s="302"/>
      <c r="G57" s="302"/>
      <c r="H57" s="302">
        <v>330</v>
      </c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>
        <v>126</v>
      </c>
      <c r="V57" s="1050">
        <f t="shared" si="1"/>
        <v>456</v>
      </c>
      <c r="W57" s="334"/>
    </row>
    <row r="58" spans="1:23" ht="18" customHeight="1">
      <c r="A58" s="313" t="s">
        <v>59</v>
      </c>
      <c r="B58" s="1049" t="s">
        <v>183</v>
      </c>
      <c r="C58" s="302"/>
      <c r="D58" s="302"/>
      <c r="E58" s="302"/>
      <c r="F58" s="302"/>
      <c r="G58" s="302"/>
      <c r="H58" s="302">
        <v>834</v>
      </c>
      <c r="I58" s="302">
        <v>98</v>
      </c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1050">
        <f t="shared" si="1"/>
        <v>932</v>
      </c>
      <c r="W58" s="334"/>
    </row>
    <row r="59" spans="1:23" ht="18" customHeight="1">
      <c r="A59" s="313" t="s">
        <v>60</v>
      </c>
      <c r="B59" s="1049" t="s">
        <v>266</v>
      </c>
      <c r="C59" s="302"/>
      <c r="D59" s="302"/>
      <c r="E59" s="302"/>
      <c r="F59" s="302">
        <v>-195</v>
      </c>
      <c r="G59" s="302"/>
      <c r="H59" s="302">
        <v>330</v>
      </c>
      <c r="I59" s="302">
        <v>45</v>
      </c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1050">
        <f t="shared" si="1"/>
        <v>180</v>
      </c>
      <c r="W59" s="334"/>
    </row>
    <row r="60" spans="1:23" ht="18" customHeight="1">
      <c r="A60" s="313" t="s">
        <v>61</v>
      </c>
      <c r="B60" s="1049" t="s">
        <v>62</v>
      </c>
      <c r="C60" s="302"/>
      <c r="D60" s="302"/>
      <c r="E60" s="302"/>
      <c r="F60" s="302"/>
      <c r="G60" s="302"/>
      <c r="H60" s="302">
        <v>360</v>
      </c>
      <c r="I60" s="302">
        <v>30</v>
      </c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1050">
        <f t="shared" si="1"/>
        <v>390</v>
      </c>
      <c r="W60" s="334"/>
    </row>
    <row r="61" spans="1:23" ht="18" customHeight="1">
      <c r="A61" s="313" t="s">
        <v>67</v>
      </c>
      <c r="B61" s="1049" t="s">
        <v>273</v>
      </c>
      <c r="C61" s="302"/>
      <c r="D61" s="302"/>
      <c r="E61" s="302"/>
      <c r="F61" s="302"/>
      <c r="G61" s="302"/>
      <c r="H61" s="302">
        <v>760</v>
      </c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1050">
        <f t="shared" si="1"/>
        <v>760</v>
      </c>
      <c r="W61" s="334"/>
    </row>
    <row r="62" spans="1:23" ht="18" customHeight="1">
      <c r="A62" s="313" t="s">
        <v>68</v>
      </c>
      <c r="B62" s="1049" t="s">
        <v>274</v>
      </c>
      <c r="C62" s="302"/>
      <c r="D62" s="302"/>
      <c r="E62" s="302"/>
      <c r="F62" s="302">
        <v>-591</v>
      </c>
      <c r="G62" s="302"/>
      <c r="H62" s="302">
        <v>160</v>
      </c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1050">
        <f t="shared" si="1"/>
        <v>-431</v>
      </c>
      <c r="W62" s="334"/>
    </row>
    <row r="63" spans="1:23" ht="18" customHeight="1">
      <c r="A63" s="313" t="s">
        <v>69</v>
      </c>
      <c r="B63" s="1049" t="s">
        <v>277</v>
      </c>
      <c r="C63" s="302"/>
      <c r="D63" s="302"/>
      <c r="E63" s="302"/>
      <c r="F63" s="302">
        <v>1700</v>
      </c>
      <c r="G63" s="302"/>
      <c r="H63" s="302">
        <v>362</v>
      </c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1050">
        <f t="shared" si="1"/>
        <v>2062</v>
      </c>
      <c r="W63" s="334"/>
    </row>
    <row r="64" spans="1:23" ht="18" customHeight="1">
      <c r="A64" s="313" t="s">
        <v>70</v>
      </c>
      <c r="B64" s="1049" t="s">
        <v>279</v>
      </c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>
        <v>90</v>
      </c>
      <c r="V64" s="1050">
        <f t="shared" si="1"/>
        <v>90</v>
      </c>
      <c r="W64" s="334"/>
    </row>
    <row r="65" spans="1:23" ht="18" customHeight="1">
      <c r="A65" s="313" t="s">
        <v>71</v>
      </c>
      <c r="B65" s="1049" t="s">
        <v>463</v>
      </c>
      <c r="C65" s="302"/>
      <c r="D65" s="302"/>
      <c r="E65" s="302"/>
      <c r="F65" s="302"/>
      <c r="G65" s="302"/>
      <c r="H65" s="302">
        <v>235</v>
      </c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>
        <v>23</v>
      </c>
      <c r="V65" s="1050">
        <f t="shared" si="1"/>
        <v>258</v>
      </c>
      <c r="W65" s="334"/>
    </row>
    <row r="66" spans="1:23" ht="18" customHeight="1">
      <c r="A66" s="313" t="s">
        <v>72</v>
      </c>
      <c r="B66" s="1049" t="s">
        <v>180</v>
      </c>
      <c r="C66" s="302"/>
      <c r="D66" s="302"/>
      <c r="E66" s="302"/>
      <c r="F66" s="302">
        <v>-2516</v>
      </c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>
        <v>84</v>
      </c>
      <c r="V66" s="1050">
        <f t="shared" si="1"/>
        <v>-2432</v>
      </c>
      <c r="W66" s="334"/>
    </row>
    <row r="67" spans="1:23" ht="18" customHeight="1" thickBot="1">
      <c r="A67" s="313" t="s">
        <v>73</v>
      </c>
      <c r="B67" s="1049" t="s">
        <v>74</v>
      </c>
      <c r="C67" s="302"/>
      <c r="D67" s="302"/>
      <c r="E67" s="302"/>
      <c r="F67" s="302">
        <v>2618</v>
      </c>
      <c r="G67" s="302"/>
      <c r="H67" s="302">
        <v>120</v>
      </c>
      <c r="I67" s="302">
        <v>30</v>
      </c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1050">
        <f t="shared" si="1"/>
        <v>2768</v>
      </c>
      <c r="W67" s="334"/>
    </row>
    <row r="68" spans="1:44" ht="15" customHeight="1" thickBot="1">
      <c r="A68" s="313">
        <v>80102</v>
      </c>
      <c r="B68" s="1051" t="s">
        <v>660</v>
      </c>
      <c r="C68" s="341">
        <v>0</v>
      </c>
      <c r="D68" s="341">
        <v>0</v>
      </c>
      <c r="E68" s="357">
        <v>0</v>
      </c>
      <c r="F68" s="340">
        <f>SUM(F69:F72)</f>
        <v>77700</v>
      </c>
      <c r="G68" s="340"/>
      <c r="H68" s="340">
        <f>SUM(H69:H72)</f>
        <v>2000</v>
      </c>
      <c r="I68" s="340">
        <f>SUM(I69:I72)</f>
        <v>9879</v>
      </c>
      <c r="J68" s="340"/>
      <c r="K68" s="340"/>
      <c r="L68" s="340"/>
      <c r="M68" s="340"/>
      <c r="N68" s="340"/>
      <c r="O68" s="340">
        <f>SUM(O69:O72)</f>
        <v>8000</v>
      </c>
      <c r="P68" s="340"/>
      <c r="Q68" s="340"/>
      <c r="R68" s="340">
        <f>SUM(R69:R72)</f>
        <v>550</v>
      </c>
      <c r="S68" s="340"/>
      <c r="T68" s="340"/>
      <c r="U68" s="340">
        <f>SUM(U69:U72)</f>
        <v>4366</v>
      </c>
      <c r="V68" s="1048">
        <f t="shared" si="1"/>
        <v>102495</v>
      </c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3"/>
      <c r="AO68" s="333"/>
      <c r="AP68" s="333"/>
      <c r="AQ68" s="333"/>
      <c r="AR68" s="333"/>
    </row>
    <row r="69" spans="1:23" ht="18" customHeight="1">
      <c r="A69" s="308">
        <v>26</v>
      </c>
      <c r="B69" s="1052" t="s">
        <v>771</v>
      </c>
      <c r="C69" s="317"/>
      <c r="D69" s="317"/>
      <c r="E69" s="317"/>
      <c r="F69" s="317">
        <v>-26300</v>
      </c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>
        <v>1758</v>
      </c>
      <c r="V69" s="1050">
        <f t="shared" si="1"/>
        <v>-24542</v>
      </c>
      <c r="W69" s="334"/>
    </row>
    <row r="70" spans="1:23" ht="18" customHeight="1">
      <c r="A70" s="306">
        <v>53</v>
      </c>
      <c r="B70" s="1053" t="s">
        <v>661</v>
      </c>
      <c r="C70" s="301"/>
      <c r="D70" s="301"/>
      <c r="E70" s="301"/>
      <c r="F70" s="301">
        <v>24000</v>
      </c>
      <c r="G70" s="301"/>
      <c r="H70" s="301"/>
      <c r="I70" s="301">
        <v>8000</v>
      </c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1050">
        <f t="shared" si="1"/>
        <v>32000</v>
      </c>
      <c r="W70" s="334"/>
    </row>
    <row r="71" spans="1:23" ht="25.5">
      <c r="A71" s="306">
        <v>54</v>
      </c>
      <c r="B71" s="1054" t="s">
        <v>442</v>
      </c>
      <c r="C71" s="301"/>
      <c r="D71" s="301"/>
      <c r="E71" s="301"/>
      <c r="F71" s="301"/>
      <c r="G71" s="301"/>
      <c r="H71" s="301"/>
      <c r="I71" s="301">
        <v>1879</v>
      </c>
      <c r="J71" s="301"/>
      <c r="K71" s="301"/>
      <c r="L71" s="301"/>
      <c r="M71" s="301"/>
      <c r="N71" s="301"/>
      <c r="O71" s="301"/>
      <c r="P71" s="301"/>
      <c r="Q71" s="301"/>
      <c r="R71" s="301">
        <v>550</v>
      </c>
      <c r="S71" s="301"/>
      <c r="T71" s="301"/>
      <c r="U71" s="301">
        <v>1108</v>
      </c>
      <c r="V71" s="1050">
        <f t="shared" si="1"/>
        <v>3537</v>
      </c>
      <c r="W71" s="334"/>
    </row>
    <row r="72" spans="1:23" ht="26.25" thickBot="1">
      <c r="A72" s="306">
        <v>55</v>
      </c>
      <c r="B72" s="1053" t="s">
        <v>443</v>
      </c>
      <c r="C72" s="301"/>
      <c r="D72" s="301"/>
      <c r="E72" s="301"/>
      <c r="F72" s="301">
        <v>80000</v>
      </c>
      <c r="G72" s="301"/>
      <c r="H72" s="301">
        <v>2000</v>
      </c>
      <c r="I72" s="301"/>
      <c r="J72" s="301"/>
      <c r="K72" s="301"/>
      <c r="L72" s="301"/>
      <c r="M72" s="301"/>
      <c r="N72" s="301"/>
      <c r="O72" s="301">
        <v>8000</v>
      </c>
      <c r="P72" s="301"/>
      <c r="Q72" s="301"/>
      <c r="R72" s="301"/>
      <c r="S72" s="301"/>
      <c r="T72" s="301"/>
      <c r="U72" s="301">
        <v>1500</v>
      </c>
      <c r="V72" s="1050">
        <f t="shared" si="1"/>
        <v>91500</v>
      </c>
      <c r="W72" s="334"/>
    </row>
    <row r="73" spans="1:44" ht="26.25" thickBot="1">
      <c r="A73" s="313">
        <v>80103</v>
      </c>
      <c r="B73" s="1051" t="s">
        <v>75</v>
      </c>
      <c r="C73" s="341">
        <v>0</v>
      </c>
      <c r="D73" s="341">
        <v>0</v>
      </c>
      <c r="E73" s="357">
        <v>0</v>
      </c>
      <c r="F73" s="340">
        <f>SUM(F74:F88)</f>
        <v>7252</v>
      </c>
      <c r="G73" s="340"/>
      <c r="H73" s="340">
        <f>SUM(H74:H88)</f>
        <v>5205</v>
      </c>
      <c r="I73" s="340">
        <f>SUM(I74:I88)</f>
        <v>760</v>
      </c>
      <c r="J73" s="340"/>
      <c r="K73" s="340"/>
      <c r="L73" s="340"/>
      <c r="M73" s="340"/>
      <c r="N73" s="340"/>
      <c r="O73" s="340">
        <f>SUM(O74:O88)</f>
        <v>1000</v>
      </c>
      <c r="P73" s="340"/>
      <c r="Q73" s="340"/>
      <c r="R73" s="340"/>
      <c r="S73" s="340"/>
      <c r="T73" s="340"/>
      <c r="U73" s="340">
        <f>SUM(U74:U88)</f>
        <v>4378</v>
      </c>
      <c r="V73" s="1048">
        <f t="shared" si="1"/>
        <v>18595</v>
      </c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  <c r="AJ73" s="333"/>
      <c r="AK73" s="333"/>
      <c r="AL73" s="333"/>
      <c r="AM73" s="333"/>
      <c r="AN73" s="333"/>
      <c r="AO73" s="333"/>
      <c r="AP73" s="333"/>
      <c r="AQ73" s="333"/>
      <c r="AR73" s="333"/>
    </row>
    <row r="74" spans="1:23" ht="18" customHeight="1">
      <c r="A74" s="1031" t="s">
        <v>76</v>
      </c>
      <c r="B74" s="1055" t="s">
        <v>7</v>
      </c>
      <c r="C74" s="301"/>
      <c r="D74" s="301"/>
      <c r="E74" s="301"/>
      <c r="F74" s="301">
        <v>-1009</v>
      </c>
      <c r="G74" s="301"/>
      <c r="H74" s="301">
        <v>-500</v>
      </c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1050">
        <f t="shared" si="1"/>
        <v>-1509</v>
      </c>
      <c r="W74" s="334"/>
    </row>
    <row r="75" spans="1:23" ht="18" customHeight="1">
      <c r="A75" s="342" t="s">
        <v>77</v>
      </c>
      <c r="B75" s="1049" t="s">
        <v>260</v>
      </c>
      <c r="C75" s="301"/>
      <c r="D75" s="301"/>
      <c r="E75" s="301"/>
      <c r="F75" s="301">
        <v>-2370</v>
      </c>
      <c r="G75" s="301"/>
      <c r="H75" s="301">
        <v>1860</v>
      </c>
      <c r="I75" s="301">
        <v>180</v>
      </c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>
        <v>286</v>
      </c>
      <c r="V75" s="1050">
        <f aca="true" t="shared" si="4" ref="V75:V138">SUM(F75:U75)</f>
        <v>-44</v>
      </c>
      <c r="W75" s="334"/>
    </row>
    <row r="76" spans="1:23" ht="18" customHeight="1">
      <c r="A76" s="342" t="s">
        <v>78</v>
      </c>
      <c r="B76" s="1049" t="s">
        <v>261</v>
      </c>
      <c r="C76" s="301"/>
      <c r="D76" s="301"/>
      <c r="E76" s="301"/>
      <c r="F76" s="301">
        <v>21671</v>
      </c>
      <c r="G76" s="301"/>
      <c r="H76" s="301">
        <v>4200</v>
      </c>
      <c r="I76" s="301">
        <v>500</v>
      </c>
      <c r="J76" s="301"/>
      <c r="K76" s="301"/>
      <c r="L76" s="301"/>
      <c r="M76" s="301"/>
      <c r="N76" s="301"/>
      <c r="O76" s="301">
        <v>1000</v>
      </c>
      <c r="P76" s="301"/>
      <c r="Q76" s="301"/>
      <c r="R76" s="301"/>
      <c r="S76" s="301"/>
      <c r="T76" s="301"/>
      <c r="U76" s="301">
        <v>2071</v>
      </c>
      <c r="V76" s="1050">
        <f t="shared" si="4"/>
        <v>29442</v>
      </c>
      <c r="W76" s="334"/>
    </row>
    <row r="77" spans="1:23" ht="18" customHeight="1">
      <c r="A77" s="342" t="s">
        <v>79</v>
      </c>
      <c r="B77" s="1049" t="s">
        <v>262</v>
      </c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>
        <v>221</v>
      </c>
      <c r="V77" s="1050">
        <f t="shared" si="4"/>
        <v>221</v>
      </c>
      <c r="W77" s="334"/>
    </row>
    <row r="78" spans="1:23" ht="18" customHeight="1">
      <c r="A78" s="342" t="s">
        <v>80</v>
      </c>
      <c r="B78" s="1049" t="s">
        <v>184</v>
      </c>
      <c r="C78" s="301"/>
      <c r="D78" s="301"/>
      <c r="E78" s="301"/>
      <c r="F78" s="301">
        <v>3458</v>
      </c>
      <c r="G78" s="301"/>
      <c r="H78" s="301">
        <v>500</v>
      </c>
      <c r="I78" s="301">
        <v>100</v>
      </c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>
        <v>1888</v>
      </c>
      <c r="V78" s="1050">
        <f t="shared" si="4"/>
        <v>5946</v>
      </c>
      <c r="W78" s="334"/>
    </row>
    <row r="79" spans="1:23" ht="18" customHeight="1">
      <c r="A79" s="342" t="s">
        <v>81</v>
      </c>
      <c r="B79" s="1049" t="s">
        <v>263</v>
      </c>
      <c r="C79" s="301"/>
      <c r="D79" s="301"/>
      <c r="E79" s="301"/>
      <c r="F79" s="301">
        <v>-4896</v>
      </c>
      <c r="G79" s="301"/>
      <c r="H79" s="301">
        <v>-880</v>
      </c>
      <c r="I79" s="301">
        <v>-130</v>
      </c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1050">
        <f t="shared" si="4"/>
        <v>-5906</v>
      </c>
      <c r="W79" s="334"/>
    </row>
    <row r="80" spans="1:23" ht="18" customHeight="1">
      <c r="A80" s="342" t="s">
        <v>82</v>
      </c>
      <c r="B80" s="1049" t="s">
        <v>265</v>
      </c>
      <c r="C80" s="301"/>
      <c r="D80" s="301"/>
      <c r="E80" s="301"/>
      <c r="F80" s="301">
        <v>4990</v>
      </c>
      <c r="G80" s="301"/>
      <c r="H80" s="301">
        <v>760</v>
      </c>
      <c r="I80" s="301">
        <v>150</v>
      </c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1050">
        <f t="shared" si="4"/>
        <v>5900</v>
      </c>
      <c r="W80" s="334"/>
    </row>
    <row r="81" spans="1:23" s="343" customFormat="1" ht="18" customHeight="1">
      <c r="A81" s="342" t="s">
        <v>83</v>
      </c>
      <c r="B81" s="1049" t="s">
        <v>267</v>
      </c>
      <c r="C81" s="301"/>
      <c r="D81" s="301"/>
      <c r="E81" s="301"/>
      <c r="F81" s="301">
        <v>-1000</v>
      </c>
      <c r="G81" s="301"/>
      <c r="H81" s="301">
        <v>900</v>
      </c>
      <c r="I81" s="301">
        <v>100</v>
      </c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1050">
        <f t="shared" si="4"/>
        <v>0</v>
      </c>
      <c r="W81" s="334"/>
    </row>
    <row r="82" spans="1:23" s="343" customFormat="1" ht="18" customHeight="1">
      <c r="A82" s="342" t="s">
        <v>84</v>
      </c>
      <c r="B82" s="1049" t="s">
        <v>277</v>
      </c>
      <c r="C82" s="301"/>
      <c r="D82" s="301"/>
      <c r="E82" s="301"/>
      <c r="F82" s="301">
        <v>-9565</v>
      </c>
      <c r="G82" s="301"/>
      <c r="H82" s="301">
        <v>-2340</v>
      </c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1050">
        <f t="shared" si="4"/>
        <v>-11905</v>
      </c>
      <c r="W82" s="334"/>
    </row>
    <row r="83" spans="1:23" s="343" customFormat="1" ht="18" customHeight="1">
      <c r="A83" s="342" t="s">
        <v>85</v>
      </c>
      <c r="B83" s="1049" t="s">
        <v>278</v>
      </c>
      <c r="C83" s="301"/>
      <c r="D83" s="301"/>
      <c r="E83" s="301"/>
      <c r="F83" s="301">
        <v>8000</v>
      </c>
      <c r="G83" s="301"/>
      <c r="H83" s="301">
        <v>500</v>
      </c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>
        <v>1772</v>
      </c>
      <c r="V83" s="1050">
        <f t="shared" si="4"/>
        <v>10272</v>
      </c>
      <c r="W83" s="334"/>
    </row>
    <row r="84" spans="1:23" s="343" customFormat="1" ht="18" customHeight="1">
      <c r="A84" s="342" t="s">
        <v>86</v>
      </c>
      <c r="B84" s="1049" t="s">
        <v>281</v>
      </c>
      <c r="C84" s="301"/>
      <c r="D84" s="301"/>
      <c r="E84" s="301"/>
      <c r="F84" s="301">
        <v>3770</v>
      </c>
      <c r="G84" s="301"/>
      <c r="H84" s="301">
        <v>805</v>
      </c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1050">
        <f t="shared" si="4"/>
        <v>4575</v>
      </c>
      <c r="W84" s="334"/>
    </row>
    <row r="85" spans="1:23" s="343" customFormat="1" ht="18" customHeight="1">
      <c r="A85" s="342" t="s">
        <v>87</v>
      </c>
      <c r="B85" s="1049" t="s">
        <v>282</v>
      </c>
      <c r="C85" s="301"/>
      <c r="D85" s="301"/>
      <c r="E85" s="301"/>
      <c r="F85" s="301">
        <v>-9139</v>
      </c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1050">
        <f t="shared" si="4"/>
        <v>-9139</v>
      </c>
      <c r="W85" s="334"/>
    </row>
    <row r="86" spans="1:23" s="343" customFormat="1" ht="18" customHeight="1">
      <c r="A86" s="342" t="s">
        <v>88</v>
      </c>
      <c r="B86" s="1049" t="s">
        <v>283</v>
      </c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>
        <v>-1860</v>
      </c>
      <c r="V86" s="1050">
        <f t="shared" si="4"/>
        <v>-1860</v>
      </c>
      <c r="W86" s="334"/>
    </row>
    <row r="87" spans="1:23" s="343" customFormat="1" ht="18" customHeight="1">
      <c r="A87" s="342" t="s">
        <v>89</v>
      </c>
      <c r="B87" s="1049" t="s">
        <v>284</v>
      </c>
      <c r="C87" s="301"/>
      <c r="D87" s="301"/>
      <c r="E87" s="301"/>
      <c r="F87" s="301">
        <v>-5658</v>
      </c>
      <c r="G87" s="301"/>
      <c r="H87" s="301">
        <v>-1600</v>
      </c>
      <c r="I87" s="301">
        <v>-140</v>
      </c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1050">
        <f t="shared" si="4"/>
        <v>-7398</v>
      </c>
      <c r="W87" s="334"/>
    </row>
    <row r="88" spans="1:23" s="343" customFormat="1" ht="18" customHeight="1" thickBot="1">
      <c r="A88" s="342" t="s">
        <v>90</v>
      </c>
      <c r="B88" s="1049" t="s">
        <v>285</v>
      </c>
      <c r="C88" s="301"/>
      <c r="D88" s="301"/>
      <c r="E88" s="301"/>
      <c r="F88" s="301">
        <v>-1000</v>
      </c>
      <c r="G88" s="301"/>
      <c r="H88" s="301">
        <v>1000</v>
      </c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1050">
        <f t="shared" si="4"/>
        <v>0</v>
      </c>
      <c r="W88" s="334"/>
    </row>
    <row r="89" spans="1:44" ht="18" customHeight="1" thickBot="1">
      <c r="A89" s="313"/>
      <c r="B89" s="1051" t="s">
        <v>662</v>
      </c>
      <c r="C89" s="341"/>
      <c r="D89" s="341"/>
      <c r="E89" s="357"/>
      <c r="F89" s="340"/>
      <c r="G89" s="340"/>
      <c r="H89" s="340"/>
      <c r="I89" s="340"/>
      <c r="J89" s="340">
        <f>SUM(J90:J142)</f>
        <v>-248</v>
      </c>
      <c r="K89" s="340">
        <f>SUM(K90:K142)</f>
        <v>-6477</v>
      </c>
      <c r="L89" s="340">
        <f>SUM(L90:L142)</f>
        <v>8225</v>
      </c>
      <c r="M89" s="340"/>
      <c r="N89" s="340">
        <f aca="true" t="shared" si="5" ref="N89:S89">SUM(N90:N142)</f>
        <v>442</v>
      </c>
      <c r="O89" s="340">
        <f t="shared" si="5"/>
        <v>600</v>
      </c>
      <c r="P89" s="340">
        <f t="shared" si="5"/>
        <v>314169</v>
      </c>
      <c r="Q89" s="340">
        <f t="shared" si="5"/>
        <v>1112</v>
      </c>
      <c r="R89" s="340">
        <f t="shared" si="5"/>
        <v>-330</v>
      </c>
      <c r="S89" s="340">
        <f t="shared" si="5"/>
        <v>127</v>
      </c>
      <c r="T89" s="340"/>
      <c r="U89" s="340"/>
      <c r="V89" s="1048">
        <f t="shared" si="4"/>
        <v>317620</v>
      </c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</row>
    <row r="90" spans="1:23" s="338" customFormat="1" ht="18" customHeight="1">
      <c r="A90" s="393"/>
      <c r="B90" s="1056" t="s">
        <v>567</v>
      </c>
      <c r="C90" s="395"/>
      <c r="D90" s="395"/>
      <c r="E90" s="395"/>
      <c r="F90" s="394"/>
      <c r="G90" s="394"/>
      <c r="H90" s="362"/>
      <c r="I90" s="362"/>
      <c r="J90" s="362"/>
      <c r="K90" s="362">
        <v>-400</v>
      </c>
      <c r="L90" s="362"/>
      <c r="M90" s="362"/>
      <c r="N90" s="362"/>
      <c r="O90" s="469"/>
      <c r="P90" s="362"/>
      <c r="Q90" s="362"/>
      <c r="R90" s="362"/>
      <c r="S90" s="362"/>
      <c r="T90" s="362"/>
      <c r="U90" s="362"/>
      <c r="V90" s="1050">
        <f t="shared" si="4"/>
        <v>-400</v>
      </c>
      <c r="W90" s="334"/>
    </row>
    <row r="91" spans="1:23" s="338" customFormat="1" ht="18" customHeight="1">
      <c r="A91" s="320"/>
      <c r="B91" s="1057" t="s">
        <v>633</v>
      </c>
      <c r="C91" s="359"/>
      <c r="D91" s="359"/>
      <c r="E91" s="359"/>
      <c r="F91" s="346"/>
      <c r="G91" s="346"/>
      <c r="H91" s="349"/>
      <c r="I91" s="349"/>
      <c r="J91" s="349"/>
      <c r="K91" s="349"/>
      <c r="L91" s="349">
        <f>846</f>
        <v>846</v>
      </c>
      <c r="M91" s="349"/>
      <c r="N91" s="349"/>
      <c r="O91" s="349">
        <f>1000</f>
        <v>1000</v>
      </c>
      <c r="P91" s="349">
        <v>-927</v>
      </c>
      <c r="Q91" s="349">
        <f>81</f>
        <v>81</v>
      </c>
      <c r="R91" s="349"/>
      <c r="S91" s="349"/>
      <c r="T91" s="349"/>
      <c r="U91" s="349"/>
      <c r="V91" s="1050">
        <f t="shared" si="4"/>
        <v>1000</v>
      </c>
      <c r="W91" s="334"/>
    </row>
    <row r="92" spans="1:23" s="338" customFormat="1" ht="18" customHeight="1">
      <c r="A92" s="320"/>
      <c r="B92" s="1057" t="s">
        <v>568</v>
      </c>
      <c r="C92" s="359"/>
      <c r="D92" s="359"/>
      <c r="E92" s="359"/>
      <c r="F92" s="346"/>
      <c r="G92" s="346"/>
      <c r="H92" s="349"/>
      <c r="I92" s="349"/>
      <c r="J92" s="349"/>
      <c r="K92" s="349"/>
      <c r="L92" s="349"/>
      <c r="M92" s="349"/>
      <c r="N92" s="349"/>
      <c r="O92" s="349">
        <v>-800</v>
      </c>
      <c r="P92" s="349">
        <v>700</v>
      </c>
      <c r="Q92" s="349"/>
      <c r="R92" s="349">
        <v>6400</v>
      </c>
      <c r="S92" s="349"/>
      <c r="T92" s="349"/>
      <c r="U92" s="349"/>
      <c r="V92" s="1050">
        <f t="shared" si="4"/>
        <v>6300</v>
      </c>
      <c r="W92" s="334"/>
    </row>
    <row r="93" spans="1:23" s="338" customFormat="1" ht="18" customHeight="1">
      <c r="A93" s="320"/>
      <c r="B93" s="1057" t="s">
        <v>631</v>
      </c>
      <c r="C93" s="359"/>
      <c r="D93" s="359"/>
      <c r="E93" s="359"/>
      <c r="F93" s="346"/>
      <c r="G93" s="346"/>
      <c r="H93" s="349"/>
      <c r="I93" s="349"/>
      <c r="J93" s="349"/>
      <c r="K93" s="349">
        <v>-350</v>
      </c>
      <c r="L93" s="349">
        <f>150</f>
        <v>150</v>
      </c>
      <c r="M93" s="349"/>
      <c r="N93" s="349"/>
      <c r="O93" s="349"/>
      <c r="P93" s="349"/>
      <c r="Q93" s="349"/>
      <c r="R93" s="349"/>
      <c r="S93" s="349"/>
      <c r="T93" s="349"/>
      <c r="U93" s="349"/>
      <c r="V93" s="1050">
        <f t="shared" si="4"/>
        <v>-200</v>
      </c>
      <c r="W93" s="334"/>
    </row>
    <row r="94" spans="1:23" s="338" customFormat="1" ht="18" customHeight="1">
      <c r="A94" s="320"/>
      <c r="B94" s="1057" t="s">
        <v>569</v>
      </c>
      <c r="C94" s="359"/>
      <c r="D94" s="359"/>
      <c r="E94" s="359"/>
      <c r="F94" s="346"/>
      <c r="G94" s="346"/>
      <c r="H94" s="349"/>
      <c r="I94" s="349"/>
      <c r="J94" s="349"/>
      <c r="K94" s="349"/>
      <c r="L94" s="349"/>
      <c r="M94" s="349"/>
      <c r="N94" s="349"/>
      <c r="O94" s="349">
        <f>1000</f>
        <v>1000</v>
      </c>
      <c r="P94" s="349"/>
      <c r="Q94" s="349"/>
      <c r="R94" s="349">
        <v>-2800</v>
      </c>
      <c r="S94" s="349"/>
      <c r="T94" s="349"/>
      <c r="U94" s="349"/>
      <c r="V94" s="1050">
        <f t="shared" si="4"/>
        <v>-1800</v>
      </c>
      <c r="W94" s="334"/>
    </row>
    <row r="95" spans="1:23" s="338" customFormat="1" ht="18" customHeight="1">
      <c r="A95" s="320"/>
      <c r="B95" s="1057" t="s">
        <v>570</v>
      </c>
      <c r="C95" s="359"/>
      <c r="D95" s="359"/>
      <c r="E95" s="359"/>
      <c r="F95" s="346"/>
      <c r="G95" s="346"/>
      <c r="H95" s="349"/>
      <c r="I95" s="349"/>
      <c r="J95" s="349"/>
      <c r="K95" s="349"/>
      <c r="L95" s="349">
        <v>150</v>
      </c>
      <c r="M95" s="349"/>
      <c r="N95" s="349"/>
      <c r="O95" s="349"/>
      <c r="P95" s="349"/>
      <c r="Q95" s="349"/>
      <c r="R95" s="349"/>
      <c r="S95" s="349"/>
      <c r="T95" s="349"/>
      <c r="U95" s="349"/>
      <c r="V95" s="1050">
        <f t="shared" si="4"/>
        <v>150</v>
      </c>
      <c r="W95" s="334"/>
    </row>
    <row r="96" spans="1:23" s="338" customFormat="1" ht="18" customHeight="1">
      <c r="A96" s="320"/>
      <c r="B96" s="1057" t="s">
        <v>571</v>
      </c>
      <c r="C96" s="359"/>
      <c r="D96" s="359"/>
      <c r="E96" s="359"/>
      <c r="F96" s="346"/>
      <c r="G96" s="346"/>
      <c r="H96" s="349"/>
      <c r="I96" s="349"/>
      <c r="J96" s="349"/>
      <c r="K96" s="349">
        <v>-300</v>
      </c>
      <c r="L96" s="349"/>
      <c r="M96" s="349"/>
      <c r="N96" s="349"/>
      <c r="O96" s="349">
        <v>-500</v>
      </c>
      <c r="P96" s="349"/>
      <c r="Q96" s="349"/>
      <c r="R96" s="349"/>
      <c r="S96" s="349"/>
      <c r="T96" s="349"/>
      <c r="U96" s="349"/>
      <c r="V96" s="1050">
        <f t="shared" si="4"/>
        <v>-800</v>
      </c>
      <c r="W96" s="334"/>
    </row>
    <row r="97" spans="1:23" s="338" customFormat="1" ht="18" customHeight="1">
      <c r="A97" s="320"/>
      <c r="B97" s="1057" t="s">
        <v>572</v>
      </c>
      <c r="C97" s="359"/>
      <c r="D97" s="359"/>
      <c r="E97" s="359"/>
      <c r="F97" s="346"/>
      <c r="G97" s="346"/>
      <c r="H97" s="349"/>
      <c r="I97" s="349"/>
      <c r="J97" s="349"/>
      <c r="K97" s="349"/>
      <c r="L97" s="349"/>
      <c r="M97" s="349"/>
      <c r="N97" s="349"/>
      <c r="O97" s="349">
        <f>2000</f>
        <v>2000</v>
      </c>
      <c r="P97" s="349">
        <v>3000</v>
      </c>
      <c r="Q97" s="349"/>
      <c r="R97" s="349"/>
      <c r="S97" s="349"/>
      <c r="T97" s="349"/>
      <c r="U97" s="349"/>
      <c r="V97" s="1050">
        <f t="shared" si="4"/>
        <v>5000</v>
      </c>
      <c r="W97" s="334"/>
    </row>
    <row r="98" spans="1:23" s="338" customFormat="1" ht="18" customHeight="1">
      <c r="A98" s="320"/>
      <c r="B98" s="1057" t="s">
        <v>634</v>
      </c>
      <c r="C98" s="359"/>
      <c r="D98" s="359"/>
      <c r="E98" s="359"/>
      <c r="F98" s="346"/>
      <c r="G98" s="346"/>
      <c r="H98" s="349"/>
      <c r="I98" s="349"/>
      <c r="J98" s="349"/>
      <c r="K98" s="349"/>
      <c r="L98" s="349">
        <v>158</v>
      </c>
      <c r="M98" s="349"/>
      <c r="N98" s="349"/>
      <c r="O98" s="349">
        <f>500</f>
        <v>500</v>
      </c>
      <c r="P98" s="349"/>
      <c r="Q98" s="349"/>
      <c r="R98" s="349"/>
      <c r="S98" s="349"/>
      <c r="T98" s="349"/>
      <c r="U98" s="349"/>
      <c r="V98" s="1050">
        <f t="shared" si="4"/>
        <v>658</v>
      </c>
      <c r="W98" s="334"/>
    </row>
    <row r="99" spans="1:23" s="338" customFormat="1" ht="18" customHeight="1">
      <c r="A99" s="320"/>
      <c r="B99" s="1057" t="s">
        <v>573</v>
      </c>
      <c r="C99" s="359"/>
      <c r="D99" s="359"/>
      <c r="E99" s="359"/>
      <c r="F99" s="346"/>
      <c r="G99" s="346"/>
      <c r="H99" s="349"/>
      <c r="I99" s="349"/>
      <c r="J99" s="349"/>
      <c r="K99" s="349"/>
      <c r="L99" s="349">
        <f>150</f>
        <v>150</v>
      </c>
      <c r="M99" s="349"/>
      <c r="N99" s="349"/>
      <c r="O99" s="349">
        <v>-500</v>
      </c>
      <c r="P99" s="349">
        <v>25000</v>
      </c>
      <c r="Q99" s="349"/>
      <c r="R99" s="349"/>
      <c r="S99" s="349"/>
      <c r="T99" s="349"/>
      <c r="U99" s="349"/>
      <c r="V99" s="1050">
        <f t="shared" si="4"/>
        <v>24650</v>
      </c>
      <c r="W99" s="334"/>
    </row>
    <row r="100" spans="1:23" s="338" customFormat="1" ht="18" customHeight="1">
      <c r="A100" s="320"/>
      <c r="B100" s="1057" t="s">
        <v>574</v>
      </c>
      <c r="C100" s="359"/>
      <c r="D100" s="359"/>
      <c r="E100" s="359"/>
      <c r="F100" s="346"/>
      <c r="G100" s="346"/>
      <c r="H100" s="349"/>
      <c r="I100" s="349"/>
      <c r="J100" s="349"/>
      <c r="K100" s="349"/>
      <c r="L100" s="349">
        <v>150</v>
      </c>
      <c r="M100" s="349"/>
      <c r="N100" s="349"/>
      <c r="O100" s="349">
        <v>200</v>
      </c>
      <c r="P100" s="349"/>
      <c r="Q100" s="349"/>
      <c r="R100" s="349"/>
      <c r="S100" s="349"/>
      <c r="T100" s="349"/>
      <c r="U100" s="349"/>
      <c r="V100" s="1050">
        <f t="shared" si="4"/>
        <v>350</v>
      </c>
      <c r="W100" s="334"/>
    </row>
    <row r="101" spans="1:23" s="338" customFormat="1" ht="18" customHeight="1">
      <c r="A101" s="320"/>
      <c r="B101" s="1057" t="s">
        <v>635</v>
      </c>
      <c r="C101" s="359"/>
      <c r="D101" s="359"/>
      <c r="E101" s="359"/>
      <c r="F101" s="346"/>
      <c r="G101" s="346"/>
      <c r="H101" s="349"/>
      <c r="I101" s="349"/>
      <c r="J101" s="349"/>
      <c r="K101" s="349"/>
      <c r="L101" s="349">
        <v>800</v>
      </c>
      <c r="M101" s="349"/>
      <c r="N101" s="349">
        <v>692</v>
      </c>
      <c r="O101" s="349">
        <f>600</f>
        <v>600</v>
      </c>
      <c r="P101" s="349">
        <v>-2192</v>
      </c>
      <c r="Q101" s="349">
        <f>100</f>
        <v>100</v>
      </c>
      <c r="R101" s="349">
        <v>-530</v>
      </c>
      <c r="S101" s="349"/>
      <c r="T101" s="349"/>
      <c r="U101" s="349"/>
      <c r="V101" s="1050">
        <f t="shared" si="4"/>
        <v>-530</v>
      </c>
      <c r="W101" s="334"/>
    </row>
    <row r="102" spans="1:23" s="338" customFormat="1" ht="18" customHeight="1">
      <c r="A102" s="320"/>
      <c r="B102" s="1057" t="s">
        <v>342</v>
      </c>
      <c r="C102" s="359"/>
      <c r="D102" s="359"/>
      <c r="E102" s="359"/>
      <c r="F102" s="346"/>
      <c r="G102" s="346"/>
      <c r="H102" s="349"/>
      <c r="I102" s="349"/>
      <c r="J102" s="349"/>
      <c r="K102" s="349"/>
      <c r="L102" s="349"/>
      <c r="M102" s="349"/>
      <c r="N102" s="349"/>
      <c r="O102" s="349">
        <v>-500</v>
      </c>
      <c r="P102" s="349"/>
      <c r="Q102" s="349"/>
      <c r="R102" s="349">
        <v>-1200</v>
      </c>
      <c r="S102" s="349"/>
      <c r="T102" s="349"/>
      <c r="U102" s="349"/>
      <c r="V102" s="1050">
        <f t="shared" si="4"/>
        <v>-1700</v>
      </c>
      <c r="W102" s="334"/>
    </row>
    <row r="103" spans="1:23" s="338" customFormat="1" ht="18" customHeight="1">
      <c r="A103" s="320"/>
      <c r="B103" s="1057" t="s">
        <v>575</v>
      </c>
      <c r="C103" s="359"/>
      <c r="D103" s="359"/>
      <c r="E103" s="359"/>
      <c r="F103" s="346"/>
      <c r="G103" s="346"/>
      <c r="H103" s="349"/>
      <c r="I103" s="349"/>
      <c r="J103" s="349"/>
      <c r="K103" s="349"/>
      <c r="L103" s="349"/>
      <c r="M103" s="349"/>
      <c r="N103" s="349"/>
      <c r="O103" s="349"/>
      <c r="P103" s="349">
        <v>29000</v>
      </c>
      <c r="Q103" s="349"/>
      <c r="R103" s="349"/>
      <c r="S103" s="349"/>
      <c r="T103" s="349"/>
      <c r="U103" s="349"/>
      <c r="V103" s="1050">
        <f t="shared" si="4"/>
        <v>29000</v>
      </c>
      <c r="W103" s="334"/>
    </row>
    <row r="104" spans="1:23" s="338" customFormat="1" ht="18" customHeight="1">
      <c r="A104" s="393"/>
      <c r="B104" s="1057" t="s">
        <v>576</v>
      </c>
      <c r="C104" s="395"/>
      <c r="D104" s="395"/>
      <c r="E104" s="395"/>
      <c r="F104" s="346"/>
      <c r="G104" s="346"/>
      <c r="H104" s="349"/>
      <c r="I104" s="349"/>
      <c r="J104" s="349"/>
      <c r="K104" s="349"/>
      <c r="L104" s="349">
        <v>204</v>
      </c>
      <c r="M104" s="349"/>
      <c r="N104" s="349"/>
      <c r="O104" s="349">
        <v>1000</v>
      </c>
      <c r="P104" s="349"/>
      <c r="Q104" s="349"/>
      <c r="R104" s="349"/>
      <c r="S104" s="349"/>
      <c r="T104" s="349"/>
      <c r="U104" s="349"/>
      <c r="V104" s="1050">
        <f t="shared" si="4"/>
        <v>1204</v>
      </c>
      <c r="W104" s="334"/>
    </row>
    <row r="105" spans="1:23" s="338" customFormat="1" ht="18" customHeight="1">
      <c r="A105" s="320"/>
      <c r="B105" s="1057" t="s">
        <v>636</v>
      </c>
      <c r="C105" s="359"/>
      <c r="D105" s="359"/>
      <c r="E105" s="359"/>
      <c r="F105" s="346"/>
      <c r="G105" s="346"/>
      <c r="H105" s="349"/>
      <c r="I105" s="349"/>
      <c r="J105" s="349"/>
      <c r="K105" s="349"/>
      <c r="L105" s="349">
        <v>150</v>
      </c>
      <c r="M105" s="349"/>
      <c r="N105" s="349"/>
      <c r="O105" s="349"/>
      <c r="P105" s="349"/>
      <c r="Q105" s="349"/>
      <c r="R105" s="349">
        <v>16700</v>
      </c>
      <c r="S105" s="349"/>
      <c r="T105" s="349"/>
      <c r="U105" s="349"/>
      <c r="V105" s="1050">
        <f t="shared" si="4"/>
        <v>16850</v>
      </c>
      <c r="W105" s="334"/>
    </row>
    <row r="106" spans="1:23" s="338" customFormat="1" ht="18" customHeight="1">
      <c r="A106" s="320"/>
      <c r="B106" s="1057" t="s">
        <v>577</v>
      </c>
      <c r="C106" s="359"/>
      <c r="D106" s="359"/>
      <c r="E106" s="359"/>
      <c r="F106" s="346"/>
      <c r="G106" s="346"/>
      <c r="H106" s="349"/>
      <c r="I106" s="349"/>
      <c r="J106" s="349"/>
      <c r="K106" s="349"/>
      <c r="L106" s="349"/>
      <c r="M106" s="349"/>
      <c r="N106" s="349"/>
      <c r="O106" s="349">
        <v>-200</v>
      </c>
      <c r="P106" s="349"/>
      <c r="Q106" s="349"/>
      <c r="R106" s="349">
        <v>-2200</v>
      </c>
      <c r="S106" s="349"/>
      <c r="T106" s="349"/>
      <c r="U106" s="349"/>
      <c r="V106" s="1050">
        <f t="shared" si="4"/>
        <v>-2400</v>
      </c>
      <c r="W106" s="334"/>
    </row>
    <row r="107" spans="1:23" s="338" customFormat="1" ht="18" customHeight="1">
      <c r="A107" s="320"/>
      <c r="B107" s="1057" t="s">
        <v>578</v>
      </c>
      <c r="C107" s="359"/>
      <c r="D107" s="359"/>
      <c r="E107" s="359"/>
      <c r="F107" s="346"/>
      <c r="G107" s="346"/>
      <c r="H107" s="349"/>
      <c r="I107" s="349"/>
      <c r="J107" s="349"/>
      <c r="K107" s="349">
        <v>-919</v>
      </c>
      <c r="L107" s="349">
        <v>150</v>
      </c>
      <c r="M107" s="349"/>
      <c r="N107" s="349"/>
      <c r="O107" s="349">
        <v>-5000</v>
      </c>
      <c r="P107" s="349">
        <v>1220</v>
      </c>
      <c r="Q107" s="349"/>
      <c r="R107" s="349"/>
      <c r="S107" s="349"/>
      <c r="T107" s="349"/>
      <c r="U107" s="349"/>
      <c r="V107" s="1050">
        <f t="shared" si="4"/>
        <v>-4549</v>
      </c>
      <c r="W107" s="334"/>
    </row>
    <row r="108" spans="1:23" s="338" customFormat="1" ht="18" customHeight="1">
      <c r="A108" s="320"/>
      <c r="B108" s="1057" t="s">
        <v>637</v>
      </c>
      <c r="C108" s="359"/>
      <c r="D108" s="359"/>
      <c r="E108" s="359"/>
      <c r="F108" s="346"/>
      <c r="G108" s="346"/>
      <c r="H108" s="349"/>
      <c r="I108" s="349"/>
      <c r="J108" s="349"/>
      <c r="K108" s="349"/>
      <c r="L108" s="349"/>
      <c r="M108" s="349"/>
      <c r="N108" s="349"/>
      <c r="O108" s="349">
        <v>-2000</v>
      </c>
      <c r="P108" s="349">
        <v>3000</v>
      </c>
      <c r="Q108" s="349"/>
      <c r="R108" s="349"/>
      <c r="S108" s="349"/>
      <c r="T108" s="349"/>
      <c r="U108" s="349"/>
      <c r="V108" s="1050">
        <f t="shared" si="4"/>
        <v>1000</v>
      </c>
      <c r="W108" s="334"/>
    </row>
    <row r="109" spans="1:23" s="338" customFormat="1" ht="18" customHeight="1">
      <c r="A109" s="320"/>
      <c r="B109" s="1057" t="s">
        <v>579</v>
      </c>
      <c r="C109" s="359"/>
      <c r="D109" s="359"/>
      <c r="E109" s="359"/>
      <c r="F109" s="346"/>
      <c r="G109" s="346"/>
      <c r="H109" s="349"/>
      <c r="I109" s="349"/>
      <c r="J109" s="349"/>
      <c r="K109" s="349">
        <v>-600</v>
      </c>
      <c r="L109" s="349">
        <v>150</v>
      </c>
      <c r="M109" s="349"/>
      <c r="N109" s="349"/>
      <c r="O109" s="349"/>
      <c r="P109" s="349">
        <v>29000</v>
      </c>
      <c r="Q109" s="349"/>
      <c r="R109" s="349">
        <v>-2500</v>
      </c>
      <c r="S109" s="349"/>
      <c r="T109" s="349"/>
      <c r="U109" s="349"/>
      <c r="V109" s="1050">
        <f t="shared" si="4"/>
        <v>26050</v>
      </c>
      <c r="W109" s="334"/>
    </row>
    <row r="110" spans="1:23" s="338" customFormat="1" ht="18" customHeight="1">
      <c r="A110" s="320"/>
      <c r="B110" s="1057" t="s">
        <v>580</v>
      </c>
      <c r="C110" s="359"/>
      <c r="D110" s="359"/>
      <c r="E110" s="359"/>
      <c r="F110" s="346"/>
      <c r="G110" s="346"/>
      <c r="H110" s="349"/>
      <c r="I110" s="349"/>
      <c r="J110" s="349"/>
      <c r="K110" s="349">
        <v>-441</v>
      </c>
      <c r="L110" s="349"/>
      <c r="M110" s="349"/>
      <c r="N110" s="349"/>
      <c r="O110" s="349"/>
      <c r="P110" s="349"/>
      <c r="Q110" s="349"/>
      <c r="R110" s="349"/>
      <c r="S110" s="349"/>
      <c r="T110" s="349"/>
      <c r="U110" s="349"/>
      <c r="V110" s="1050">
        <f t="shared" si="4"/>
        <v>-441</v>
      </c>
      <c r="W110" s="334"/>
    </row>
    <row r="111" spans="1:23" s="338" customFormat="1" ht="18" customHeight="1">
      <c r="A111" s="320"/>
      <c r="B111" s="1057" t="s">
        <v>581</v>
      </c>
      <c r="C111" s="359"/>
      <c r="D111" s="359"/>
      <c r="E111" s="359"/>
      <c r="F111" s="346"/>
      <c r="G111" s="346"/>
      <c r="H111" s="349"/>
      <c r="I111" s="349"/>
      <c r="J111" s="349">
        <v>-355</v>
      </c>
      <c r="K111" s="349">
        <v>-250</v>
      </c>
      <c r="L111" s="349">
        <v>937</v>
      </c>
      <c r="M111" s="349"/>
      <c r="N111" s="349">
        <v>-250</v>
      </c>
      <c r="O111" s="349">
        <v>1400</v>
      </c>
      <c r="P111" s="349">
        <v>-332</v>
      </c>
      <c r="Q111" s="349"/>
      <c r="R111" s="349"/>
      <c r="S111" s="349"/>
      <c r="T111" s="349"/>
      <c r="U111" s="349"/>
      <c r="V111" s="1050">
        <f t="shared" si="4"/>
        <v>1150</v>
      </c>
      <c r="W111" s="334"/>
    </row>
    <row r="112" spans="1:23" s="338" customFormat="1" ht="18" customHeight="1">
      <c r="A112" s="320"/>
      <c r="B112" s="1057" t="s">
        <v>582</v>
      </c>
      <c r="C112" s="359"/>
      <c r="D112" s="359"/>
      <c r="E112" s="359"/>
      <c r="F112" s="346"/>
      <c r="G112" s="346"/>
      <c r="H112" s="349"/>
      <c r="I112" s="349"/>
      <c r="J112" s="349"/>
      <c r="K112" s="349"/>
      <c r="L112" s="349"/>
      <c r="M112" s="349"/>
      <c r="N112" s="349"/>
      <c r="O112" s="349">
        <v>-500</v>
      </c>
      <c r="P112" s="349">
        <v>29000</v>
      </c>
      <c r="Q112" s="349"/>
      <c r="R112" s="349"/>
      <c r="S112" s="349"/>
      <c r="T112" s="349"/>
      <c r="U112" s="349"/>
      <c r="V112" s="1050">
        <f t="shared" si="4"/>
        <v>28500</v>
      </c>
      <c r="W112" s="334"/>
    </row>
    <row r="113" spans="1:23" s="338" customFormat="1" ht="18" customHeight="1">
      <c r="A113" s="320"/>
      <c r="B113" s="1057" t="s">
        <v>583</v>
      </c>
      <c r="C113" s="359"/>
      <c r="D113" s="359"/>
      <c r="E113" s="359"/>
      <c r="F113" s="346"/>
      <c r="G113" s="346"/>
      <c r="H113" s="349"/>
      <c r="I113" s="349"/>
      <c r="J113" s="349"/>
      <c r="K113" s="349"/>
      <c r="L113" s="349"/>
      <c r="M113" s="349"/>
      <c r="N113" s="349"/>
      <c r="O113" s="349">
        <v>500</v>
      </c>
      <c r="P113" s="349">
        <v>18000</v>
      </c>
      <c r="Q113" s="349"/>
      <c r="R113" s="349"/>
      <c r="S113" s="349"/>
      <c r="T113" s="349"/>
      <c r="U113" s="349"/>
      <c r="V113" s="1050">
        <f t="shared" si="4"/>
        <v>18500</v>
      </c>
      <c r="W113" s="334"/>
    </row>
    <row r="114" spans="1:23" s="338" customFormat="1" ht="18" customHeight="1">
      <c r="A114" s="320"/>
      <c r="B114" s="1057" t="s">
        <v>584</v>
      </c>
      <c r="C114" s="359"/>
      <c r="D114" s="359"/>
      <c r="E114" s="359"/>
      <c r="F114" s="346"/>
      <c r="G114" s="346"/>
      <c r="H114" s="349"/>
      <c r="I114" s="349"/>
      <c r="J114" s="349"/>
      <c r="K114" s="349"/>
      <c r="L114" s="349"/>
      <c r="M114" s="349"/>
      <c r="N114" s="349"/>
      <c r="O114" s="349">
        <v>-700</v>
      </c>
      <c r="P114" s="349"/>
      <c r="Q114" s="349"/>
      <c r="R114" s="349">
        <v>-5600</v>
      </c>
      <c r="S114" s="349"/>
      <c r="T114" s="349"/>
      <c r="U114" s="349"/>
      <c r="V114" s="1050">
        <f t="shared" si="4"/>
        <v>-6300</v>
      </c>
      <c r="W114" s="334"/>
    </row>
    <row r="115" spans="1:23" s="338" customFormat="1" ht="18" customHeight="1">
      <c r="A115" s="320"/>
      <c r="B115" s="1057" t="s">
        <v>786</v>
      </c>
      <c r="C115" s="359"/>
      <c r="D115" s="359"/>
      <c r="E115" s="359"/>
      <c r="F115" s="346"/>
      <c r="G115" s="346"/>
      <c r="H115" s="349"/>
      <c r="I115" s="349"/>
      <c r="J115" s="349"/>
      <c r="K115" s="349"/>
      <c r="L115" s="349"/>
      <c r="M115" s="349"/>
      <c r="N115" s="349"/>
      <c r="O115" s="349">
        <v>900</v>
      </c>
      <c r="P115" s="349"/>
      <c r="Q115" s="349"/>
      <c r="R115" s="349"/>
      <c r="S115" s="349"/>
      <c r="T115" s="349"/>
      <c r="U115" s="349"/>
      <c r="V115" s="1050">
        <f t="shared" si="4"/>
        <v>900</v>
      </c>
      <c r="W115" s="334"/>
    </row>
    <row r="116" spans="1:23" s="338" customFormat="1" ht="17.25" customHeight="1">
      <c r="A116" s="320"/>
      <c r="B116" s="1057" t="s">
        <v>787</v>
      </c>
      <c r="C116" s="359"/>
      <c r="D116" s="359"/>
      <c r="E116" s="359"/>
      <c r="F116" s="346"/>
      <c r="G116" s="346"/>
      <c r="H116" s="349"/>
      <c r="I116" s="349"/>
      <c r="J116" s="349"/>
      <c r="K116" s="349"/>
      <c r="L116" s="349"/>
      <c r="M116" s="349"/>
      <c r="N116" s="349"/>
      <c r="O116" s="349"/>
      <c r="P116" s="349">
        <v>29000</v>
      </c>
      <c r="Q116" s="349"/>
      <c r="R116" s="349"/>
      <c r="S116" s="349"/>
      <c r="T116" s="349"/>
      <c r="U116" s="349"/>
      <c r="V116" s="1050">
        <f t="shared" si="4"/>
        <v>29000</v>
      </c>
      <c r="W116" s="334"/>
    </row>
    <row r="117" spans="1:23" s="338" customFormat="1" ht="17.25" customHeight="1">
      <c r="A117" s="320"/>
      <c r="B117" s="1057" t="s">
        <v>585</v>
      </c>
      <c r="C117" s="359"/>
      <c r="D117" s="359"/>
      <c r="E117" s="359"/>
      <c r="F117" s="346"/>
      <c r="G117" s="346"/>
      <c r="H117" s="349"/>
      <c r="I117" s="349"/>
      <c r="J117" s="349"/>
      <c r="K117" s="349">
        <v>-270</v>
      </c>
      <c r="L117" s="349"/>
      <c r="M117" s="349"/>
      <c r="N117" s="349"/>
      <c r="O117" s="349"/>
      <c r="P117" s="349">
        <v>500</v>
      </c>
      <c r="Q117" s="349"/>
      <c r="R117" s="349"/>
      <c r="S117" s="349"/>
      <c r="T117" s="349"/>
      <c r="U117" s="349"/>
      <c r="V117" s="1050">
        <f t="shared" si="4"/>
        <v>230</v>
      </c>
      <c r="W117" s="334"/>
    </row>
    <row r="118" spans="1:23" s="338" customFormat="1" ht="17.25" customHeight="1">
      <c r="A118" s="320"/>
      <c r="B118" s="1057" t="s">
        <v>603</v>
      </c>
      <c r="C118" s="359"/>
      <c r="D118" s="359"/>
      <c r="E118" s="359"/>
      <c r="F118" s="346"/>
      <c r="G118" s="346"/>
      <c r="H118" s="349"/>
      <c r="I118" s="349"/>
      <c r="J118" s="349"/>
      <c r="K118" s="349"/>
      <c r="L118" s="349"/>
      <c r="M118" s="349"/>
      <c r="N118" s="349"/>
      <c r="O118" s="349"/>
      <c r="P118" s="349">
        <v>15000</v>
      </c>
      <c r="Q118" s="349">
        <v>90</v>
      </c>
      <c r="R118" s="349"/>
      <c r="S118" s="349">
        <v>8</v>
      </c>
      <c r="T118" s="349"/>
      <c r="U118" s="349"/>
      <c r="V118" s="1050">
        <f t="shared" si="4"/>
        <v>15098</v>
      </c>
      <c r="W118" s="334"/>
    </row>
    <row r="119" spans="1:23" s="338" customFormat="1" ht="18" customHeight="1">
      <c r="A119" s="320"/>
      <c r="B119" s="1057" t="s">
        <v>604</v>
      </c>
      <c r="C119" s="359"/>
      <c r="D119" s="359"/>
      <c r="E119" s="359"/>
      <c r="F119" s="346"/>
      <c r="G119" s="346"/>
      <c r="H119" s="349"/>
      <c r="I119" s="349"/>
      <c r="J119" s="349"/>
      <c r="K119" s="349">
        <v>-230</v>
      </c>
      <c r="L119" s="349"/>
      <c r="M119" s="349"/>
      <c r="N119" s="349"/>
      <c r="O119" s="349"/>
      <c r="P119" s="349"/>
      <c r="Q119" s="349"/>
      <c r="R119" s="349"/>
      <c r="S119" s="349"/>
      <c r="T119" s="349"/>
      <c r="U119" s="349"/>
      <c r="V119" s="1050">
        <f t="shared" si="4"/>
        <v>-230</v>
      </c>
      <c r="W119" s="334"/>
    </row>
    <row r="120" spans="1:23" s="338" customFormat="1" ht="18" customHeight="1">
      <c r="A120" s="320"/>
      <c r="B120" s="1057" t="s">
        <v>614</v>
      </c>
      <c r="C120" s="359"/>
      <c r="D120" s="359"/>
      <c r="E120" s="359"/>
      <c r="F120" s="346"/>
      <c r="G120" s="346"/>
      <c r="H120" s="349"/>
      <c r="I120" s="349"/>
      <c r="J120" s="349"/>
      <c r="K120" s="349">
        <v>-1717</v>
      </c>
      <c r="L120" s="349"/>
      <c r="M120" s="349"/>
      <c r="N120" s="349"/>
      <c r="O120" s="349">
        <v>900</v>
      </c>
      <c r="P120" s="349"/>
      <c r="Q120" s="349"/>
      <c r="R120" s="349"/>
      <c r="S120" s="349"/>
      <c r="T120" s="349"/>
      <c r="U120" s="349"/>
      <c r="V120" s="1050">
        <f t="shared" si="4"/>
        <v>-817</v>
      </c>
      <c r="W120" s="334"/>
    </row>
    <row r="121" spans="1:23" s="338" customFormat="1" ht="18" customHeight="1">
      <c r="A121" s="320"/>
      <c r="B121" s="1057" t="s">
        <v>615</v>
      </c>
      <c r="C121" s="359"/>
      <c r="D121" s="359"/>
      <c r="E121" s="359"/>
      <c r="F121" s="346"/>
      <c r="G121" s="346"/>
      <c r="H121" s="349"/>
      <c r="I121" s="349"/>
      <c r="J121" s="349"/>
      <c r="K121" s="349"/>
      <c r="L121" s="349">
        <v>150</v>
      </c>
      <c r="M121" s="349"/>
      <c r="N121" s="349"/>
      <c r="O121" s="349">
        <v>700</v>
      </c>
      <c r="P121" s="349"/>
      <c r="Q121" s="349"/>
      <c r="R121" s="349">
        <v>-1400</v>
      </c>
      <c r="S121" s="349"/>
      <c r="T121" s="349"/>
      <c r="U121" s="349"/>
      <c r="V121" s="1050">
        <f t="shared" si="4"/>
        <v>-550</v>
      </c>
      <c r="W121" s="334"/>
    </row>
    <row r="122" spans="1:23" s="338" customFormat="1" ht="18" customHeight="1">
      <c r="A122" s="320"/>
      <c r="B122" s="1057" t="s">
        <v>616</v>
      </c>
      <c r="C122" s="359"/>
      <c r="D122" s="359"/>
      <c r="E122" s="359"/>
      <c r="F122" s="346"/>
      <c r="G122" s="346"/>
      <c r="H122" s="349"/>
      <c r="I122" s="349"/>
      <c r="J122" s="349"/>
      <c r="K122" s="349"/>
      <c r="L122" s="349"/>
      <c r="M122" s="349"/>
      <c r="N122" s="349"/>
      <c r="O122" s="349">
        <v>-1000</v>
      </c>
      <c r="P122" s="349">
        <v>16500</v>
      </c>
      <c r="Q122" s="349"/>
      <c r="R122" s="349"/>
      <c r="S122" s="349"/>
      <c r="T122" s="349"/>
      <c r="U122" s="349"/>
      <c r="V122" s="1050">
        <f t="shared" si="4"/>
        <v>15500</v>
      </c>
      <c r="W122" s="334"/>
    </row>
    <row r="123" spans="1:23" s="338" customFormat="1" ht="18" customHeight="1">
      <c r="A123" s="320"/>
      <c r="B123" s="1057" t="s">
        <v>788</v>
      </c>
      <c r="C123" s="359"/>
      <c r="D123" s="359"/>
      <c r="E123" s="359"/>
      <c r="F123" s="346"/>
      <c r="G123" s="346"/>
      <c r="H123" s="349"/>
      <c r="I123" s="349"/>
      <c r="J123" s="349"/>
      <c r="K123" s="349">
        <v>-470</v>
      </c>
      <c r="L123" s="349">
        <v>150</v>
      </c>
      <c r="M123" s="349"/>
      <c r="N123" s="349"/>
      <c r="O123" s="349">
        <v>1000</v>
      </c>
      <c r="P123" s="349"/>
      <c r="Q123" s="349"/>
      <c r="R123" s="349"/>
      <c r="S123" s="349"/>
      <c r="T123" s="349"/>
      <c r="U123" s="349"/>
      <c r="V123" s="1050">
        <f t="shared" si="4"/>
        <v>680</v>
      </c>
      <c r="W123" s="334"/>
    </row>
    <row r="124" spans="1:23" s="338" customFormat="1" ht="18" customHeight="1">
      <c r="A124" s="320"/>
      <c r="B124" s="1057" t="s">
        <v>617</v>
      </c>
      <c r="C124" s="359"/>
      <c r="D124" s="359"/>
      <c r="E124" s="359"/>
      <c r="F124" s="346"/>
      <c r="G124" s="346"/>
      <c r="H124" s="349"/>
      <c r="I124" s="349"/>
      <c r="J124" s="349"/>
      <c r="K124" s="349">
        <v>-240</v>
      </c>
      <c r="L124" s="349"/>
      <c r="M124" s="349"/>
      <c r="N124" s="349"/>
      <c r="O124" s="349"/>
      <c r="P124" s="349"/>
      <c r="Q124" s="349"/>
      <c r="R124" s="349">
        <v>-700</v>
      </c>
      <c r="S124" s="349"/>
      <c r="T124" s="349"/>
      <c r="U124" s="349"/>
      <c r="V124" s="1050">
        <f t="shared" si="4"/>
        <v>-940</v>
      </c>
      <c r="W124" s="334"/>
    </row>
    <row r="125" spans="1:23" s="338" customFormat="1" ht="18" customHeight="1">
      <c r="A125" s="320"/>
      <c r="B125" s="1057" t="s">
        <v>618</v>
      </c>
      <c r="C125" s="359"/>
      <c r="D125" s="359"/>
      <c r="E125" s="359"/>
      <c r="F125" s="346"/>
      <c r="G125" s="346"/>
      <c r="H125" s="349"/>
      <c r="I125" s="349"/>
      <c r="J125" s="349"/>
      <c r="K125" s="349">
        <v>-260</v>
      </c>
      <c r="L125" s="349"/>
      <c r="M125" s="349"/>
      <c r="N125" s="349"/>
      <c r="O125" s="349">
        <v>-600</v>
      </c>
      <c r="P125" s="349"/>
      <c r="Q125" s="349"/>
      <c r="R125" s="349"/>
      <c r="S125" s="349"/>
      <c r="T125" s="349"/>
      <c r="U125" s="349"/>
      <c r="V125" s="1050">
        <f t="shared" si="4"/>
        <v>-860</v>
      </c>
      <c r="W125" s="334"/>
    </row>
    <row r="126" spans="1:23" s="338" customFormat="1" ht="18" customHeight="1">
      <c r="A126" s="320"/>
      <c r="B126" s="1057" t="s">
        <v>619</v>
      </c>
      <c r="C126" s="359"/>
      <c r="D126" s="359"/>
      <c r="E126" s="359"/>
      <c r="F126" s="346"/>
      <c r="G126" s="346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>
        <v>-700</v>
      </c>
      <c r="S126" s="349"/>
      <c r="T126" s="349"/>
      <c r="U126" s="349"/>
      <c r="V126" s="1050">
        <f t="shared" si="4"/>
        <v>-700</v>
      </c>
      <c r="W126" s="334"/>
    </row>
    <row r="127" spans="1:23" s="338" customFormat="1" ht="18" customHeight="1">
      <c r="A127" s="320"/>
      <c r="B127" s="1057" t="s">
        <v>738</v>
      </c>
      <c r="C127" s="359"/>
      <c r="D127" s="359"/>
      <c r="E127" s="359"/>
      <c r="F127" s="346"/>
      <c r="G127" s="346"/>
      <c r="H127" s="349"/>
      <c r="I127" s="349"/>
      <c r="J127" s="349"/>
      <c r="K127" s="349"/>
      <c r="L127" s="349">
        <v>300</v>
      </c>
      <c r="M127" s="349"/>
      <c r="N127" s="349"/>
      <c r="O127" s="349">
        <v>2600</v>
      </c>
      <c r="P127" s="349">
        <v>13000</v>
      </c>
      <c r="Q127" s="349">
        <v>445</v>
      </c>
      <c r="R127" s="349"/>
      <c r="S127" s="349">
        <v>85</v>
      </c>
      <c r="T127" s="349"/>
      <c r="U127" s="349"/>
      <c r="V127" s="1050">
        <f t="shared" si="4"/>
        <v>16430</v>
      </c>
      <c r="W127" s="334"/>
    </row>
    <row r="128" spans="1:23" s="338" customFormat="1" ht="18" customHeight="1">
      <c r="A128" s="320"/>
      <c r="B128" s="1057" t="s">
        <v>620</v>
      </c>
      <c r="C128" s="359"/>
      <c r="D128" s="359"/>
      <c r="E128" s="359"/>
      <c r="F128" s="346"/>
      <c r="G128" s="346"/>
      <c r="H128" s="349"/>
      <c r="I128" s="349"/>
      <c r="J128" s="349">
        <v>107</v>
      </c>
      <c r="K128" s="349"/>
      <c r="L128" s="349">
        <v>282</v>
      </c>
      <c r="M128" s="349"/>
      <c r="N128" s="349"/>
      <c r="O128" s="349">
        <v>2000</v>
      </c>
      <c r="P128" s="349"/>
      <c r="Q128" s="349">
        <v>226</v>
      </c>
      <c r="R128" s="349"/>
      <c r="S128" s="349"/>
      <c r="T128" s="349"/>
      <c r="U128" s="349"/>
      <c r="V128" s="1050">
        <f t="shared" si="4"/>
        <v>2615</v>
      </c>
      <c r="W128" s="334"/>
    </row>
    <row r="129" spans="1:23" s="338" customFormat="1" ht="18" customHeight="1">
      <c r="A129" s="320"/>
      <c r="B129" s="1057" t="s">
        <v>621</v>
      </c>
      <c r="C129" s="359"/>
      <c r="D129" s="359"/>
      <c r="E129" s="359"/>
      <c r="F129" s="346"/>
      <c r="G129" s="346"/>
      <c r="H129" s="349"/>
      <c r="I129" s="349"/>
      <c r="J129" s="349"/>
      <c r="K129" s="349"/>
      <c r="L129" s="349">
        <v>2250</v>
      </c>
      <c r="M129" s="349"/>
      <c r="N129" s="349"/>
      <c r="O129" s="349">
        <v>-1800</v>
      </c>
      <c r="P129" s="349"/>
      <c r="Q129" s="349"/>
      <c r="R129" s="349"/>
      <c r="S129" s="349"/>
      <c r="T129" s="349"/>
      <c r="U129" s="349"/>
      <c r="V129" s="1050">
        <f t="shared" si="4"/>
        <v>450</v>
      </c>
      <c r="W129" s="334"/>
    </row>
    <row r="130" spans="1:23" s="338" customFormat="1" ht="18" customHeight="1">
      <c r="A130" s="320"/>
      <c r="B130" s="1057" t="s">
        <v>343</v>
      </c>
      <c r="C130" s="359"/>
      <c r="D130" s="359"/>
      <c r="E130" s="359"/>
      <c r="F130" s="346"/>
      <c r="G130" s="346"/>
      <c r="H130" s="349"/>
      <c r="I130" s="349"/>
      <c r="J130" s="349"/>
      <c r="K130" s="349">
        <v>270</v>
      </c>
      <c r="L130" s="349"/>
      <c r="M130" s="349"/>
      <c r="N130" s="349"/>
      <c r="O130" s="349">
        <v>-500</v>
      </c>
      <c r="P130" s="349">
        <v>18000</v>
      </c>
      <c r="Q130" s="349"/>
      <c r="R130" s="349">
        <v>-2400</v>
      </c>
      <c r="S130" s="349"/>
      <c r="T130" s="349"/>
      <c r="U130" s="349"/>
      <c r="V130" s="1050">
        <f t="shared" si="4"/>
        <v>15370</v>
      </c>
      <c r="W130" s="334"/>
    </row>
    <row r="131" spans="1:23" s="338" customFormat="1" ht="18" customHeight="1">
      <c r="A131" s="320"/>
      <c r="B131" s="1057" t="s">
        <v>622</v>
      </c>
      <c r="C131" s="359"/>
      <c r="D131" s="359"/>
      <c r="E131" s="359"/>
      <c r="F131" s="346"/>
      <c r="G131" s="346"/>
      <c r="H131" s="349"/>
      <c r="I131" s="349"/>
      <c r="J131" s="349"/>
      <c r="K131" s="349"/>
      <c r="L131" s="349"/>
      <c r="M131" s="349"/>
      <c r="N131" s="349"/>
      <c r="O131" s="349">
        <v>3000</v>
      </c>
      <c r="P131" s="349"/>
      <c r="Q131" s="349"/>
      <c r="R131" s="349">
        <v>200</v>
      </c>
      <c r="S131" s="349"/>
      <c r="T131" s="349"/>
      <c r="U131" s="349"/>
      <c r="V131" s="1050">
        <f t="shared" si="4"/>
        <v>3200</v>
      </c>
      <c r="W131" s="334"/>
    </row>
    <row r="132" spans="1:23" s="338" customFormat="1" ht="18" customHeight="1">
      <c r="A132" s="320"/>
      <c r="B132" s="1057" t="s">
        <v>623</v>
      </c>
      <c r="C132" s="359"/>
      <c r="D132" s="359"/>
      <c r="E132" s="359"/>
      <c r="F132" s="346"/>
      <c r="G132" s="346"/>
      <c r="H132" s="349"/>
      <c r="I132" s="349"/>
      <c r="J132" s="349"/>
      <c r="K132" s="349"/>
      <c r="L132" s="349"/>
      <c r="M132" s="349"/>
      <c r="N132" s="349"/>
      <c r="O132" s="349">
        <v>-4500</v>
      </c>
      <c r="P132" s="349"/>
      <c r="Q132" s="349"/>
      <c r="R132" s="349"/>
      <c r="S132" s="349"/>
      <c r="T132" s="349"/>
      <c r="U132" s="349"/>
      <c r="V132" s="1050">
        <f t="shared" si="4"/>
        <v>-4500</v>
      </c>
      <c r="W132" s="334"/>
    </row>
    <row r="133" spans="1:23" s="338" customFormat="1" ht="18.75" customHeight="1">
      <c r="A133" s="320"/>
      <c r="B133" s="1057" t="s">
        <v>624</v>
      </c>
      <c r="C133" s="359"/>
      <c r="D133" s="359"/>
      <c r="E133" s="359"/>
      <c r="F133" s="346"/>
      <c r="G133" s="346"/>
      <c r="H133" s="349"/>
      <c r="I133" s="349"/>
      <c r="J133" s="349"/>
      <c r="K133" s="349">
        <v>-300</v>
      </c>
      <c r="L133" s="349">
        <v>150</v>
      </c>
      <c r="M133" s="349"/>
      <c r="N133" s="349"/>
      <c r="O133" s="349"/>
      <c r="P133" s="349">
        <v>29000</v>
      </c>
      <c r="Q133" s="349"/>
      <c r="R133" s="349"/>
      <c r="S133" s="349"/>
      <c r="T133" s="349"/>
      <c r="U133" s="349"/>
      <c r="V133" s="1050">
        <f t="shared" si="4"/>
        <v>28850</v>
      </c>
      <c r="W133" s="334"/>
    </row>
    <row r="134" spans="1:23" s="338" customFormat="1" ht="18.75" customHeight="1">
      <c r="A134" s="320"/>
      <c r="B134" s="1057" t="s">
        <v>789</v>
      </c>
      <c r="C134" s="359"/>
      <c r="D134" s="359"/>
      <c r="E134" s="359"/>
      <c r="F134" s="346"/>
      <c r="G134" s="346"/>
      <c r="H134" s="349"/>
      <c r="I134" s="349"/>
      <c r="J134" s="349"/>
      <c r="K134" s="349"/>
      <c r="L134" s="349">
        <v>150</v>
      </c>
      <c r="M134" s="349"/>
      <c r="N134" s="349"/>
      <c r="O134" s="349"/>
      <c r="P134" s="349"/>
      <c r="Q134" s="349"/>
      <c r="R134" s="349"/>
      <c r="S134" s="349"/>
      <c r="T134" s="349"/>
      <c r="U134" s="349"/>
      <c r="V134" s="1050">
        <f t="shared" si="4"/>
        <v>150</v>
      </c>
      <c r="W134" s="334"/>
    </row>
    <row r="135" spans="1:23" s="338" customFormat="1" ht="18.75" customHeight="1">
      <c r="A135" s="320"/>
      <c r="B135" s="1057" t="s">
        <v>625</v>
      </c>
      <c r="C135" s="359"/>
      <c r="D135" s="359"/>
      <c r="E135" s="359"/>
      <c r="F135" s="346"/>
      <c r="G135" s="346"/>
      <c r="H135" s="349"/>
      <c r="I135" s="349"/>
      <c r="J135" s="349"/>
      <c r="K135" s="349"/>
      <c r="L135" s="349">
        <v>150</v>
      </c>
      <c r="M135" s="349"/>
      <c r="N135" s="349"/>
      <c r="O135" s="349"/>
      <c r="P135" s="349"/>
      <c r="Q135" s="349"/>
      <c r="R135" s="349"/>
      <c r="S135" s="349"/>
      <c r="T135" s="349"/>
      <c r="U135" s="349"/>
      <c r="V135" s="1050">
        <f t="shared" si="4"/>
        <v>150</v>
      </c>
      <c r="W135" s="334"/>
    </row>
    <row r="136" spans="1:23" s="338" customFormat="1" ht="18.75" customHeight="1">
      <c r="A136" s="320"/>
      <c r="B136" s="1057" t="s">
        <v>626</v>
      </c>
      <c r="C136" s="359"/>
      <c r="D136" s="359"/>
      <c r="E136" s="359"/>
      <c r="F136" s="346"/>
      <c r="G136" s="346"/>
      <c r="H136" s="349"/>
      <c r="I136" s="349"/>
      <c r="J136" s="349"/>
      <c r="K136" s="349"/>
      <c r="L136" s="349"/>
      <c r="M136" s="349"/>
      <c r="N136" s="349"/>
      <c r="O136" s="349">
        <v>1000</v>
      </c>
      <c r="P136" s="349"/>
      <c r="Q136" s="349"/>
      <c r="R136" s="349">
        <v>-2000</v>
      </c>
      <c r="S136" s="349"/>
      <c r="T136" s="349"/>
      <c r="U136" s="349"/>
      <c r="V136" s="1050">
        <f t="shared" si="4"/>
        <v>-1000</v>
      </c>
      <c r="W136" s="334"/>
    </row>
    <row r="137" spans="1:23" s="338" customFormat="1" ht="18.75" customHeight="1">
      <c r="A137" s="320"/>
      <c r="B137" s="1057" t="s">
        <v>627</v>
      </c>
      <c r="C137" s="359"/>
      <c r="D137" s="359"/>
      <c r="E137" s="359"/>
      <c r="F137" s="346"/>
      <c r="G137" s="346"/>
      <c r="H137" s="349"/>
      <c r="I137" s="349"/>
      <c r="J137" s="349"/>
      <c r="K137" s="349"/>
      <c r="L137" s="349"/>
      <c r="M137" s="349"/>
      <c r="N137" s="349"/>
      <c r="O137" s="349">
        <v>-400</v>
      </c>
      <c r="P137" s="349">
        <v>20000</v>
      </c>
      <c r="Q137" s="349"/>
      <c r="R137" s="349"/>
      <c r="S137" s="349"/>
      <c r="T137" s="349"/>
      <c r="U137" s="349"/>
      <c r="V137" s="1050">
        <f t="shared" si="4"/>
        <v>19600</v>
      </c>
      <c r="W137" s="334"/>
    </row>
    <row r="138" spans="1:23" s="338" customFormat="1" ht="18.75" customHeight="1">
      <c r="A138" s="320"/>
      <c r="B138" s="1057" t="s">
        <v>628</v>
      </c>
      <c r="C138" s="359"/>
      <c r="D138" s="359"/>
      <c r="E138" s="359"/>
      <c r="F138" s="346"/>
      <c r="G138" s="346"/>
      <c r="H138" s="349"/>
      <c r="I138" s="349"/>
      <c r="J138" s="349"/>
      <c r="K138" s="349"/>
      <c r="L138" s="349"/>
      <c r="M138" s="349"/>
      <c r="N138" s="349"/>
      <c r="O138" s="349">
        <v>800</v>
      </c>
      <c r="P138" s="349"/>
      <c r="Q138" s="349"/>
      <c r="R138" s="349"/>
      <c r="S138" s="349"/>
      <c r="T138" s="349"/>
      <c r="U138" s="349"/>
      <c r="V138" s="1050">
        <f t="shared" si="4"/>
        <v>800</v>
      </c>
      <c r="W138" s="334"/>
    </row>
    <row r="139" spans="1:23" s="338" customFormat="1" ht="18.75" customHeight="1">
      <c r="A139" s="320"/>
      <c r="B139" s="1057" t="s">
        <v>344</v>
      </c>
      <c r="C139" s="359"/>
      <c r="D139" s="359"/>
      <c r="E139" s="359"/>
      <c r="F139" s="346"/>
      <c r="G139" s="346"/>
      <c r="H139" s="349"/>
      <c r="I139" s="349"/>
      <c r="J139" s="349"/>
      <c r="K139" s="349"/>
      <c r="L139" s="349">
        <v>150</v>
      </c>
      <c r="M139" s="349"/>
      <c r="N139" s="349"/>
      <c r="O139" s="349"/>
      <c r="P139" s="349"/>
      <c r="Q139" s="349"/>
      <c r="R139" s="349">
        <v>-1600</v>
      </c>
      <c r="S139" s="349"/>
      <c r="T139" s="349"/>
      <c r="U139" s="349"/>
      <c r="V139" s="1050">
        <f aca="true" t="shared" si="6" ref="V139:V202">SUM(F139:U139)</f>
        <v>-1450</v>
      </c>
      <c r="W139" s="334"/>
    </row>
    <row r="140" spans="1:23" s="338" customFormat="1" ht="18.75" customHeight="1">
      <c r="A140" s="393"/>
      <c r="B140" s="1057" t="s">
        <v>629</v>
      </c>
      <c r="C140" s="395"/>
      <c r="D140" s="395"/>
      <c r="E140" s="395"/>
      <c r="F140" s="346"/>
      <c r="G140" s="346"/>
      <c r="H140" s="349"/>
      <c r="I140" s="349"/>
      <c r="J140" s="349"/>
      <c r="K140" s="349"/>
      <c r="L140" s="349">
        <v>150</v>
      </c>
      <c r="M140" s="349"/>
      <c r="N140" s="349"/>
      <c r="O140" s="349"/>
      <c r="P140" s="349">
        <v>29300</v>
      </c>
      <c r="Q140" s="349"/>
      <c r="R140" s="349"/>
      <c r="S140" s="349"/>
      <c r="T140" s="349"/>
      <c r="U140" s="349"/>
      <c r="V140" s="1050">
        <f t="shared" si="6"/>
        <v>29450</v>
      </c>
      <c r="W140" s="334"/>
    </row>
    <row r="141" spans="1:23" s="338" customFormat="1" ht="18.75" customHeight="1">
      <c r="A141" s="320"/>
      <c r="B141" s="1057" t="s">
        <v>630</v>
      </c>
      <c r="C141" s="359"/>
      <c r="D141" s="359"/>
      <c r="E141" s="359"/>
      <c r="F141" s="346"/>
      <c r="G141" s="346"/>
      <c r="H141" s="349"/>
      <c r="I141" s="349"/>
      <c r="J141" s="349"/>
      <c r="K141" s="349"/>
      <c r="L141" s="349">
        <v>150</v>
      </c>
      <c r="M141" s="349"/>
      <c r="N141" s="349"/>
      <c r="O141" s="349">
        <v>1000</v>
      </c>
      <c r="P141" s="349">
        <v>9400</v>
      </c>
      <c r="Q141" s="349">
        <v>110</v>
      </c>
      <c r="R141" s="349"/>
      <c r="S141" s="349"/>
      <c r="T141" s="349"/>
      <c r="U141" s="349"/>
      <c r="V141" s="1050">
        <f t="shared" si="6"/>
        <v>10660</v>
      </c>
      <c r="W141" s="334"/>
    </row>
    <row r="142" spans="1:23" s="338" customFormat="1" ht="18.75" customHeight="1" thickBot="1">
      <c r="A142" s="320"/>
      <c r="B142" s="1057" t="s">
        <v>790</v>
      </c>
      <c r="C142" s="359"/>
      <c r="D142" s="359"/>
      <c r="E142" s="359"/>
      <c r="F142" s="346"/>
      <c r="G142" s="346"/>
      <c r="H142" s="349"/>
      <c r="I142" s="349"/>
      <c r="J142" s="349"/>
      <c r="K142" s="349"/>
      <c r="L142" s="349">
        <v>198</v>
      </c>
      <c r="M142" s="349"/>
      <c r="N142" s="349"/>
      <c r="O142" s="349">
        <v>-2000</v>
      </c>
      <c r="P142" s="349"/>
      <c r="Q142" s="349">
        <v>60</v>
      </c>
      <c r="R142" s="349"/>
      <c r="S142" s="349">
        <v>34</v>
      </c>
      <c r="T142" s="349"/>
      <c r="U142" s="349"/>
      <c r="V142" s="1050">
        <f t="shared" si="6"/>
        <v>-1708</v>
      </c>
      <c r="W142" s="334"/>
    </row>
    <row r="143" spans="1:44" ht="18" customHeight="1" thickBot="1">
      <c r="A143" s="313">
        <v>80105</v>
      </c>
      <c r="B143" s="1051" t="s">
        <v>41</v>
      </c>
      <c r="C143" s="341">
        <v>0</v>
      </c>
      <c r="D143" s="341">
        <v>0</v>
      </c>
      <c r="E143" s="357">
        <v>0</v>
      </c>
      <c r="F143" s="340">
        <f>SUM(F144)</f>
        <v>2202</v>
      </c>
      <c r="G143" s="340"/>
      <c r="H143" s="340">
        <f>SUM(H144)</f>
        <v>2130</v>
      </c>
      <c r="I143" s="340">
        <f>SUM(I144)</f>
        <v>160</v>
      </c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  <c r="U143" s="340">
        <f>SUM(U144)</f>
        <v>-581</v>
      </c>
      <c r="V143" s="1048">
        <f t="shared" si="6"/>
        <v>3911</v>
      </c>
      <c r="W143" s="333"/>
      <c r="X143" s="333"/>
      <c r="Y143" s="333"/>
      <c r="Z143" s="333"/>
      <c r="AA143" s="333"/>
      <c r="AB143" s="333"/>
      <c r="AC143" s="333"/>
      <c r="AD143" s="333"/>
      <c r="AE143" s="333"/>
      <c r="AF143" s="333"/>
      <c r="AG143" s="333"/>
      <c r="AH143" s="333"/>
      <c r="AI143" s="333"/>
      <c r="AJ143" s="333"/>
      <c r="AK143" s="333"/>
      <c r="AL143" s="333"/>
      <c r="AM143" s="333"/>
      <c r="AN143" s="333"/>
      <c r="AO143" s="333"/>
      <c r="AP143" s="333"/>
      <c r="AQ143" s="333"/>
      <c r="AR143" s="333"/>
    </row>
    <row r="144" spans="1:23" s="343" customFormat="1" ht="26.25" thickBot="1">
      <c r="A144" s="342" t="s">
        <v>322</v>
      </c>
      <c r="B144" s="1054" t="s">
        <v>442</v>
      </c>
      <c r="C144" s="345"/>
      <c r="D144" s="345"/>
      <c r="E144" s="345"/>
      <c r="F144" s="345">
        <v>2202</v>
      </c>
      <c r="G144" s="345"/>
      <c r="H144" s="345">
        <v>2130</v>
      </c>
      <c r="I144" s="345">
        <v>160</v>
      </c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>
        <v>-581</v>
      </c>
      <c r="V144" s="1050">
        <f t="shared" si="6"/>
        <v>3911</v>
      </c>
      <c r="W144" s="334"/>
    </row>
    <row r="145" spans="1:23" s="343" customFormat="1" ht="18" customHeight="1" thickBot="1">
      <c r="A145" s="305">
        <v>80110</v>
      </c>
      <c r="B145" s="1047" t="s">
        <v>91</v>
      </c>
      <c r="C145" s="304">
        <v>0</v>
      </c>
      <c r="D145" s="304">
        <v>0</v>
      </c>
      <c r="E145" s="304">
        <v>0</v>
      </c>
      <c r="F145" s="304">
        <f>SUM(F146:F163)</f>
        <v>507644</v>
      </c>
      <c r="G145" s="304">
        <f aca="true" t="shared" si="7" ref="G145:U145">SUM(G146:G163)</f>
        <v>-1866</v>
      </c>
      <c r="H145" s="304">
        <f t="shared" si="7"/>
        <v>-5500</v>
      </c>
      <c r="I145" s="304">
        <f t="shared" si="7"/>
        <v>4490</v>
      </c>
      <c r="J145" s="304"/>
      <c r="K145" s="304"/>
      <c r="L145" s="304">
        <f t="shared" si="7"/>
        <v>10890</v>
      </c>
      <c r="M145" s="304"/>
      <c r="N145" s="304">
        <f t="shared" si="7"/>
        <v>3500</v>
      </c>
      <c r="O145" s="304">
        <f t="shared" si="7"/>
        <v>25000</v>
      </c>
      <c r="P145" s="893">
        <f t="shared" si="7"/>
        <v>114610</v>
      </c>
      <c r="Q145" s="304">
        <f t="shared" si="7"/>
        <v>1770</v>
      </c>
      <c r="R145" s="304">
        <f t="shared" si="7"/>
        <v>1500</v>
      </c>
      <c r="S145" s="304"/>
      <c r="T145" s="304"/>
      <c r="U145" s="304">
        <f t="shared" si="7"/>
        <v>16480</v>
      </c>
      <c r="V145" s="1050">
        <f t="shared" si="6"/>
        <v>678518</v>
      </c>
      <c r="W145" s="334"/>
    </row>
    <row r="146" spans="1:23" s="343" customFormat="1" ht="18" customHeight="1">
      <c r="A146" s="308" t="s">
        <v>323</v>
      </c>
      <c r="B146" s="1058" t="s">
        <v>691</v>
      </c>
      <c r="C146" s="317"/>
      <c r="D146" s="317"/>
      <c r="E146" s="317"/>
      <c r="F146" s="317">
        <v>62000</v>
      </c>
      <c r="G146" s="317"/>
      <c r="H146" s="317"/>
      <c r="I146" s="317"/>
      <c r="J146" s="317"/>
      <c r="K146" s="317"/>
      <c r="L146" s="317"/>
      <c r="M146" s="317"/>
      <c r="N146" s="317"/>
      <c r="O146" s="317"/>
      <c r="P146" s="317">
        <v>20000</v>
      </c>
      <c r="Q146" s="317"/>
      <c r="R146" s="317"/>
      <c r="S146" s="317"/>
      <c r="T146" s="317"/>
      <c r="U146" s="317"/>
      <c r="V146" s="1050">
        <f t="shared" si="6"/>
        <v>82000</v>
      </c>
      <c r="W146" s="334"/>
    </row>
    <row r="147" spans="1:23" s="343" customFormat="1" ht="18" customHeight="1">
      <c r="A147" s="306" t="s">
        <v>324</v>
      </c>
      <c r="B147" s="1049" t="s">
        <v>692</v>
      </c>
      <c r="C147" s="301"/>
      <c r="D147" s="301"/>
      <c r="E147" s="301"/>
      <c r="F147" s="301"/>
      <c r="G147" s="301"/>
      <c r="H147" s="301"/>
      <c r="I147" s="301"/>
      <c r="J147" s="301"/>
      <c r="K147" s="301"/>
      <c r="L147" s="301">
        <v>890</v>
      </c>
      <c r="M147" s="301"/>
      <c r="N147" s="301"/>
      <c r="O147" s="301"/>
      <c r="P147" s="301">
        <v>-1390</v>
      </c>
      <c r="Q147" s="301"/>
      <c r="R147" s="301">
        <v>500</v>
      </c>
      <c r="S147" s="301"/>
      <c r="T147" s="301"/>
      <c r="U147" s="301"/>
      <c r="V147" s="1050">
        <f t="shared" si="6"/>
        <v>0</v>
      </c>
      <c r="W147" s="334"/>
    </row>
    <row r="148" spans="1:23" s="343" customFormat="1" ht="18" customHeight="1">
      <c r="A148" s="306" t="s">
        <v>92</v>
      </c>
      <c r="B148" s="1049" t="s">
        <v>693</v>
      </c>
      <c r="C148" s="301"/>
      <c r="D148" s="301"/>
      <c r="E148" s="301"/>
      <c r="F148" s="301">
        <v>27000</v>
      </c>
      <c r="G148" s="301"/>
      <c r="H148" s="301"/>
      <c r="I148" s="301"/>
      <c r="J148" s="301"/>
      <c r="K148" s="301"/>
      <c r="L148" s="301"/>
      <c r="M148" s="301"/>
      <c r="N148" s="301"/>
      <c r="O148" s="301"/>
      <c r="P148" s="301"/>
      <c r="Q148" s="301"/>
      <c r="R148" s="301"/>
      <c r="S148" s="301"/>
      <c r="T148" s="301"/>
      <c r="U148" s="301"/>
      <c r="V148" s="1050">
        <f t="shared" si="6"/>
        <v>27000</v>
      </c>
      <c r="W148" s="334"/>
    </row>
    <row r="149" spans="1:23" s="343" customFormat="1" ht="18" customHeight="1">
      <c r="A149" s="306" t="s">
        <v>93</v>
      </c>
      <c r="B149" s="1049" t="s">
        <v>792</v>
      </c>
      <c r="C149" s="301"/>
      <c r="D149" s="301"/>
      <c r="E149" s="301"/>
      <c r="F149" s="301">
        <v>24000</v>
      </c>
      <c r="G149" s="301"/>
      <c r="H149" s="301">
        <v>4500</v>
      </c>
      <c r="I149" s="301">
        <v>1390</v>
      </c>
      <c r="J149" s="301"/>
      <c r="K149" s="301"/>
      <c r="L149" s="301"/>
      <c r="M149" s="301"/>
      <c r="N149" s="301"/>
      <c r="O149" s="301"/>
      <c r="P149" s="301"/>
      <c r="Q149" s="301"/>
      <c r="R149" s="301"/>
      <c r="S149" s="301"/>
      <c r="T149" s="301"/>
      <c r="U149" s="301">
        <v>1960</v>
      </c>
      <c r="V149" s="1050">
        <f t="shared" si="6"/>
        <v>31850</v>
      </c>
      <c r="W149" s="334"/>
    </row>
    <row r="150" spans="1:23" s="343" customFormat="1" ht="18" customHeight="1">
      <c r="A150" s="306" t="s">
        <v>325</v>
      </c>
      <c r="B150" s="1049" t="s">
        <v>694</v>
      </c>
      <c r="C150" s="301"/>
      <c r="D150" s="301"/>
      <c r="E150" s="301"/>
      <c r="F150" s="301">
        <v>110000</v>
      </c>
      <c r="G150" s="301"/>
      <c r="H150" s="301"/>
      <c r="I150" s="301"/>
      <c r="J150" s="301"/>
      <c r="K150" s="301"/>
      <c r="L150" s="301"/>
      <c r="M150" s="301"/>
      <c r="N150" s="301"/>
      <c r="O150" s="301">
        <v>25000</v>
      </c>
      <c r="P150" s="301">
        <v>3000</v>
      </c>
      <c r="Q150" s="301"/>
      <c r="R150" s="301"/>
      <c r="S150" s="301"/>
      <c r="T150" s="301"/>
      <c r="U150" s="301">
        <v>7000</v>
      </c>
      <c r="V150" s="1050">
        <f t="shared" si="6"/>
        <v>145000</v>
      </c>
      <c r="W150" s="334"/>
    </row>
    <row r="151" spans="1:23" s="343" customFormat="1" ht="18" customHeight="1">
      <c r="A151" s="306" t="s">
        <v>94</v>
      </c>
      <c r="B151" s="1049" t="s">
        <v>690</v>
      </c>
      <c r="C151" s="301"/>
      <c r="D151" s="301"/>
      <c r="E151" s="301"/>
      <c r="F151" s="301"/>
      <c r="G151" s="301"/>
      <c r="H151" s="301"/>
      <c r="I151" s="301">
        <v>1000</v>
      </c>
      <c r="J151" s="301"/>
      <c r="K151" s="301"/>
      <c r="L151" s="301"/>
      <c r="M151" s="301"/>
      <c r="N151" s="301"/>
      <c r="O151" s="301"/>
      <c r="P151" s="301"/>
      <c r="Q151" s="301"/>
      <c r="R151" s="301"/>
      <c r="S151" s="301"/>
      <c r="T151" s="301"/>
      <c r="U151" s="301"/>
      <c r="V151" s="1050">
        <f t="shared" si="6"/>
        <v>1000</v>
      </c>
      <c r="W151" s="334"/>
    </row>
    <row r="152" spans="1:23" s="310" customFormat="1" ht="18" customHeight="1">
      <c r="A152" s="306" t="s">
        <v>326</v>
      </c>
      <c r="B152" s="1049" t="s">
        <v>696</v>
      </c>
      <c r="C152" s="318"/>
      <c r="D152" s="318"/>
      <c r="E152" s="318"/>
      <c r="F152" s="318">
        <v>68000</v>
      </c>
      <c r="G152" s="318"/>
      <c r="H152" s="318"/>
      <c r="I152" s="318">
        <v>2000</v>
      </c>
      <c r="J152" s="318"/>
      <c r="K152" s="318"/>
      <c r="L152" s="318"/>
      <c r="M152" s="318"/>
      <c r="N152" s="318"/>
      <c r="O152" s="318"/>
      <c r="P152" s="318"/>
      <c r="Q152" s="318"/>
      <c r="R152" s="318"/>
      <c r="S152" s="318"/>
      <c r="T152" s="318"/>
      <c r="U152" s="318"/>
      <c r="V152" s="1050">
        <f t="shared" si="6"/>
        <v>70000</v>
      </c>
      <c r="W152" s="334"/>
    </row>
    <row r="153" spans="1:23" s="310" customFormat="1" ht="18" customHeight="1">
      <c r="A153" s="306" t="s">
        <v>95</v>
      </c>
      <c r="B153" s="1049" t="s">
        <v>697</v>
      </c>
      <c r="C153" s="312"/>
      <c r="D153" s="312"/>
      <c r="E153" s="312"/>
      <c r="F153" s="312">
        <v>50000</v>
      </c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2"/>
      <c r="S153" s="312"/>
      <c r="T153" s="312"/>
      <c r="U153" s="312"/>
      <c r="V153" s="1050">
        <f t="shared" si="6"/>
        <v>50000</v>
      </c>
      <c r="W153" s="334"/>
    </row>
    <row r="154" spans="1:23" s="310" customFormat="1" ht="18" customHeight="1">
      <c r="A154" s="306" t="s">
        <v>96</v>
      </c>
      <c r="B154" s="1049" t="s">
        <v>698</v>
      </c>
      <c r="C154" s="318"/>
      <c r="D154" s="318"/>
      <c r="E154" s="318"/>
      <c r="F154" s="318">
        <v>45500</v>
      </c>
      <c r="G154" s="318"/>
      <c r="H154" s="318"/>
      <c r="I154" s="318"/>
      <c r="J154" s="318"/>
      <c r="K154" s="318"/>
      <c r="L154" s="318"/>
      <c r="M154" s="318"/>
      <c r="N154" s="318">
        <v>3500</v>
      </c>
      <c r="O154" s="318"/>
      <c r="P154" s="318">
        <v>24000</v>
      </c>
      <c r="Q154" s="318"/>
      <c r="R154" s="318"/>
      <c r="S154" s="318"/>
      <c r="T154" s="318"/>
      <c r="U154" s="318">
        <v>3190</v>
      </c>
      <c r="V154" s="1050">
        <f t="shared" si="6"/>
        <v>76190</v>
      </c>
      <c r="W154" s="334"/>
    </row>
    <row r="155" spans="1:23" s="310" customFormat="1" ht="18" customHeight="1">
      <c r="A155" s="306" t="s">
        <v>97</v>
      </c>
      <c r="B155" s="1049" t="s">
        <v>699</v>
      </c>
      <c r="C155" s="318"/>
      <c r="D155" s="318"/>
      <c r="E155" s="318"/>
      <c r="F155" s="318">
        <v>78000</v>
      </c>
      <c r="G155" s="318"/>
      <c r="H155" s="318"/>
      <c r="I155" s="318"/>
      <c r="J155" s="318"/>
      <c r="K155" s="318"/>
      <c r="L155" s="318"/>
      <c r="M155" s="318"/>
      <c r="N155" s="318"/>
      <c r="O155" s="318"/>
      <c r="P155" s="318"/>
      <c r="Q155" s="318"/>
      <c r="R155" s="318"/>
      <c r="S155" s="318"/>
      <c r="T155" s="318"/>
      <c r="U155" s="318"/>
      <c r="V155" s="1050">
        <f t="shared" si="6"/>
        <v>78000</v>
      </c>
      <c r="W155" s="334"/>
    </row>
    <row r="156" spans="1:23" s="310" customFormat="1" ht="18" customHeight="1">
      <c r="A156" s="306" t="s">
        <v>98</v>
      </c>
      <c r="B156" s="1049" t="s">
        <v>700</v>
      </c>
      <c r="C156" s="318"/>
      <c r="D156" s="318"/>
      <c r="E156" s="318"/>
      <c r="F156" s="318"/>
      <c r="G156" s="318"/>
      <c r="H156" s="318"/>
      <c r="I156" s="318"/>
      <c r="J156" s="318"/>
      <c r="K156" s="318"/>
      <c r="L156" s="318">
        <v>10000</v>
      </c>
      <c r="M156" s="318"/>
      <c r="N156" s="318"/>
      <c r="O156" s="318"/>
      <c r="P156" s="318">
        <v>5000</v>
      </c>
      <c r="Q156" s="318"/>
      <c r="R156" s="318"/>
      <c r="S156" s="318"/>
      <c r="T156" s="318"/>
      <c r="U156" s="318"/>
      <c r="V156" s="1050">
        <f t="shared" si="6"/>
        <v>15000</v>
      </c>
      <c r="W156" s="334"/>
    </row>
    <row r="157" spans="1:23" s="310" customFormat="1" ht="18" customHeight="1">
      <c r="A157" s="306" t="s">
        <v>99</v>
      </c>
      <c r="B157" s="1049" t="s">
        <v>701</v>
      </c>
      <c r="C157" s="318"/>
      <c r="D157" s="318"/>
      <c r="E157" s="318"/>
      <c r="F157" s="318">
        <v>-27519</v>
      </c>
      <c r="G157" s="318"/>
      <c r="H157" s="318"/>
      <c r="I157" s="318"/>
      <c r="J157" s="318"/>
      <c r="K157" s="318"/>
      <c r="L157" s="318"/>
      <c r="M157" s="318"/>
      <c r="N157" s="318"/>
      <c r="O157" s="318"/>
      <c r="P157" s="318">
        <v>25000</v>
      </c>
      <c r="Q157" s="318"/>
      <c r="R157" s="318"/>
      <c r="S157" s="318"/>
      <c r="T157" s="318"/>
      <c r="U157" s="318"/>
      <c r="V157" s="1050">
        <f t="shared" si="6"/>
        <v>-2519</v>
      </c>
      <c r="W157" s="334"/>
    </row>
    <row r="158" spans="1:23" s="310" customFormat="1" ht="18" customHeight="1">
      <c r="A158" s="306" t="s">
        <v>100</v>
      </c>
      <c r="B158" s="1049" t="s">
        <v>702</v>
      </c>
      <c r="C158" s="318"/>
      <c r="D158" s="318"/>
      <c r="E158" s="318"/>
      <c r="F158" s="318"/>
      <c r="G158" s="318">
        <v>-1866</v>
      </c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>
        <v>1866</v>
      </c>
      <c r="V158" s="1050">
        <f t="shared" si="6"/>
        <v>0</v>
      </c>
      <c r="W158" s="334"/>
    </row>
    <row r="159" spans="1:23" s="310" customFormat="1" ht="18" customHeight="1">
      <c r="A159" s="306" t="s">
        <v>101</v>
      </c>
      <c r="B159" s="1049" t="s">
        <v>703</v>
      </c>
      <c r="C159" s="318"/>
      <c r="D159" s="318"/>
      <c r="E159" s="318"/>
      <c r="F159" s="318">
        <v>68000</v>
      </c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1050">
        <f t="shared" si="6"/>
        <v>68000</v>
      </c>
      <c r="W159" s="334"/>
    </row>
    <row r="160" spans="1:23" s="310" customFormat="1" ht="18" customHeight="1">
      <c r="A160" s="306" t="s">
        <v>102</v>
      </c>
      <c r="B160" s="1049" t="s">
        <v>396</v>
      </c>
      <c r="C160" s="318"/>
      <c r="D160" s="318"/>
      <c r="E160" s="318"/>
      <c r="F160" s="318">
        <v>70000</v>
      </c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1050">
        <f t="shared" si="6"/>
        <v>70000</v>
      </c>
      <c r="W160" s="334"/>
    </row>
    <row r="161" spans="1:23" s="310" customFormat="1" ht="18" customHeight="1">
      <c r="A161" s="306" t="s">
        <v>103</v>
      </c>
      <c r="B161" s="1049" t="s">
        <v>704</v>
      </c>
      <c r="C161" s="318"/>
      <c r="D161" s="318"/>
      <c r="E161" s="318"/>
      <c r="F161" s="318">
        <v>-5000</v>
      </c>
      <c r="G161" s="318"/>
      <c r="H161" s="318">
        <v>-10000</v>
      </c>
      <c r="I161" s="318">
        <v>-500</v>
      </c>
      <c r="J161" s="318"/>
      <c r="K161" s="318"/>
      <c r="L161" s="318"/>
      <c r="M161" s="318"/>
      <c r="N161" s="318"/>
      <c r="O161" s="318"/>
      <c r="P161" s="318">
        <v>29000</v>
      </c>
      <c r="Q161" s="318"/>
      <c r="R161" s="318"/>
      <c r="S161" s="318"/>
      <c r="T161" s="318"/>
      <c r="U161" s="318"/>
      <c r="V161" s="1050">
        <f t="shared" si="6"/>
        <v>13500</v>
      </c>
      <c r="W161" s="334"/>
    </row>
    <row r="162" spans="1:23" s="310" customFormat="1" ht="18" customHeight="1">
      <c r="A162" s="306" t="s">
        <v>104</v>
      </c>
      <c r="B162" s="1049" t="s">
        <v>705</v>
      </c>
      <c r="C162" s="318"/>
      <c r="D162" s="318"/>
      <c r="E162" s="318"/>
      <c r="F162" s="318"/>
      <c r="G162" s="318"/>
      <c r="H162" s="318"/>
      <c r="I162" s="318">
        <v>600</v>
      </c>
      <c r="J162" s="318"/>
      <c r="K162" s="318"/>
      <c r="L162" s="318"/>
      <c r="M162" s="318"/>
      <c r="N162" s="318"/>
      <c r="O162" s="318"/>
      <c r="P162" s="318">
        <v>10000</v>
      </c>
      <c r="Q162" s="318">
        <v>1770</v>
      </c>
      <c r="R162" s="318"/>
      <c r="S162" s="318"/>
      <c r="T162" s="318"/>
      <c r="U162" s="318">
        <v>2464</v>
      </c>
      <c r="V162" s="1050">
        <f t="shared" si="6"/>
        <v>14834</v>
      </c>
      <c r="W162" s="334"/>
    </row>
    <row r="163" spans="1:23" s="310" customFormat="1" ht="18" customHeight="1" thickBot="1">
      <c r="A163" s="306" t="s">
        <v>105</v>
      </c>
      <c r="B163" s="1049" t="s">
        <v>706</v>
      </c>
      <c r="C163" s="318"/>
      <c r="D163" s="318"/>
      <c r="E163" s="318"/>
      <c r="F163" s="318">
        <v>-62337</v>
      </c>
      <c r="G163" s="318"/>
      <c r="H163" s="318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>
        <v>1000</v>
      </c>
      <c r="S163" s="318"/>
      <c r="T163" s="318"/>
      <c r="U163" s="318"/>
      <c r="V163" s="1050">
        <f t="shared" si="6"/>
        <v>-61337</v>
      </c>
      <c r="W163" s="334"/>
    </row>
    <row r="164" spans="1:44" ht="18" customHeight="1" thickBot="1">
      <c r="A164" s="313">
        <v>80111</v>
      </c>
      <c r="B164" s="1051" t="s">
        <v>940</v>
      </c>
      <c r="C164" s="341">
        <v>0</v>
      </c>
      <c r="D164" s="341">
        <v>0</v>
      </c>
      <c r="E164" s="357">
        <v>0</v>
      </c>
      <c r="F164" s="340">
        <f>SUM(F165:F168)</f>
        <v>122000</v>
      </c>
      <c r="G164" s="340"/>
      <c r="H164" s="340">
        <f>SUM(H165:H168)</f>
        <v>1500</v>
      </c>
      <c r="I164" s="340">
        <f>SUM(I165:I168)</f>
        <v>500</v>
      </c>
      <c r="J164" s="340"/>
      <c r="K164" s="340"/>
      <c r="L164" s="340"/>
      <c r="M164" s="340"/>
      <c r="N164" s="340"/>
      <c r="O164" s="340">
        <f>SUM(O165:O168)</f>
        <v>7723</v>
      </c>
      <c r="P164" s="340"/>
      <c r="Q164" s="340"/>
      <c r="R164" s="340">
        <f>SUM(R165:R168)</f>
        <v>700</v>
      </c>
      <c r="S164" s="340"/>
      <c r="T164" s="340"/>
      <c r="U164" s="340">
        <f>SUM(U165:U168)</f>
        <v>14325</v>
      </c>
      <c r="V164" s="1048">
        <f t="shared" si="6"/>
        <v>146748</v>
      </c>
      <c r="W164" s="333"/>
      <c r="X164" s="333"/>
      <c r="Y164" s="333"/>
      <c r="Z164" s="333"/>
      <c r="AA164" s="333"/>
      <c r="AB164" s="333"/>
      <c r="AC164" s="333"/>
      <c r="AD164" s="333"/>
      <c r="AE164" s="333"/>
      <c r="AF164" s="333"/>
      <c r="AG164" s="333"/>
      <c r="AH164" s="333"/>
      <c r="AI164" s="333"/>
      <c r="AJ164" s="333"/>
      <c r="AK164" s="333"/>
      <c r="AL164" s="333"/>
      <c r="AM164" s="333"/>
      <c r="AN164" s="333"/>
      <c r="AO164" s="333"/>
      <c r="AP164" s="333"/>
      <c r="AQ164" s="333"/>
      <c r="AR164" s="333"/>
    </row>
    <row r="165" spans="1:23" s="310" customFormat="1" ht="18" customHeight="1">
      <c r="A165" s="308" t="s">
        <v>106</v>
      </c>
      <c r="B165" s="1049" t="s">
        <v>771</v>
      </c>
      <c r="C165" s="346"/>
      <c r="D165" s="346"/>
      <c r="E165" s="346"/>
      <c r="F165" s="346">
        <v>78000</v>
      </c>
      <c r="G165" s="346"/>
      <c r="H165" s="346"/>
      <c r="I165" s="346"/>
      <c r="J165" s="346"/>
      <c r="K165" s="346"/>
      <c r="L165" s="346"/>
      <c r="M165" s="346"/>
      <c r="N165" s="346"/>
      <c r="O165" s="346"/>
      <c r="P165" s="346"/>
      <c r="Q165" s="346"/>
      <c r="R165" s="346"/>
      <c r="S165" s="346"/>
      <c r="T165" s="346"/>
      <c r="U165" s="346">
        <v>12331</v>
      </c>
      <c r="V165" s="1050">
        <f t="shared" si="6"/>
        <v>90331</v>
      </c>
      <c r="W165" s="334"/>
    </row>
    <row r="166" spans="1:23" s="310" customFormat="1" ht="16.5" customHeight="1">
      <c r="A166" s="306" t="s">
        <v>107</v>
      </c>
      <c r="B166" s="1059" t="s">
        <v>661</v>
      </c>
      <c r="C166" s="307"/>
      <c r="D166" s="307"/>
      <c r="E166" s="307"/>
      <c r="F166" s="307"/>
      <c r="G166" s="307"/>
      <c r="H166" s="307"/>
      <c r="I166" s="307"/>
      <c r="J166" s="307"/>
      <c r="K166" s="307"/>
      <c r="L166" s="307"/>
      <c r="M166" s="307"/>
      <c r="N166" s="307"/>
      <c r="O166" s="307">
        <v>2000</v>
      </c>
      <c r="P166" s="307"/>
      <c r="Q166" s="307"/>
      <c r="R166" s="307"/>
      <c r="S166" s="307"/>
      <c r="T166" s="307"/>
      <c r="U166" s="307"/>
      <c r="V166" s="1050">
        <f t="shared" si="6"/>
        <v>2000</v>
      </c>
      <c r="W166" s="334"/>
    </row>
    <row r="167" spans="1:23" s="310" customFormat="1" ht="25.5">
      <c r="A167" s="306" t="s">
        <v>108</v>
      </c>
      <c r="B167" s="1060" t="s">
        <v>185</v>
      </c>
      <c r="C167" s="318"/>
      <c r="D167" s="318"/>
      <c r="E167" s="318"/>
      <c r="F167" s="318">
        <v>30000</v>
      </c>
      <c r="G167" s="318"/>
      <c r="H167" s="318"/>
      <c r="I167" s="318"/>
      <c r="J167" s="318"/>
      <c r="K167" s="318"/>
      <c r="L167" s="318"/>
      <c r="M167" s="318"/>
      <c r="N167" s="318"/>
      <c r="O167" s="318">
        <v>723</v>
      </c>
      <c r="P167" s="318"/>
      <c r="Q167" s="318"/>
      <c r="R167" s="318">
        <v>700</v>
      </c>
      <c r="S167" s="318"/>
      <c r="T167" s="318"/>
      <c r="U167" s="318">
        <v>1994</v>
      </c>
      <c r="V167" s="1050">
        <f t="shared" si="6"/>
        <v>33417</v>
      </c>
      <c r="W167" s="334"/>
    </row>
    <row r="168" spans="1:23" s="310" customFormat="1" ht="29.25" customHeight="1" thickBot="1">
      <c r="A168" s="306" t="s">
        <v>109</v>
      </c>
      <c r="B168" s="1059" t="s">
        <v>444</v>
      </c>
      <c r="C168" s="307"/>
      <c r="D168" s="307"/>
      <c r="E168" s="307"/>
      <c r="F168" s="307">
        <v>14000</v>
      </c>
      <c r="G168" s="307"/>
      <c r="H168" s="307">
        <v>1500</v>
      </c>
      <c r="I168" s="307">
        <v>500</v>
      </c>
      <c r="J168" s="307"/>
      <c r="K168" s="307"/>
      <c r="L168" s="307"/>
      <c r="M168" s="307"/>
      <c r="N168" s="307"/>
      <c r="O168" s="307">
        <v>5000</v>
      </c>
      <c r="P168" s="307"/>
      <c r="Q168" s="307"/>
      <c r="R168" s="307"/>
      <c r="S168" s="307"/>
      <c r="T168" s="307"/>
      <c r="U168" s="307"/>
      <c r="V168" s="1050">
        <f t="shared" si="6"/>
        <v>21000</v>
      </c>
      <c r="W168" s="334"/>
    </row>
    <row r="169" spans="1:23" s="310" customFormat="1" ht="18" customHeight="1" thickBot="1">
      <c r="A169" s="305">
        <v>80113</v>
      </c>
      <c r="B169" s="1047" t="s">
        <v>707</v>
      </c>
      <c r="C169" s="303">
        <v>0</v>
      </c>
      <c r="D169" s="303">
        <v>0</v>
      </c>
      <c r="E169" s="303">
        <v>0</v>
      </c>
      <c r="F169" s="303"/>
      <c r="G169" s="303"/>
      <c r="H169" s="303"/>
      <c r="I169" s="303"/>
      <c r="J169" s="303"/>
      <c r="K169" s="303"/>
      <c r="L169" s="303"/>
      <c r="M169" s="303"/>
      <c r="N169" s="303"/>
      <c r="O169" s="303"/>
      <c r="P169" s="303"/>
      <c r="Q169" s="303"/>
      <c r="R169" s="303">
        <f>SUM(R170:R176)</f>
        <v>12039</v>
      </c>
      <c r="S169" s="303"/>
      <c r="T169" s="303"/>
      <c r="U169" s="303"/>
      <c r="V169" s="1050">
        <f t="shared" si="6"/>
        <v>12039</v>
      </c>
      <c r="W169" s="334"/>
    </row>
    <row r="170" spans="1:23" s="310" customFormat="1" ht="18" customHeight="1">
      <c r="A170" s="306" t="s">
        <v>327</v>
      </c>
      <c r="B170" s="1049" t="s">
        <v>264</v>
      </c>
      <c r="C170" s="307"/>
      <c r="D170" s="307"/>
      <c r="E170" s="307"/>
      <c r="F170" s="307"/>
      <c r="G170" s="307"/>
      <c r="H170" s="307"/>
      <c r="I170" s="307"/>
      <c r="J170" s="307"/>
      <c r="K170" s="307"/>
      <c r="L170" s="307"/>
      <c r="M170" s="307"/>
      <c r="N170" s="307"/>
      <c r="O170" s="307"/>
      <c r="P170" s="307"/>
      <c r="Q170" s="307"/>
      <c r="R170" s="307">
        <v>260</v>
      </c>
      <c r="S170" s="307"/>
      <c r="T170" s="307"/>
      <c r="U170" s="307"/>
      <c r="V170" s="1050">
        <f t="shared" si="6"/>
        <v>260</v>
      </c>
      <c r="W170" s="334"/>
    </row>
    <row r="171" spans="1:23" s="310" customFormat="1" ht="18" customHeight="1">
      <c r="A171" s="306" t="s">
        <v>328</v>
      </c>
      <c r="B171" s="1049" t="s">
        <v>268</v>
      </c>
      <c r="C171" s="307"/>
      <c r="D171" s="307"/>
      <c r="E171" s="307"/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  <c r="Q171" s="307"/>
      <c r="R171" s="307">
        <v>1180</v>
      </c>
      <c r="S171" s="307"/>
      <c r="T171" s="307"/>
      <c r="U171" s="307"/>
      <c r="V171" s="1050">
        <f t="shared" si="6"/>
        <v>1180</v>
      </c>
      <c r="W171" s="334"/>
    </row>
    <row r="172" spans="1:23" s="310" customFormat="1" ht="18" customHeight="1">
      <c r="A172" s="306" t="s">
        <v>329</v>
      </c>
      <c r="B172" s="1049" t="s">
        <v>691</v>
      </c>
      <c r="C172" s="307"/>
      <c r="D172" s="307"/>
      <c r="E172" s="307"/>
      <c r="F172" s="307"/>
      <c r="G172" s="307"/>
      <c r="H172" s="307"/>
      <c r="I172" s="307"/>
      <c r="J172" s="307"/>
      <c r="K172" s="307"/>
      <c r="L172" s="307"/>
      <c r="M172" s="307"/>
      <c r="N172" s="307"/>
      <c r="O172" s="307"/>
      <c r="P172" s="307"/>
      <c r="Q172" s="307"/>
      <c r="R172" s="307">
        <v>1700</v>
      </c>
      <c r="S172" s="307"/>
      <c r="T172" s="307"/>
      <c r="U172" s="307"/>
      <c r="V172" s="1050">
        <f t="shared" si="6"/>
        <v>1700</v>
      </c>
      <c r="W172" s="334"/>
    </row>
    <row r="173" spans="1:23" s="310" customFormat="1" ht="18" customHeight="1">
      <c r="A173" s="306" t="s">
        <v>333</v>
      </c>
      <c r="B173" s="1049" t="s">
        <v>692</v>
      </c>
      <c r="C173" s="307"/>
      <c r="D173" s="307"/>
      <c r="E173" s="307"/>
      <c r="F173" s="307"/>
      <c r="G173" s="307"/>
      <c r="H173" s="307"/>
      <c r="I173" s="307"/>
      <c r="J173" s="307"/>
      <c r="K173" s="307"/>
      <c r="L173" s="307"/>
      <c r="M173" s="307"/>
      <c r="N173" s="307"/>
      <c r="O173" s="307"/>
      <c r="P173" s="307"/>
      <c r="Q173" s="307"/>
      <c r="R173" s="307">
        <v>229</v>
      </c>
      <c r="S173" s="307"/>
      <c r="T173" s="307"/>
      <c r="U173" s="307"/>
      <c r="V173" s="1050">
        <f t="shared" si="6"/>
        <v>229</v>
      </c>
      <c r="W173" s="334"/>
    </row>
    <row r="174" spans="1:23" s="310" customFormat="1" ht="18" customHeight="1">
      <c r="A174" s="306" t="s">
        <v>334</v>
      </c>
      <c r="B174" s="1049" t="s">
        <v>697</v>
      </c>
      <c r="C174" s="307"/>
      <c r="D174" s="307"/>
      <c r="E174" s="307"/>
      <c r="F174" s="307"/>
      <c r="G174" s="307"/>
      <c r="H174" s="307"/>
      <c r="I174" s="307"/>
      <c r="J174" s="307"/>
      <c r="K174" s="307"/>
      <c r="L174" s="307"/>
      <c r="M174" s="307"/>
      <c r="N174" s="307"/>
      <c r="O174" s="307"/>
      <c r="P174" s="307"/>
      <c r="Q174" s="307"/>
      <c r="R174" s="307">
        <v>13000</v>
      </c>
      <c r="S174" s="307"/>
      <c r="T174" s="307"/>
      <c r="U174" s="307"/>
      <c r="V174" s="1050">
        <f t="shared" si="6"/>
        <v>13000</v>
      </c>
      <c r="W174" s="334"/>
    </row>
    <row r="175" spans="1:23" s="310" customFormat="1" ht="18" customHeight="1">
      <c r="A175" s="306" t="s">
        <v>335</v>
      </c>
      <c r="B175" s="1049" t="s">
        <v>702</v>
      </c>
      <c r="C175" s="307"/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7"/>
      <c r="R175" s="307">
        <v>500</v>
      </c>
      <c r="S175" s="307"/>
      <c r="T175" s="307"/>
      <c r="U175" s="307"/>
      <c r="V175" s="1050">
        <f t="shared" si="6"/>
        <v>500</v>
      </c>
      <c r="W175" s="334"/>
    </row>
    <row r="176" spans="1:23" s="310" customFormat="1" ht="18" customHeight="1" thickBot="1">
      <c r="A176" s="306" t="s">
        <v>337</v>
      </c>
      <c r="B176" s="1049" t="s">
        <v>704</v>
      </c>
      <c r="C176" s="307"/>
      <c r="D176" s="307"/>
      <c r="E176" s="307"/>
      <c r="F176" s="307"/>
      <c r="G176" s="307"/>
      <c r="H176" s="307"/>
      <c r="I176" s="307"/>
      <c r="J176" s="307"/>
      <c r="K176" s="307"/>
      <c r="L176" s="307"/>
      <c r="M176" s="307"/>
      <c r="N176" s="307"/>
      <c r="O176" s="307"/>
      <c r="P176" s="307"/>
      <c r="Q176" s="307"/>
      <c r="R176" s="307">
        <v>-4830</v>
      </c>
      <c r="S176" s="307"/>
      <c r="T176" s="307"/>
      <c r="U176" s="307"/>
      <c r="V176" s="1061">
        <f t="shared" si="6"/>
        <v>-4830</v>
      </c>
      <c r="W176" s="334"/>
    </row>
    <row r="177" spans="1:23" s="310" customFormat="1" ht="19.5" customHeight="1" thickBot="1">
      <c r="A177" s="305">
        <v>80120</v>
      </c>
      <c r="B177" s="1047" t="s">
        <v>110</v>
      </c>
      <c r="C177" s="303">
        <v>0</v>
      </c>
      <c r="D177" s="303">
        <v>0</v>
      </c>
      <c r="E177" s="303">
        <v>0</v>
      </c>
      <c r="F177" s="303">
        <f>SUM(F178:F196)</f>
        <v>375680</v>
      </c>
      <c r="G177" s="303"/>
      <c r="H177" s="303">
        <f>SUM(H178:H196)</f>
        <v>171100</v>
      </c>
      <c r="I177" s="303">
        <f>SUM(I178:I196)</f>
        <v>10420</v>
      </c>
      <c r="J177" s="303"/>
      <c r="K177" s="303"/>
      <c r="L177" s="303">
        <f>SUM(L178:L196)</f>
        <v>2000</v>
      </c>
      <c r="M177" s="303"/>
      <c r="N177" s="303"/>
      <c r="O177" s="303">
        <f>SUM(O178:O196)</f>
        <v>16150</v>
      </c>
      <c r="P177" s="303">
        <f>SUM(P178:P196)</f>
        <v>80000</v>
      </c>
      <c r="Q177" s="303"/>
      <c r="R177" s="303"/>
      <c r="S177" s="303"/>
      <c r="T177" s="303">
        <f>SUM(T178:T196)</f>
        <v>43000</v>
      </c>
      <c r="U177" s="303"/>
      <c r="V177" s="1062">
        <f t="shared" si="6"/>
        <v>698350</v>
      </c>
      <c r="W177" s="334"/>
    </row>
    <row r="178" spans="1:23" s="310" customFormat="1" ht="18" customHeight="1">
      <c r="A178" s="308" t="s">
        <v>338</v>
      </c>
      <c r="B178" s="1063" t="s">
        <v>709</v>
      </c>
      <c r="C178" s="309"/>
      <c r="D178" s="309"/>
      <c r="E178" s="309"/>
      <c r="F178" s="309">
        <v>-60000</v>
      </c>
      <c r="G178" s="309"/>
      <c r="H178" s="309"/>
      <c r="I178" s="309">
        <v>-430</v>
      </c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>
        <v>43000</v>
      </c>
      <c r="U178" s="309"/>
      <c r="V178" s="1064">
        <f t="shared" si="6"/>
        <v>-17430</v>
      </c>
      <c r="W178" s="334"/>
    </row>
    <row r="179" spans="1:23" s="310" customFormat="1" ht="18" customHeight="1">
      <c r="A179" s="306" t="s">
        <v>111</v>
      </c>
      <c r="B179" s="1065" t="s">
        <v>710</v>
      </c>
      <c r="C179" s="307"/>
      <c r="D179" s="307"/>
      <c r="E179" s="307"/>
      <c r="F179" s="307">
        <v>-10000</v>
      </c>
      <c r="G179" s="307"/>
      <c r="H179" s="307"/>
      <c r="I179" s="307"/>
      <c r="J179" s="307"/>
      <c r="K179" s="307"/>
      <c r="L179" s="307"/>
      <c r="M179" s="307"/>
      <c r="N179" s="307"/>
      <c r="O179" s="307"/>
      <c r="P179" s="307">
        <v>26000</v>
      </c>
      <c r="Q179" s="307"/>
      <c r="R179" s="307"/>
      <c r="S179" s="307"/>
      <c r="T179" s="307"/>
      <c r="U179" s="307"/>
      <c r="V179" s="1050">
        <f t="shared" si="6"/>
        <v>16000</v>
      </c>
      <c r="W179" s="334"/>
    </row>
    <row r="180" spans="1:23" s="310" customFormat="1" ht="18" customHeight="1">
      <c r="A180" s="306" t="s">
        <v>112</v>
      </c>
      <c r="B180" s="1065" t="s">
        <v>711</v>
      </c>
      <c r="C180" s="307"/>
      <c r="D180" s="307"/>
      <c r="E180" s="307"/>
      <c r="F180" s="307">
        <v>50000</v>
      </c>
      <c r="G180" s="307"/>
      <c r="H180" s="307"/>
      <c r="I180" s="307"/>
      <c r="J180" s="307"/>
      <c r="K180" s="307"/>
      <c r="L180" s="307"/>
      <c r="M180" s="307"/>
      <c r="N180" s="307"/>
      <c r="O180" s="307">
        <v>5750</v>
      </c>
      <c r="P180" s="307"/>
      <c r="Q180" s="307"/>
      <c r="R180" s="307"/>
      <c r="S180" s="307"/>
      <c r="T180" s="307"/>
      <c r="U180" s="307"/>
      <c r="V180" s="1050">
        <f t="shared" si="6"/>
        <v>55750</v>
      </c>
      <c r="W180" s="334"/>
    </row>
    <row r="181" spans="1:23" s="310" customFormat="1" ht="18" customHeight="1">
      <c r="A181" s="306" t="s">
        <v>113</v>
      </c>
      <c r="B181" s="1065" t="s">
        <v>712</v>
      </c>
      <c r="C181" s="307"/>
      <c r="D181" s="307"/>
      <c r="E181" s="307"/>
      <c r="F181" s="307"/>
      <c r="G181" s="307"/>
      <c r="H181" s="307"/>
      <c r="I181" s="307"/>
      <c r="J181" s="307"/>
      <c r="K181" s="307"/>
      <c r="L181" s="307"/>
      <c r="M181" s="307"/>
      <c r="N181" s="307"/>
      <c r="O181" s="307">
        <v>4000</v>
      </c>
      <c r="P181" s="307">
        <v>25000</v>
      </c>
      <c r="Q181" s="307"/>
      <c r="R181" s="307"/>
      <c r="S181" s="307"/>
      <c r="T181" s="307"/>
      <c r="U181" s="307"/>
      <c r="V181" s="1050">
        <f t="shared" si="6"/>
        <v>29000</v>
      </c>
      <c r="W181" s="334"/>
    </row>
    <row r="182" spans="1:23" s="310" customFormat="1" ht="18" customHeight="1">
      <c r="A182" s="306" t="s">
        <v>114</v>
      </c>
      <c r="B182" s="1065" t="s">
        <v>397</v>
      </c>
      <c r="C182" s="307"/>
      <c r="D182" s="307"/>
      <c r="E182" s="307"/>
      <c r="F182" s="307">
        <v>-11800</v>
      </c>
      <c r="G182" s="307"/>
      <c r="H182" s="307"/>
      <c r="I182" s="307"/>
      <c r="J182" s="307"/>
      <c r="K182" s="307"/>
      <c r="L182" s="307"/>
      <c r="M182" s="307"/>
      <c r="N182" s="307"/>
      <c r="O182" s="307"/>
      <c r="P182" s="307"/>
      <c r="Q182" s="307"/>
      <c r="R182" s="307"/>
      <c r="S182" s="307"/>
      <c r="T182" s="307"/>
      <c r="U182" s="307"/>
      <c r="V182" s="1050">
        <f t="shared" si="6"/>
        <v>-11800</v>
      </c>
      <c r="W182" s="334"/>
    </row>
    <row r="183" spans="1:23" s="310" customFormat="1" ht="18" customHeight="1">
      <c r="A183" s="306" t="s">
        <v>339</v>
      </c>
      <c r="B183" s="1065" t="s">
        <v>713</v>
      </c>
      <c r="C183" s="307"/>
      <c r="D183" s="307"/>
      <c r="E183" s="307"/>
      <c r="F183" s="307"/>
      <c r="G183" s="307"/>
      <c r="H183" s="307"/>
      <c r="I183" s="307"/>
      <c r="J183" s="307"/>
      <c r="K183" s="307"/>
      <c r="L183" s="307"/>
      <c r="M183" s="307"/>
      <c r="N183" s="307"/>
      <c r="O183" s="307">
        <v>6000</v>
      </c>
      <c r="P183" s="307"/>
      <c r="Q183" s="307"/>
      <c r="R183" s="307"/>
      <c r="S183" s="307"/>
      <c r="T183" s="307"/>
      <c r="U183" s="307"/>
      <c r="V183" s="1050">
        <f t="shared" si="6"/>
        <v>6000</v>
      </c>
      <c r="W183" s="334"/>
    </row>
    <row r="184" spans="1:23" s="310" customFormat="1" ht="18" customHeight="1">
      <c r="A184" s="306" t="s">
        <v>340</v>
      </c>
      <c r="B184" s="1065" t="s">
        <v>714</v>
      </c>
      <c r="C184" s="307"/>
      <c r="D184" s="307"/>
      <c r="E184" s="307"/>
      <c r="F184" s="307"/>
      <c r="G184" s="307"/>
      <c r="H184" s="307">
        <v>45000</v>
      </c>
      <c r="I184" s="307"/>
      <c r="J184" s="307"/>
      <c r="K184" s="307"/>
      <c r="L184" s="307"/>
      <c r="M184" s="307"/>
      <c r="N184" s="307"/>
      <c r="O184" s="307"/>
      <c r="P184" s="307">
        <v>29000</v>
      </c>
      <c r="Q184" s="307"/>
      <c r="R184" s="307"/>
      <c r="S184" s="307"/>
      <c r="T184" s="307"/>
      <c r="U184" s="307"/>
      <c r="V184" s="1050">
        <f t="shared" si="6"/>
        <v>74000</v>
      </c>
      <c r="W184" s="334"/>
    </row>
    <row r="185" spans="1:23" s="310" customFormat="1" ht="18" customHeight="1">
      <c r="A185" s="306" t="s">
        <v>115</v>
      </c>
      <c r="B185" s="1065" t="s">
        <v>715</v>
      </c>
      <c r="C185" s="307"/>
      <c r="D185" s="307"/>
      <c r="E185" s="307"/>
      <c r="F185" s="307">
        <v>10000</v>
      </c>
      <c r="G185" s="307"/>
      <c r="H185" s="307">
        <v>14000</v>
      </c>
      <c r="I185" s="307">
        <v>1000</v>
      </c>
      <c r="J185" s="307"/>
      <c r="K185" s="307"/>
      <c r="L185" s="307"/>
      <c r="M185" s="307"/>
      <c r="N185" s="307"/>
      <c r="O185" s="307"/>
      <c r="P185" s="307"/>
      <c r="Q185" s="307"/>
      <c r="R185" s="307"/>
      <c r="S185" s="307"/>
      <c r="T185" s="307"/>
      <c r="U185" s="307"/>
      <c r="V185" s="1050">
        <f t="shared" si="6"/>
        <v>25000</v>
      </c>
      <c r="W185" s="334"/>
    </row>
    <row r="186" spans="1:23" s="310" customFormat="1" ht="18" customHeight="1">
      <c r="A186" s="306" t="s">
        <v>341</v>
      </c>
      <c r="B186" s="1065" t="s">
        <v>721</v>
      </c>
      <c r="C186" s="307"/>
      <c r="D186" s="307"/>
      <c r="E186" s="307"/>
      <c r="F186" s="307">
        <v>16270</v>
      </c>
      <c r="G186" s="307"/>
      <c r="H186" s="307">
        <v>15700</v>
      </c>
      <c r="I186" s="307">
        <v>1250</v>
      </c>
      <c r="J186" s="307"/>
      <c r="K186" s="307"/>
      <c r="L186" s="307"/>
      <c r="M186" s="307"/>
      <c r="N186" s="307"/>
      <c r="O186" s="307">
        <v>1000</v>
      </c>
      <c r="P186" s="307"/>
      <c r="Q186" s="307"/>
      <c r="R186" s="307"/>
      <c r="S186" s="307"/>
      <c r="T186" s="307"/>
      <c r="U186" s="307"/>
      <c r="V186" s="1050">
        <f t="shared" si="6"/>
        <v>34220</v>
      </c>
      <c r="W186" s="334"/>
    </row>
    <row r="187" spans="1:23" s="310" customFormat="1" ht="16.5" customHeight="1">
      <c r="A187" s="306" t="s">
        <v>116</v>
      </c>
      <c r="B187" s="1065" t="s">
        <v>718</v>
      </c>
      <c r="C187" s="307"/>
      <c r="D187" s="307"/>
      <c r="E187" s="307"/>
      <c r="F187" s="307"/>
      <c r="G187" s="307"/>
      <c r="H187" s="307"/>
      <c r="I187" s="307"/>
      <c r="J187" s="307"/>
      <c r="K187" s="307"/>
      <c r="L187" s="307"/>
      <c r="M187" s="307"/>
      <c r="N187" s="307"/>
      <c r="O187" s="307">
        <v>7100</v>
      </c>
      <c r="P187" s="307"/>
      <c r="Q187" s="307"/>
      <c r="R187" s="307"/>
      <c r="S187" s="307"/>
      <c r="T187" s="307"/>
      <c r="U187" s="307"/>
      <c r="V187" s="1050">
        <f t="shared" si="6"/>
        <v>7100</v>
      </c>
      <c r="W187" s="334"/>
    </row>
    <row r="188" spans="1:23" s="310" customFormat="1" ht="17.25" customHeight="1">
      <c r="A188" s="306" t="s">
        <v>117</v>
      </c>
      <c r="B188" s="1065" t="s">
        <v>186</v>
      </c>
      <c r="C188" s="307"/>
      <c r="D188" s="307"/>
      <c r="E188" s="307"/>
      <c r="F188" s="307">
        <v>101400</v>
      </c>
      <c r="G188" s="307"/>
      <c r="H188" s="307">
        <v>33900</v>
      </c>
      <c r="I188" s="307">
        <v>5000</v>
      </c>
      <c r="J188" s="307"/>
      <c r="K188" s="307"/>
      <c r="L188" s="307"/>
      <c r="M188" s="307"/>
      <c r="N188" s="307"/>
      <c r="O188" s="307"/>
      <c r="P188" s="307"/>
      <c r="Q188" s="307"/>
      <c r="R188" s="307"/>
      <c r="S188" s="307"/>
      <c r="T188" s="307"/>
      <c r="U188" s="307"/>
      <c r="V188" s="1050">
        <f t="shared" si="6"/>
        <v>140300</v>
      </c>
      <c r="W188" s="334"/>
    </row>
    <row r="189" spans="1:23" s="310" customFormat="1" ht="18" customHeight="1">
      <c r="A189" s="306" t="s">
        <v>345</v>
      </c>
      <c r="B189" s="1065" t="s">
        <v>764</v>
      </c>
      <c r="C189" s="307"/>
      <c r="D189" s="307"/>
      <c r="E189" s="307"/>
      <c r="F189" s="307">
        <v>55700</v>
      </c>
      <c r="G189" s="307"/>
      <c r="H189" s="307">
        <v>14400</v>
      </c>
      <c r="I189" s="307"/>
      <c r="J189" s="307"/>
      <c r="K189" s="307"/>
      <c r="L189" s="307"/>
      <c r="M189" s="307"/>
      <c r="N189" s="307"/>
      <c r="O189" s="307"/>
      <c r="P189" s="307"/>
      <c r="Q189" s="307"/>
      <c r="R189" s="307"/>
      <c r="S189" s="307"/>
      <c r="T189" s="307"/>
      <c r="U189" s="307"/>
      <c r="V189" s="1050">
        <f t="shared" si="6"/>
        <v>70100</v>
      </c>
      <c r="W189" s="334"/>
    </row>
    <row r="190" spans="1:23" s="310" customFormat="1" ht="18" customHeight="1">
      <c r="A190" s="306" t="s">
        <v>346</v>
      </c>
      <c r="B190" s="1065" t="s">
        <v>734</v>
      </c>
      <c r="C190" s="307"/>
      <c r="D190" s="307"/>
      <c r="E190" s="307"/>
      <c r="F190" s="307">
        <v>65000</v>
      </c>
      <c r="G190" s="307"/>
      <c r="H190" s="307">
        <v>15000</v>
      </c>
      <c r="I190" s="307">
        <v>1000</v>
      </c>
      <c r="J190" s="307"/>
      <c r="K190" s="307"/>
      <c r="L190" s="307"/>
      <c r="M190" s="307"/>
      <c r="N190" s="307"/>
      <c r="O190" s="307"/>
      <c r="P190" s="307"/>
      <c r="Q190" s="307"/>
      <c r="R190" s="307"/>
      <c r="S190" s="307"/>
      <c r="T190" s="307"/>
      <c r="U190" s="307"/>
      <c r="V190" s="1050">
        <f t="shared" si="6"/>
        <v>81000</v>
      </c>
      <c r="W190" s="334"/>
    </row>
    <row r="191" spans="1:23" s="310" customFormat="1" ht="18.75" customHeight="1">
      <c r="A191" s="306" t="s">
        <v>118</v>
      </c>
      <c r="B191" s="1065" t="s">
        <v>187</v>
      </c>
      <c r="C191" s="307"/>
      <c r="D191" s="307"/>
      <c r="E191" s="307"/>
      <c r="F191" s="307"/>
      <c r="G191" s="307"/>
      <c r="H191" s="307">
        <v>3500</v>
      </c>
      <c r="I191" s="307"/>
      <c r="J191" s="307"/>
      <c r="K191" s="307"/>
      <c r="L191" s="307"/>
      <c r="M191" s="307"/>
      <c r="N191" s="307"/>
      <c r="O191" s="307"/>
      <c r="P191" s="307"/>
      <c r="Q191" s="307"/>
      <c r="R191" s="307"/>
      <c r="S191" s="307"/>
      <c r="T191" s="307"/>
      <c r="U191" s="307"/>
      <c r="V191" s="1050">
        <f t="shared" si="6"/>
        <v>3500</v>
      </c>
      <c r="W191" s="334"/>
    </row>
    <row r="192" spans="1:23" s="310" customFormat="1" ht="18.75" customHeight="1">
      <c r="A192" s="306" t="s">
        <v>347</v>
      </c>
      <c r="B192" s="1065" t="s">
        <v>688</v>
      </c>
      <c r="C192" s="307"/>
      <c r="D192" s="307"/>
      <c r="E192" s="307"/>
      <c r="F192" s="307">
        <v>20000</v>
      </c>
      <c r="G192" s="307"/>
      <c r="H192" s="307">
        <v>6000</v>
      </c>
      <c r="I192" s="307">
        <v>200</v>
      </c>
      <c r="J192" s="307"/>
      <c r="K192" s="307"/>
      <c r="L192" s="307"/>
      <c r="M192" s="307"/>
      <c r="N192" s="307"/>
      <c r="O192" s="307"/>
      <c r="P192" s="307"/>
      <c r="Q192" s="307"/>
      <c r="R192" s="307"/>
      <c r="S192" s="307"/>
      <c r="T192" s="307"/>
      <c r="U192" s="307"/>
      <c r="V192" s="1050">
        <f t="shared" si="6"/>
        <v>26200</v>
      </c>
      <c r="W192" s="334"/>
    </row>
    <row r="193" spans="1:23" s="310" customFormat="1" ht="18.75" customHeight="1">
      <c r="A193" s="306" t="s">
        <v>348</v>
      </c>
      <c r="B193" s="1065" t="s">
        <v>689</v>
      </c>
      <c r="C193" s="307"/>
      <c r="D193" s="307"/>
      <c r="E193" s="307"/>
      <c r="F193" s="307"/>
      <c r="G193" s="307"/>
      <c r="H193" s="307"/>
      <c r="I193" s="307"/>
      <c r="J193" s="307"/>
      <c r="K193" s="307"/>
      <c r="L193" s="307"/>
      <c r="M193" s="307"/>
      <c r="N193" s="307"/>
      <c r="O193" s="307">
        <v>-7700</v>
      </c>
      <c r="P193" s="307"/>
      <c r="Q193" s="307"/>
      <c r="R193" s="307"/>
      <c r="S193" s="307"/>
      <c r="T193" s="307"/>
      <c r="U193" s="307"/>
      <c r="V193" s="1050">
        <f t="shared" si="6"/>
        <v>-7700</v>
      </c>
      <c r="W193" s="334"/>
    </row>
    <row r="194" spans="1:23" s="310" customFormat="1" ht="18.75" customHeight="1">
      <c r="A194" s="306" t="s">
        <v>119</v>
      </c>
      <c r="B194" s="1065" t="s">
        <v>374</v>
      </c>
      <c r="C194" s="307"/>
      <c r="D194" s="307"/>
      <c r="E194" s="307"/>
      <c r="F194" s="307">
        <v>80000</v>
      </c>
      <c r="G194" s="307"/>
      <c r="H194" s="307">
        <v>9500</v>
      </c>
      <c r="I194" s="307">
        <v>1400</v>
      </c>
      <c r="J194" s="307"/>
      <c r="K194" s="307"/>
      <c r="L194" s="307"/>
      <c r="M194" s="307"/>
      <c r="N194" s="307"/>
      <c r="O194" s="307"/>
      <c r="P194" s="307"/>
      <c r="Q194" s="307"/>
      <c r="R194" s="307"/>
      <c r="S194" s="307"/>
      <c r="T194" s="307"/>
      <c r="U194" s="307"/>
      <c r="V194" s="1050">
        <f t="shared" si="6"/>
        <v>90900</v>
      </c>
      <c r="W194" s="334"/>
    </row>
    <row r="195" spans="1:23" s="310" customFormat="1" ht="18.75" customHeight="1">
      <c r="A195" s="306" t="s">
        <v>353</v>
      </c>
      <c r="B195" s="1065" t="s">
        <v>765</v>
      </c>
      <c r="C195" s="307"/>
      <c r="D195" s="307"/>
      <c r="E195" s="307"/>
      <c r="F195" s="307">
        <v>-25290</v>
      </c>
      <c r="G195" s="307"/>
      <c r="H195" s="307"/>
      <c r="I195" s="307"/>
      <c r="J195" s="307"/>
      <c r="K195" s="307"/>
      <c r="L195" s="307">
        <v>2000</v>
      </c>
      <c r="M195" s="307"/>
      <c r="N195" s="307"/>
      <c r="O195" s="307"/>
      <c r="P195" s="307"/>
      <c r="Q195" s="307"/>
      <c r="R195" s="307"/>
      <c r="S195" s="307"/>
      <c r="T195" s="307"/>
      <c r="U195" s="307"/>
      <c r="V195" s="1050">
        <f t="shared" si="6"/>
        <v>-23290</v>
      </c>
      <c r="W195" s="334"/>
    </row>
    <row r="196" spans="1:23" s="310" customFormat="1" ht="18.75" customHeight="1" thickBot="1">
      <c r="A196" s="306" t="s">
        <v>120</v>
      </c>
      <c r="B196" s="1065" t="s">
        <v>733</v>
      </c>
      <c r="C196" s="307"/>
      <c r="D196" s="307"/>
      <c r="E196" s="307"/>
      <c r="F196" s="307">
        <v>84400</v>
      </c>
      <c r="G196" s="307"/>
      <c r="H196" s="307">
        <v>14100</v>
      </c>
      <c r="I196" s="307">
        <v>1000</v>
      </c>
      <c r="J196" s="307"/>
      <c r="K196" s="307"/>
      <c r="L196" s="307"/>
      <c r="M196" s="307"/>
      <c r="N196" s="307"/>
      <c r="O196" s="307"/>
      <c r="P196" s="307"/>
      <c r="Q196" s="307"/>
      <c r="R196" s="307"/>
      <c r="S196" s="307"/>
      <c r="T196" s="307"/>
      <c r="U196" s="307"/>
      <c r="V196" s="1061">
        <f t="shared" si="6"/>
        <v>99500</v>
      </c>
      <c r="W196" s="334"/>
    </row>
    <row r="197" spans="1:23" s="310" customFormat="1" ht="19.5" customHeight="1" thickBot="1">
      <c r="A197" s="305">
        <v>80121</v>
      </c>
      <c r="B197" s="1047" t="s">
        <v>121</v>
      </c>
      <c r="C197" s="703">
        <v>0</v>
      </c>
      <c r="D197" s="703">
        <v>0</v>
      </c>
      <c r="E197" s="703">
        <v>0</v>
      </c>
      <c r="F197" s="1030">
        <f>SUM(F198:F199)</f>
        <v>-210839</v>
      </c>
      <c r="G197" s="303"/>
      <c r="H197" s="303">
        <f>SUM(H198:H199)</f>
        <v>-28980</v>
      </c>
      <c r="I197" s="303">
        <f>SUM(I198:I199)</f>
        <v>-3850</v>
      </c>
      <c r="J197" s="303"/>
      <c r="K197" s="303"/>
      <c r="L197" s="303"/>
      <c r="M197" s="303"/>
      <c r="N197" s="303"/>
      <c r="O197" s="303"/>
      <c r="P197" s="303"/>
      <c r="Q197" s="303"/>
      <c r="R197" s="303"/>
      <c r="S197" s="303"/>
      <c r="T197" s="303"/>
      <c r="U197" s="303">
        <f>SUM(U198:U199)</f>
        <v>-14443</v>
      </c>
      <c r="V197" s="1066">
        <f t="shared" si="6"/>
        <v>-258112</v>
      </c>
      <c r="W197" s="334"/>
    </row>
    <row r="198" spans="1:23" s="310" customFormat="1" ht="18" customHeight="1">
      <c r="A198" s="308" t="s">
        <v>122</v>
      </c>
      <c r="B198" s="1058" t="s">
        <v>123</v>
      </c>
      <c r="C198" s="309"/>
      <c r="D198" s="309"/>
      <c r="E198" s="309"/>
      <c r="F198" s="309">
        <v>-105310</v>
      </c>
      <c r="G198" s="309"/>
      <c r="H198" s="309">
        <v>-12980</v>
      </c>
      <c r="I198" s="309">
        <v>-2750</v>
      </c>
      <c r="J198" s="309"/>
      <c r="K198" s="309"/>
      <c r="L198" s="309"/>
      <c r="M198" s="309"/>
      <c r="N198" s="309"/>
      <c r="O198" s="309"/>
      <c r="P198" s="309"/>
      <c r="Q198" s="309"/>
      <c r="R198" s="309"/>
      <c r="S198" s="309"/>
      <c r="T198" s="309"/>
      <c r="U198" s="309">
        <v>-4980</v>
      </c>
      <c r="V198" s="1064">
        <f t="shared" si="6"/>
        <v>-126020</v>
      </c>
      <c r="W198" s="334"/>
    </row>
    <row r="199" spans="1:23" s="310" customFormat="1" ht="26.25" thickBot="1">
      <c r="A199" s="306" t="s">
        <v>124</v>
      </c>
      <c r="B199" s="1065" t="s">
        <v>445</v>
      </c>
      <c r="C199" s="307"/>
      <c r="D199" s="307"/>
      <c r="E199" s="307"/>
      <c r="F199" s="307">
        <v>-105529</v>
      </c>
      <c r="G199" s="307"/>
      <c r="H199" s="307">
        <v>-16000</v>
      </c>
      <c r="I199" s="307">
        <v>-1100</v>
      </c>
      <c r="J199" s="307"/>
      <c r="K199" s="307"/>
      <c r="L199" s="307"/>
      <c r="M199" s="307"/>
      <c r="N199" s="307"/>
      <c r="O199" s="307"/>
      <c r="P199" s="307"/>
      <c r="Q199" s="307"/>
      <c r="R199" s="307"/>
      <c r="S199" s="307"/>
      <c r="T199" s="307"/>
      <c r="U199" s="307">
        <v>-9463</v>
      </c>
      <c r="V199" s="1061">
        <f t="shared" si="6"/>
        <v>-132092</v>
      </c>
      <c r="W199" s="334"/>
    </row>
    <row r="200" spans="1:23" s="310" customFormat="1" ht="19.5" customHeight="1" thickBot="1">
      <c r="A200" s="305">
        <v>80123</v>
      </c>
      <c r="B200" s="1047" t="s">
        <v>716</v>
      </c>
      <c r="C200" s="303">
        <v>0</v>
      </c>
      <c r="D200" s="303">
        <v>0</v>
      </c>
      <c r="E200" s="303">
        <v>0</v>
      </c>
      <c r="F200" s="303">
        <f>SUM(F201:F209)</f>
        <v>138840</v>
      </c>
      <c r="G200" s="303"/>
      <c r="H200" s="303">
        <f>SUM(H201:H209)</f>
        <v>19790</v>
      </c>
      <c r="I200" s="303">
        <f>SUM(I201:I209)</f>
        <v>2360</v>
      </c>
      <c r="J200" s="303"/>
      <c r="K200" s="303"/>
      <c r="L200" s="303"/>
      <c r="M200" s="303"/>
      <c r="N200" s="303"/>
      <c r="O200" s="303">
        <f>SUM(O201:O209)</f>
        <v>2900</v>
      </c>
      <c r="P200" s="303"/>
      <c r="Q200" s="303"/>
      <c r="R200" s="303"/>
      <c r="S200" s="303"/>
      <c r="T200" s="303"/>
      <c r="U200" s="303">
        <f>SUM(U201:U209)</f>
        <v>7410</v>
      </c>
      <c r="V200" s="1062">
        <f t="shared" si="6"/>
        <v>171300</v>
      </c>
      <c r="W200" s="334"/>
    </row>
    <row r="201" spans="1:23" s="310" customFormat="1" ht="18" customHeight="1">
      <c r="A201" s="313" t="s">
        <v>354</v>
      </c>
      <c r="B201" s="1049" t="s">
        <v>734</v>
      </c>
      <c r="C201" s="311"/>
      <c r="D201" s="311"/>
      <c r="E201" s="311"/>
      <c r="F201" s="311"/>
      <c r="G201" s="311"/>
      <c r="H201" s="311">
        <v>1500</v>
      </c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1064">
        <f t="shared" si="6"/>
        <v>1500</v>
      </c>
      <c r="W201" s="334"/>
    </row>
    <row r="202" spans="1:22" s="334" customFormat="1" ht="24" customHeight="1">
      <c r="A202" s="313" t="s">
        <v>355</v>
      </c>
      <c r="B202" s="1059" t="s">
        <v>718</v>
      </c>
      <c r="C202" s="318"/>
      <c r="D202" s="318"/>
      <c r="E202" s="318"/>
      <c r="F202" s="318"/>
      <c r="G202" s="318"/>
      <c r="H202" s="318">
        <v>900</v>
      </c>
      <c r="I202" s="318">
        <v>110</v>
      </c>
      <c r="J202" s="318"/>
      <c r="K202" s="318"/>
      <c r="L202" s="318"/>
      <c r="M202" s="318"/>
      <c r="N202" s="318"/>
      <c r="O202" s="318">
        <v>1500</v>
      </c>
      <c r="P202" s="318"/>
      <c r="Q202" s="318"/>
      <c r="R202" s="318"/>
      <c r="S202" s="318"/>
      <c r="T202" s="318"/>
      <c r="U202" s="318"/>
      <c r="V202" s="1050">
        <f t="shared" si="6"/>
        <v>2510</v>
      </c>
    </row>
    <row r="203" spans="1:23" s="310" customFormat="1" ht="27" customHeight="1">
      <c r="A203" s="313" t="s">
        <v>356</v>
      </c>
      <c r="B203" s="1059" t="s">
        <v>0</v>
      </c>
      <c r="C203" s="314"/>
      <c r="D203" s="314"/>
      <c r="E203" s="314"/>
      <c r="F203" s="314">
        <v>25370</v>
      </c>
      <c r="G203" s="314"/>
      <c r="H203" s="314"/>
      <c r="I203" s="314">
        <v>800</v>
      </c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  <c r="U203" s="314"/>
      <c r="V203" s="1050">
        <f aca="true" t="shared" si="8" ref="V203:V266">SUM(F203:U203)</f>
        <v>26170</v>
      </c>
      <c r="W203" s="334"/>
    </row>
    <row r="204" spans="1:23" s="310" customFormat="1" ht="20.25" customHeight="1">
      <c r="A204" s="313" t="s">
        <v>357</v>
      </c>
      <c r="B204" s="1059" t="s">
        <v>723</v>
      </c>
      <c r="C204" s="314"/>
      <c r="D204" s="314"/>
      <c r="E204" s="314"/>
      <c r="F204" s="314">
        <v>83400</v>
      </c>
      <c r="G204" s="314"/>
      <c r="H204" s="314">
        <v>14000</v>
      </c>
      <c r="I204" s="314">
        <v>1700</v>
      </c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  <c r="U204" s="314"/>
      <c r="V204" s="1050">
        <f t="shared" si="8"/>
        <v>99100</v>
      </c>
      <c r="W204" s="334"/>
    </row>
    <row r="205" spans="1:22" s="334" customFormat="1" ht="20.25" customHeight="1">
      <c r="A205" s="313" t="s">
        <v>358</v>
      </c>
      <c r="B205" s="1059" t="s">
        <v>784</v>
      </c>
      <c r="C205" s="318"/>
      <c r="D205" s="318"/>
      <c r="E205" s="318"/>
      <c r="F205" s="318">
        <v>70000</v>
      </c>
      <c r="G205" s="318"/>
      <c r="H205" s="318">
        <v>4100</v>
      </c>
      <c r="I205" s="318"/>
      <c r="J205" s="318"/>
      <c r="K205" s="318"/>
      <c r="L205" s="318"/>
      <c r="M205" s="318"/>
      <c r="N205" s="318"/>
      <c r="O205" s="318"/>
      <c r="P205" s="318"/>
      <c r="Q205" s="318"/>
      <c r="R205" s="318"/>
      <c r="S205" s="318"/>
      <c r="T205" s="318"/>
      <c r="U205" s="318"/>
      <c r="V205" s="1050">
        <f t="shared" si="8"/>
        <v>74100</v>
      </c>
    </row>
    <row r="206" spans="1:23" s="310" customFormat="1" ht="18.75" customHeight="1">
      <c r="A206" s="313" t="s">
        <v>125</v>
      </c>
      <c r="B206" s="1049" t="s">
        <v>719</v>
      </c>
      <c r="C206" s="312"/>
      <c r="D206" s="312"/>
      <c r="E206" s="312"/>
      <c r="F206" s="312">
        <v>-10000</v>
      </c>
      <c r="G206" s="312"/>
      <c r="H206" s="312">
        <v>-180</v>
      </c>
      <c r="I206" s="312"/>
      <c r="J206" s="312"/>
      <c r="K206" s="312"/>
      <c r="L206" s="312"/>
      <c r="M206" s="312"/>
      <c r="N206" s="312"/>
      <c r="O206" s="312"/>
      <c r="P206" s="312"/>
      <c r="Q206" s="312"/>
      <c r="R206" s="312"/>
      <c r="S206" s="312"/>
      <c r="T206" s="312"/>
      <c r="U206" s="312"/>
      <c r="V206" s="1050">
        <f t="shared" si="8"/>
        <v>-10180</v>
      </c>
      <c r="W206" s="334"/>
    </row>
    <row r="207" spans="1:23" s="310" customFormat="1" ht="18.75" customHeight="1">
      <c r="A207" s="313" t="s">
        <v>126</v>
      </c>
      <c r="B207" s="1049" t="s">
        <v>792</v>
      </c>
      <c r="C207" s="312"/>
      <c r="D207" s="312"/>
      <c r="E207" s="312"/>
      <c r="F207" s="312">
        <v>-3000</v>
      </c>
      <c r="G207" s="312"/>
      <c r="H207" s="312">
        <v>-2320</v>
      </c>
      <c r="I207" s="312"/>
      <c r="J207" s="312"/>
      <c r="K207" s="312"/>
      <c r="L207" s="312"/>
      <c r="M207" s="312"/>
      <c r="N207" s="312"/>
      <c r="O207" s="312"/>
      <c r="P207" s="312"/>
      <c r="Q207" s="312"/>
      <c r="R207" s="312"/>
      <c r="S207" s="312"/>
      <c r="T207" s="312"/>
      <c r="U207" s="312">
        <v>7410</v>
      </c>
      <c r="V207" s="1050">
        <f t="shared" si="8"/>
        <v>2090</v>
      </c>
      <c r="W207" s="334"/>
    </row>
    <row r="208" spans="1:22" s="334" customFormat="1" ht="18.75" customHeight="1">
      <c r="A208" s="313" t="s">
        <v>359</v>
      </c>
      <c r="B208" s="1049" t="s">
        <v>733</v>
      </c>
      <c r="C208" s="318"/>
      <c r="D208" s="318"/>
      <c r="E208" s="318"/>
      <c r="F208" s="318">
        <v>-26930</v>
      </c>
      <c r="G208" s="318"/>
      <c r="H208" s="318">
        <v>-3010</v>
      </c>
      <c r="I208" s="318">
        <v>-900</v>
      </c>
      <c r="J208" s="318"/>
      <c r="K208" s="318"/>
      <c r="L208" s="318"/>
      <c r="M208" s="318"/>
      <c r="N208" s="318"/>
      <c r="O208" s="318"/>
      <c r="P208" s="318"/>
      <c r="Q208" s="318"/>
      <c r="R208" s="318"/>
      <c r="S208" s="318"/>
      <c r="T208" s="318"/>
      <c r="U208" s="318"/>
      <c r="V208" s="1050">
        <f t="shared" si="8"/>
        <v>-30840</v>
      </c>
    </row>
    <row r="209" spans="1:23" s="310" customFormat="1" ht="18.75" customHeight="1" thickBot="1">
      <c r="A209" s="313" t="s">
        <v>360</v>
      </c>
      <c r="B209" s="1049" t="s">
        <v>721</v>
      </c>
      <c r="C209" s="312"/>
      <c r="D209" s="312"/>
      <c r="E209" s="312"/>
      <c r="F209" s="312"/>
      <c r="G209" s="312"/>
      <c r="H209" s="312">
        <v>4800</v>
      </c>
      <c r="I209" s="312">
        <v>650</v>
      </c>
      <c r="J209" s="312"/>
      <c r="K209" s="312"/>
      <c r="L209" s="312"/>
      <c r="M209" s="312"/>
      <c r="N209" s="312"/>
      <c r="O209" s="312">
        <v>1400</v>
      </c>
      <c r="P209" s="312"/>
      <c r="Q209" s="312"/>
      <c r="R209" s="312"/>
      <c r="S209" s="312"/>
      <c r="T209" s="312"/>
      <c r="U209" s="312"/>
      <c r="V209" s="1050">
        <f t="shared" si="8"/>
        <v>6850</v>
      </c>
      <c r="W209" s="334"/>
    </row>
    <row r="210" spans="1:23" s="310" customFormat="1" ht="19.5" customHeight="1" thickBot="1">
      <c r="A210" s="305">
        <v>80130</v>
      </c>
      <c r="B210" s="1047" t="s">
        <v>717</v>
      </c>
      <c r="C210" s="303">
        <v>0</v>
      </c>
      <c r="D210" s="303">
        <v>0</v>
      </c>
      <c r="E210" s="303">
        <v>0</v>
      </c>
      <c r="F210" s="303">
        <f>SUM(F211:F223)</f>
        <v>-300660</v>
      </c>
      <c r="G210" s="303"/>
      <c r="H210" s="303">
        <f aca="true" t="shared" si="9" ref="H210:U210">SUM(H211:H223)</f>
        <v>26720</v>
      </c>
      <c r="I210" s="303">
        <f t="shared" si="9"/>
        <v>2470</v>
      </c>
      <c r="J210" s="303"/>
      <c r="K210" s="303"/>
      <c r="L210" s="303">
        <f t="shared" si="9"/>
        <v>-14000</v>
      </c>
      <c r="M210" s="303"/>
      <c r="N210" s="303">
        <f t="shared" si="9"/>
        <v>10000</v>
      </c>
      <c r="O210" s="303">
        <f t="shared" si="9"/>
        <v>7100</v>
      </c>
      <c r="P210" s="303">
        <f t="shared" si="9"/>
        <v>75000</v>
      </c>
      <c r="Q210" s="303"/>
      <c r="R210" s="303">
        <f t="shared" si="9"/>
        <v>15000</v>
      </c>
      <c r="S210" s="303"/>
      <c r="T210" s="303"/>
      <c r="U210" s="303">
        <f t="shared" si="9"/>
        <v>-9370</v>
      </c>
      <c r="V210" s="1050">
        <f t="shared" si="8"/>
        <v>-187740</v>
      </c>
      <c r="W210" s="334"/>
    </row>
    <row r="211" spans="1:23" s="310" customFormat="1" ht="18" customHeight="1">
      <c r="A211" s="347" t="s">
        <v>127</v>
      </c>
      <c r="B211" s="1067" t="s">
        <v>718</v>
      </c>
      <c r="C211" s="309"/>
      <c r="D211" s="309"/>
      <c r="E211" s="309"/>
      <c r="F211" s="309"/>
      <c r="G211" s="309"/>
      <c r="H211" s="309"/>
      <c r="I211" s="309"/>
      <c r="J211" s="309"/>
      <c r="K211" s="309"/>
      <c r="L211" s="309">
        <v>-20000</v>
      </c>
      <c r="M211" s="309"/>
      <c r="N211" s="309"/>
      <c r="O211" s="309">
        <v>23000</v>
      </c>
      <c r="P211" s="309">
        <v>17000</v>
      </c>
      <c r="Q211" s="309"/>
      <c r="R211" s="309"/>
      <c r="S211" s="309"/>
      <c r="T211" s="309"/>
      <c r="U211" s="309"/>
      <c r="V211" s="1050">
        <f t="shared" si="8"/>
        <v>20000</v>
      </c>
      <c r="W211" s="334"/>
    </row>
    <row r="212" spans="1:23" s="310" customFormat="1" ht="18" customHeight="1">
      <c r="A212" s="347" t="s">
        <v>128</v>
      </c>
      <c r="B212" s="1067" t="s">
        <v>719</v>
      </c>
      <c r="C212" s="309"/>
      <c r="D212" s="309"/>
      <c r="E212" s="309"/>
      <c r="F212" s="309">
        <v>-160000</v>
      </c>
      <c r="G212" s="309"/>
      <c r="H212" s="309"/>
      <c r="I212" s="309"/>
      <c r="J212" s="309"/>
      <c r="K212" s="309"/>
      <c r="L212" s="309"/>
      <c r="M212" s="309"/>
      <c r="N212" s="309"/>
      <c r="O212" s="309">
        <v>-8000</v>
      </c>
      <c r="P212" s="309"/>
      <c r="Q212" s="309"/>
      <c r="R212" s="309"/>
      <c r="S212" s="309"/>
      <c r="T212" s="309"/>
      <c r="U212" s="309"/>
      <c r="V212" s="1050">
        <f t="shared" si="8"/>
        <v>-168000</v>
      </c>
      <c r="W212" s="334"/>
    </row>
    <row r="213" spans="1:23" s="310" customFormat="1" ht="18" customHeight="1">
      <c r="A213" s="347" t="s">
        <v>129</v>
      </c>
      <c r="B213" s="1067" t="s">
        <v>720</v>
      </c>
      <c r="C213" s="309"/>
      <c r="D213" s="309"/>
      <c r="E213" s="309"/>
      <c r="F213" s="309"/>
      <c r="G213" s="309"/>
      <c r="H213" s="309"/>
      <c r="I213" s="309"/>
      <c r="J213" s="309"/>
      <c r="K213" s="309"/>
      <c r="L213" s="309"/>
      <c r="M213" s="309"/>
      <c r="N213" s="309">
        <v>10000</v>
      </c>
      <c r="O213" s="309"/>
      <c r="P213" s="309"/>
      <c r="Q213" s="309"/>
      <c r="R213" s="309"/>
      <c r="S213" s="309"/>
      <c r="T213" s="309"/>
      <c r="U213" s="309"/>
      <c r="V213" s="1050">
        <f t="shared" si="8"/>
        <v>10000</v>
      </c>
      <c r="W213" s="334"/>
    </row>
    <row r="214" spans="1:23" s="310" customFormat="1" ht="18" customHeight="1">
      <c r="A214" s="347"/>
      <c r="B214" s="1067" t="s">
        <v>721</v>
      </c>
      <c r="C214" s="309"/>
      <c r="D214" s="309"/>
      <c r="E214" s="309"/>
      <c r="F214" s="309"/>
      <c r="G214" s="309"/>
      <c r="H214" s="309"/>
      <c r="I214" s="309"/>
      <c r="J214" s="309"/>
      <c r="K214" s="309"/>
      <c r="L214" s="309"/>
      <c r="M214" s="309"/>
      <c r="N214" s="309"/>
      <c r="O214" s="309"/>
      <c r="P214" s="309">
        <v>29000</v>
      </c>
      <c r="Q214" s="309"/>
      <c r="R214" s="309"/>
      <c r="S214" s="309"/>
      <c r="T214" s="309"/>
      <c r="U214" s="309"/>
      <c r="V214" s="1050">
        <f t="shared" si="8"/>
        <v>29000</v>
      </c>
      <c r="W214" s="334"/>
    </row>
    <row r="215" spans="1:23" s="310" customFormat="1" ht="18" customHeight="1">
      <c r="A215" s="347" t="s">
        <v>130</v>
      </c>
      <c r="B215" s="1067" t="s">
        <v>722</v>
      </c>
      <c r="C215" s="309"/>
      <c r="D215" s="309"/>
      <c r="E215" s="309"/>
      <c r="F215" s="309">
        <v>-169840</v>
      </c>
      <c r="G215" s="309"/>
      <c r="H215" s="309">
        <v>-5690</v>
      </c>
      <c r="I215" s="309"/>
      <c r="J215" s="309"/>
      <c r="K215" s="309"/>
      <c r="L215" s="309"/>
      <c r="M215" s="309"/>
      <c r="N215" s="309"/>
      <c r="O215" s="309"/>
      <c r="P215" s="309">
        <v>29000</v>
      </c>
      <c r="Q215" s="309"/>
      <c r="R215" s="309"/>
      <c r="S215" s="309"/>
      <c r="T215" s="309"/>
      <c r="U215" s="309"/>
      <c r="V215" s="1050">
        <f t="shared" si="8"/>
        <v>-146530</v>
      </c>
      <c r="W215" s="334"/>
    </row>
    <row r="216" spans="1:23" s="727" customFormat="1" ht="18" customHeight="1">
      <c r="A216" s="347" t="s">
        <v>131</v>
      </c>
      <c r="B216" s="1067" t="s">
        <v>791</v>
      </c>
      <c r="C216" s="309"/>
      <c r="D216" s="309"/>
      <c r="E216" s="309"/>
      <c r="F216" s="309">
        <v>60000</v>
      </c>
      <c r="G216" s="309"/>
      <c r="H216" s="309">
        <v>17590</v>
      </c>
      <c r="I216" s="309"/>
      <c r="J216" s="309"/>
      <c r="K216" s="309"/>
      <c r="L216" s="309"/>
      <c r="M216" s="309"/>
      <c r="N216" s="309"/>
      <c r="O216" s="309">
        <v>3000</v>
      </c>
      <c r="P216" s="309"/>
      <c r="Q216" s="309"/>
      <c r="R216" s="309"/>
      <c r="S216" s="309"/>
      <c r="T216" s="309"/>
      <c r="U216" s="309"/>
      <c r="V216" s="1050">
        <f t="shared" si="8"/>
        <v>80590</v>
      </c>
      <c r="W216" s="334"/>
    </row>
    <row r="217" spans="1:23" s="343" customFormat="1" ht="18" customHeight="1">
      <c r="A217" s="347" t="s">
        <v>132</v>
      </c>
      <c r="B217" s="1067" t="s">
        <v>723</v>
      </c>
      <c r="C217" s="309"/>
      <c r="D217" s="309"/>
      <c r="E217" s="309"/>
      <c r="F217" s="309">
        <v>-27800</v>
      </c>
      <c r="G217" s="309"/>
      <c r="H217" s="309">
        <v>-2700</v>
      </c>
      <c r="I217" s="309">
        <v>-1100</v>
      </c>
      <c r="J217" s="309"/>
      <c r="K217" s="309"/>
      <c r="L217" s="309"/>
      <c r="M217" s="309"/>
      <c r="N217" s="309"/>
      <c r="O217" s="309">
        <v>-7900</v>
      </c>
      <c r="P217" s="309"/>
      <c r="Q217" s="309"/>
      <c r="R217" s="309"/>
      <c r="S217" s="309"/>
      <c r="T217" s="309"/>
      <c r="U217" s="309"/>
      <c r="V217" s="1050">
        <f t="shared" si="8"/>
        <v>-39500</v>
      </c>
      <c r="W217" s="334"/>
    </row>
    <row r="218" spans="1:23" s="343" customFormat="1" ht="18" customHeight="1">
      <c r="A218" s="347" t="s">
        <v>133</v>
      </c>
      <c r="B218" s="1067" t="s">
        <v>0</v>
      </c>
      <c r="C218" s="309"/>
      <c r="D218" s="309"/>
      <c r="E218" s="309"/>
      <c r="F218" s="309">
        <v>50000</v>
      </c>
      <c r="G218" s="309"/>
      <c r="H218" s="309"/>
      <c r="I218" s="309"/>
      <c r="J218" s="309"/>
      <c r="K218" s="309"/>
      <c r="L218" s="309"/>
      <c r="M218" s="309"/>
      <c r="N218" s="309"/>
      <c r="O218" s="309"/>
      <c r="P218" s="309"/>
      <c r="Q218" s="309"/>
      <c r="R218" s="309"/>
      <c r="S218" s="309"/>
      <c r="T218" s="309"/>
      <c r="U218" s="309"/>
      <c r="V218" s="1050">
        <f t="shared" si="8"/>
        <v>50000</v>
      </c>
      <c r="W218" s="334"/>
    </row>
    <row r="219" spans="1:23" s="343" customFormat="1" ht="18" customHeight="1">
      <c r="A219" s="347" t="s">
        <v>134</v>
      </c>
      <c r="B219" s="1067" t="s">
        <v>732</v>
      </c>
      <c r="C219" s="309"/>
      <c r="D219" s="309"/>
      <c r="E219" s="309"/>
      <c r="F219" s="309">
        <v>283990</v>
      </c>
      <c r="G219" s="309"/>
      <c r="H219" s="309">
        <v>70000</v>
      </c>
      <c r="I219" s="309">
        <v>7800</v>
      </c>
      <c r="J219" s="309"/>
      <c r="K219" s="309"/>
      <c r="L219" s="309">
        <v>6000</v>
      </c>
      <c r="M219" s="309"/>
      <c r="N219" s="309"/>
      <c r="O219" s="309">
        <v>10000</v>
      </c>
      <c r="P219" s="309"/>
      <c r="Q219" s="309"/>
      <c r="R219" s="309">
        <v>12000</v>
      </c>
      <c r="S219" s="309"/>
      <c r="T219" s="309"/>
      <c r="U219" s="309"/>
      <c r="V219" s="1050">
        <f t="shared" si="8"/>
        <v>389790</v>
      </c>
      <c r="W219" s="334"/>
    </row>
    <row r="220" spans="1:23" s="348" customFormat="1" ht="18" customHeight="1">
      <c r="A220" s="347" t="s">
        <v>135</v>
      </c>
      <c r="B220" s="1067" t="s">
        <v>734</v>
      </c>
      <c r="C220" s="309"/>
      <c r="D220" s="309"/>
      <c r="E220" s="309"/>
      <c r="F220" s="309">
        <v>-145000</v>
      </c>
      <c r="G220" s="309"/>
      <c r="H220" s="309">
        <v>-23080</v>
      </c>
      <c r="I220" s="309">
        <v>-1630</v>
      </c>
      <c r="J220" s="309"/>
      <c r="K220" s="309"/>
      <c r="L220" s="309"/>
      <c r="M220" s="309"/>
      <c r="N220" s="309"/>
      <c r="O220" s="309">
        <v>-13000</v>
      </c>
      <c r="P220" s="309"/>
      <c r="Q220" s="309"/>
      <c r="R220" s="309"/>
      <c r="S220" s="309"/>
      <c r="T220" s="309"/>
      <c r="U220" s="309"/>
      <c r="V220" s="1050">
        <f t="shared" si="8"/>
        <v>-182710</v>
      </c>
      <c r="W220" s="334"/>
    </row>
    <row r="221" spans="1:23" s="310" customFormat="1" ht="18" customHeight="1">
      <c r="A221" s="347" t="s">
        <v>136</v>
      </c>
      <c r="B221" s="1067" t="s">
        <v>735</v>
      </c>
      <c r="C221" s="309"/>
      <c r="D221" s="309"/>
      <c r="E221" s="309"/>
      <c r="F221" s="309">
        <v>-8000</v>
      </c>
      <c r="G221" s="309"/>
      <c r="H221" s="309"/>
      <c r="I221" s="309"/>
      <c r="J221" s="309"/>
      <c r="K221" s="309"/>
      <c r="L221" s="309"/>
      <c r="M221" s="309"/>
      <c r="N221" s="309"/>
      <c r="O221" s="309"/>
      <c r="P221" s="309"/>
      <c r="Q221" s="309"/>
      <c r="R221" s="309"/>
      <c r="S221" s="309"/>
      <c r="T221" s="309"/>
      <c r="U221" s="309"/>
      <c r="V221" s="1050">
        <f t="shared" si="8"/>
        <v>-8000</v>
      </c>
      <c r="W221" s="334"/>
    </row>
    <row r="222" spans="1:23" s="348" customFormat="1" ht="18" customHeight="1">
      <c r="A222" s="347" t="s">
        <v>361</v>
      </c>
      <c r="B222" s="1067" t="s">
        <v>137</v>
      </c>
      <c r="C222" s="309"/>
      <c r="D222" s="309"/>
      <c r="E222" s="309"/>
      <c r="F222" s="309"/>
      <c r="G222" s="309"/>
      <c r="H222" s="309"/>
      <c r="I222" s="309"/>
      <c r="J222" s="309"/>
      <c r="K222" s="309"/>
      <c r="L222" s="309"/>
      <c r="M222" s="309"/>
      <c r="N222" s="309"/>
      <c r="O222" s="309"/>
      <c r="P222" s="309"/>
      <c r="Q222" s="309"/>
      <c r="R222" s="309">
        <v>3000</v>
      </c>
      <c r="S222" s="309"/>
      <c r="T222" s="309"/>
      <c r="U222" s="309"/>
      <c r="V222" s="1050">
        <f t="shared" si="8"/>
        <v>3000</v>
      </c>
      <c r="W222" s="334"/>
    </row>
    <row r="223" spans="1:23" s="348" customFormat="1" ht="18" customHeight="1" thickBot="1">
      <c r="A223" s="347" t="s">
        <v>362</v>
      </c>
      <c r="B223" s="1067" t="s">
        <v>138</v>
      </c>
      <c r="C223" s="309"/>
      <c r="D223" s="309"/>
      <c r="E223" s="309"/>
      <c r="F223" s="309">
        <v>-184010</v>
      </c>
      <c r="G223" s="309"/>
      <c r="H223" s="309">
        <v>-29400</v>
      </c>
      <c r="I223" s="309">
        <v>-2600</v>
      </c>
      <c r="J223" s="309"/>
      <c r="K223" s="309"/>
      <c r="L223" s="309"/>
      <c r="M223" s="309"/>
      <c r="N223" s="309"/>
      <c r="O223" s="309"/>
      <c r="P223" s="309"/>
      <c r="Q223" s="309"/>
      <c r="R223" s="309"/>
      <c r="S223" s="309"/>
      <c r="T223" s="309"/>
      <c r="U223" s="309">
        <v>-9370</v>
      </c>
      <c r="V223" s="1050">
        <f t="shared" si="8"/>
        <v>-225380</v>
      </c>
      <c r="W223" s="334"/>
    </row>
    <row r="224" spans="1:44" ht="17.25" customHeight="1" thickBot="1">
      <c r="A224" s="313">
        <v>80134</v>
      </c>
      <c r="B224" s="1051" t="s">
        <v>139</v>
      </c>
      <c r="C224" s="341">
        <v>0</v>
      </c>
      <c r="D224" s="341">
        <v>0</v>
      </c>
      <c r="E224" s="357">
        <v>0</v>
      </c>
      <c r="F224" s="340">
        <f>SUM(F225:F226)</f>
        <v>-11000</v>
      </c>
      <c r="G224" s="340"/>
      <c r="H224" s="340">
        <f>SUM(H225:H226)</f>
        <v>-11760</v>
      </c>
      <c r="I224" s="340">
        <f>SUM(I225:I226)</f>
        <v>-2110</v>
      </c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340"/>
      <c r="U224" s="340"/>
      <c r="V224" s="1048">
        <f t="shared" si="8"/>
        <v>-24870</v>
      </c>
      <c r="W224" s="333"/>
      <c r="X224" s="333"/>
      <c r="Y224" s="333"/>
      <c r="Z224" s="333"/>
      <c r="AA224" s="333"/>
      <c r="AB224" s="333"/>
      <c r="AC224" s="333"/>
      <c r="AD224" s="333"/>
      <c r="AE224" s="333"/>
      <c r="AF224" s="333"/>
      <c r="AG224" s="333"/>
      <c r="AH224" s="333"/>
      <c r="AI224" s="333"/>
      <c r="AJ224" s="333"/>
      <c r="AK224" s="333"/>
      <c r="AL224" s="333"/>
      <c r="AM224" s="333"/>
      <c r="AN224" s="333"/>
      <c r="AO224" s="333"/>
      <c r="AP224" s="333"/>
      <c r="AQ224" s="333"/>
      <c r="AR224" s="333"/>
    </row>
    <row r="225" spans="1:23" ht="18" customHeight="1">
      <c r="A225" s="347" t="s">
        <v>363</v>
      </c>
      <c r="B225" s="1068" t="s">
        <v>736</v>
      </c>
      <c r="C225" s="349"/>
      <c r="D225" s="349"/>
      <c r="E225" s="349"/>
      <c r="F225" s="349">
        <v>70000</v>
      </c>
      <c r="G225" s="349"/>
      <c r="H225" s="349">
        <v>3000</v>
      </c>
      <c r="I225" s="349"/>
      <c r="J225" s="349"/>
      <c r="K225" s="349"/>
      <c r="L225" s="349"/>
      <c r="M225" s="349"/>
      <c r="N225" s="349"/>
      <c r="O225" s="349"/>
      <c r="P225" s="349"/>
      <c r="Q225" s="349"/>
      <c r="R225" s="349"/>
      <c r="S225" s="349"/>
      <c r="T225" s="349"/>
      <c r="U225" s="349"/>
      <c r="V225" s="1050">
        <f t="shared" si="8"/>
        <v>73000</v>
      </c>
      <c r="W225" s="334"/>
    </row>
    <row r="226" spans="1:23" s="310" customFormat="1" ht="18" customHeight="1" thickBot="1">
      <c r="A226" s="350" t="s">
        <v>364</v>
      </c>
      <c r="B226" s="1069" t="s">
        <v>735</v>
      </c>
      <c r="C226" s="307"/>
      <c r="D226" s="307"/>
      <c r="E226" s="307"/>
      <c r="F226" s="307">
        <v>-81000</v>
      </c>
      <c r="G226" s="307"/>
      <c r="H226" s="307">
        <v>-14760</v>
      </c>
      <c r="I226" s="307">
        <v>-2110</v>
      </c>
      <c r="J226" s="307"/>
      <c r="K226" s="307"/>
      <c r="L226" s="307"/>
      <c r="M226" s="307"/>
      <c r="N226" s="307"/>
      <c r="O226" s="307"/>
      <c r="P226" s="307"/>
      <c r="Q226" s="307"/>
      <c r="R226" s="307"/>
      <c r="S226" s="307"/>
      <c r="T226" s="307"/>
      <c r="U226" s="307"/>
      <c r="V226" s="1050">
        <f t="shared" si="8"/>
        <v>-97870</v>
      </c>
      <c r="W226" s="334"/>
    </row>
    <row r="227" spans="1:23" ht="39" thickBot="1">
      <c r="A227" s="305">
        <v>80140</v>
      </c>
      <c r="B227" s="1051" t="s">
        <v>566</v>
      </c>
      <c r="C227" s="304">
        <v>0</v>
      </c>
      <c r="D227" s="304">
        <v>0</v>
      </c>
      <c r="E227" s="304">
        <v>0</v>
      </c>
      <c r="F227" s="304">
        <f>SUM(F228:F230)</f>
        <v>39630</v>
      </c>
      <c r="G227" s="304"/>
      <c r="H227" s="304">
        <f>SUM(H228:H230)</f>
        <v>-13000</v>
      </c>
      <c r="I227" s="304">
        <f>SUM(I228:I230)</f>
        <v>-2500</v>
      </c>
      <c r="J227" s="304"/>
      <c r="K227" s="304"/>
      <c r="L227" s="304"/>
      <c r="M227" s="304"/>
      <c r="N227" s="304"/>
      <c r="O227" s="304"/>
      <c r="P227" s="304"/>
      <c r="Q227" s="304"/>
      <c r="R227" s="304"/>
      <c r="S227" s="304"/>
      <c r="T227" s="304"/>
      <c r="U227" s="304">
        <f>SUM(U228:U230)</f>
        <v>-3000</v>
      </c>
      <c r="V227" s="1062">
        <f t="shared" si="8"/>
        <v>21130</v>
      </c>
      <c r="W227" s="334"/>
    </row>
    <row r="228" spans="1:23" ht="18" customHeight="1">
      <c r="A228" s="308" t="s">
        <v>365</v>
      </c>
      <c r="B228" s="1067" t="s">
        <v>737</v>
      </c>
      <c r="C228" s="349"/>
      <c r="D228" s="349"/>
      <c r="E228" s="349"/>
      <c r="F228" s="349">
        <v>-78970</v>
      </c>
      <c r="G228" s="349"/>
      <c r="H228" s="349">
        <v>-13000</v>
      </c>
      <c r="I228" s="349">
        <v>-2500</v>
      </c>
      <c r="J228" s="349"/>
      <c r="K228" s="349"/>
      <c r="L228" s="349"/>
      <c r="M228" s="349"/>
      <c r="N228" s="349"/>
      <c r="O228" s="349"/>
      <c r="P228" s="349"/>
      <c r="Q228" s="349"/>
      <c r="R228" s="349"/>
      <c r="S228" s="349"/>
      <c r="T228" s="349"/>
      <c r="U228" s="349">
        <v>-3000</v>
      </c>
      <c r="V228" s="1064">
        <f t="shared" si="8"/>
        <v>-97470</v>
      </c>
      <c r="W228" s="334"/>
    </row>
    <row r="229" spans="1:23" ht="18" customHeight="1">
      <c r="A229" s="306" t="s">
        <v>366</v>
      </c>
      <c r="B229" s="1070" t="s">
        <v>140</v>
      </c>
      <c r="C229" s="301"/>
      <c r="D229" s="301"/>
      <c r="E229" s="301"/>
      <c r="F229" s="301">
        <v>30000</v>
      </c>
      <c r="G229" s="301"/>
      <c r="H229" s="301"/>
      <c r="I229" s="301"/>
      <c r="J229" s="301"/>
      <c r="K229" s="301"/>
      <c r="L229" s="301"/>
      <c r="M229" s="301"/>
      <c r="N229" s="301"/>
      <c r="O229" s="301"/>
      <c r="P229" s="301"/>
      <c r="Q229" s="301"/>
      <c r="R229" s="301"/>
      <c r="S229" s="301"/>
      <c r="T229" s="301"/>
      <c r="U229" s="301"/>
      <c r="V229" s="1050">
        <f t="shared" si="8"/>
        <v>30000</v>
      </c>
      <c r="W229" s="334"/>
    </row>
    <row r="230" spans="1:23" ht="18" customHeight="1" thickBot="1">
      <c r="A230" s="306" t="s">
        <v>367</v>
      </c>
      <c r="B230" s="1071" t="s">
        <v>739</v>
      </c>
      <c r="C230" s="302"/>
      <c r="D230" s="302"/>
      <c r="E230" s="302"/>
      <c r="F230" s="302">
        <v>88600</v>
      </c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302"/>
      <c r="T230" s="302"/>
      <c r="U230" s="302"/>
      <c r="V230" s="1050">
        <f t="shared" si="8"/>
        <v>88600</v>
      </c>
      <c r="W230" s="334"/>
    </row>
    <row r="231" spans="1:44" ht="26.25" thickBot="1">
      <c r="A231" s="313">
        <v>80146</v>
      </c>
      <c r="B231" s="1051" t="s">
        <v>141</v>
      </c>
      <c r="C231" s="341">
        <v>0</v>
      </c>
      <c r="D231" s="341">
        <v>0</v>
      </c>
      <c r="E231" s="357">
        <v>0</v>
      </c>
      <c r="F231" s="340"/>
      <c r="G231" s="340">
        <f>SUM(G232:G239)</f>
        <v>-4820</v>
      </c>
      <c r="H231" s="340"/>
      <c r="I231" s="340"/>
      <c r="J231" s="340"/>
      <c r="K231" s="340"/>
      <c r="L231" s="340">
        <f>SUM(L232:L239)</f>
        <v>250</v>
      </c>
      <c r="M231" s="340"/>
      <c r="N231" s="340"/>
      <c r="O231" s="340"/>
      <c r="P231" s="340"/>
      <c r="Q231" s="340"/>
      <c r="R231" s="340">
        <f>SUM(R232:R239)</f>
        <v>4570</v>
      </c>
      <c r="S231" s="340"/>
      <c r="T231" s="340"/>
      <c r="U231" s="340"/>
      <c r="V231" s="1048">
        <f t="shared" si="8"/>
        <v>0</v>
      </c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3"/>
      <c r="AK231" s="333"/>
      <c r="AL231" s="333"/>
      <c r="AM231" s="333"/>
      <c r="AN231" s="333"/>
      <c r="AO231" s="333"/>
      <c r="AP231" s="333"/>
      <c r="AQ231" s="333"/>
      <c r="AR231" s="333"/>
    </row>
    <row r="232" spans="1:23" ht="18" customHeight="1">
      <c r="A232" s="313" t="s">
        <v>368</v>
      </c>
      <c r="B232" s="1049" t="s">
        <v>257</v>
      </c>
      <c r="C232" s="315"/>
      <c r="D232" s="315"/>
      <c r="E232" s="315"/>
      <c r="F232" s="302"/>
      <c r="G232" s="302">
        <v>-800</v>
      </c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>
        <v>800</v>
      </c>
      <c r="S232" s="302"/>
      <c r="T232" s="302"/>
      <c r="U232" s="302"/>
      <c r="V232" s="1050">
        <f t="shared" si="8"/>
        <v>0</v>
      </c>
      <c r="W232" s="334"/>
    </row>
    <row r="233" spans="1:23" ht="18" customHeight="1">
      <c r="A233" s="313" t="s">
        <v>375</v>
      </c>
      <c r="B233" s="1049" t="s">
        <v>263</v>
      </c>
      <c r="C233" s="315"/>
      <c r="D233" s="315"/>
      <c r="E233" s="315"/>
      <c r="F233" s="302"/>
      <c r="G233" s="302">
        <v>-70</v>
      </c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>
        <v>70</v>
      </c>
      <c r="S233" s="302"/>
      <c r="T233" s="302"/>
      <c r="U233" s="302"/>
      <c r="V233" s="1050">
        <f t="shared" si="8"/>
        <v>0</v>
      </c>
      <c r="W233" s="334"/>
    </row>
    <row r="234" spans="1:23" ht="18" customHeight="1">
      <c r="A234" s="313" t="s">
        <v>376</v>
      </c>
      <c r="B234" s="1049" t="s">
        <v>266</v>
      </c>
      <c r="C234" s="315"/>
      <c r="D234" s="315"/>
      <c r="E234" s="315"/>
      <c r="F234" s="302"/>
      <c r="G234" s="302">
        <v>-800</v>
      </c>
      <c r="H234" s="302"/>
      <c r="I234" s="302"/>
      <c r="J234" s="302"/>
      <c r="K234" s="302"/>
      <c r="L234" s="302"/>
      <c r="M234" s="302"/>
      <c r="N234" s="302"/>
      <c r="O234" s="302"/>
      <c r="P234" s="302"/>
      <c r="Q234" s="302"/>
      <c r="R234" s="302">
        <v>800</v>
      </c>
      <c r="S234" s="302"/>
      <c r="T234" s="302"/>
      <c r="U234" s="302"/>
      <c r="V234" s="1050">
        <f t="shared" si="8"/>
        <v>0</v>
      </c>
      <c r="W234" s="334"/>
    </row>
    <row r="235" spans="1:23" ht="18" customHeight="1">
      <c r="A235" s="313" t="s">
        <v>377</v>
      </c>
      <c r="B235" s="1049" t="s">
        <v>271</v>
      </c>
      <c r="C235" s="315"/>
      <c r="D235" s="315"/>
      <c r="E235" s="315"/>
      <c r="F235" s="302"/>
      <c r="G235" s="302">
        <v>-250</v>
      </c>
      <c r="H235" s="302"/>
      <c r="I235" s="302"/>
      <c r="J235" s="302"/>
      <c r="K235" s="302"/>
      <c r="L235" s="302">
        <v>250</v>
      </c>
      <c r="M235" s="302"/>
      <c r="N235" s="302"/>
      <c r="O235" s="302"/>
      <c r="P235" s="302"/>
      <c r="Q235" s="302"/>
      <c r="R235" s="302"/>
      <c r="S235" s="302"/>
      <c r="T235" s="302"/>
      <c r="U235" s="302"/>
      <c r="V235" s="1050">
        <f t="shared" si="8"/>
        <v>0</v>
      </c>
      <c r="W235" s="334"/>
    </row>
    <row r="236" spans="1:23" ht="18" customHeight="1">
      <c r="A236" s="313" t="s">
        <v>378</v>
      </c>
      <c r="B236" s="1049" t="s">
        <v>272</v>
      </c>
      <c r="C236" s="315"/>
      <c r="D236" s="315"/>
      <c r="E236" s="315"/>
      <c r="F236" s="302"/>
      <c r="G236" s="302">
        <v>-800</v>
      </c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>
        <v>800</v>
      </c>
      <c r="S236" s="302"/>
      <c r="T236" s="302"/>
      <c r="U236" s="302"/>
      <c r="V236" s="1050">
        <f t="shared" si="8"/>
        <v>0</v>
      </c>
      <c r="W236" s="334"/>
    </row>
    <row r="237" spans="1:23" ht="18" customHeight="1">
      <c r="A237" s="313" t="s">
        <v>379</v>
      </c>
      <c r="B237" s="1049" t="s">
        <v>276</v>
      </c>
      <c r="C237" s="315"/>
      <c r="D237" s="315"/>
      <c r="E237" s="315"/>
      <c r="F237" s="302"/>
      <c r="G237" s="302">
        <v>-800</v>
      </c>
      <c r="H237" s="302"/>
      <c r="I237" s="302"/>
      <c r="J237" s="302"/>
      <c r="K237" s="302"/>
      <c r="L237" s="302"/>
      <c r="M237" s="302"/>
      <c r="N237" s="302"/>
      <c r="O237" s="302"/>
      <c r="P237" s="302"/>
      <c r="Q237" s="302"/>
      <c r="R237" s="302">
        <v>800</v>
      </c>
      <c r="S237" s="302"/>
      <c r="T237" s="302"/>
      <c r="U237" s="302"/>
      <c r="V237" s="1050">
        <f t="shared" si="8"/>
        <v>0</v>
      </c>
      <c r="W237" s="334"/>
    </row>
    <row r="238" spans="1:23" ht="18" customHeight="1">
      <c r="A238" s="313" t="s">
        <v>380</v>
      </c>
      <c r="B238" s="1049" t="s">
        <v>695</v>
      </c>
      <c r="C238" s="315"/>
      <c r="D238" s="315"/>
      <c r="E238" s="315"/>
      <c r="F238" s="302"/>
      <c r="G238" s="302">
        <v>-800</v>
      </c>
      <c r="H238" s="302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>
        <v>800</v>
      </c>
      <c r="S238" s="302"/>
      <c r="T238" s="302"/>
      <c r="U238" s="302"/>
      <c r="V238" s="1050">
        <f t="shared" si="8"/>
        <v>0</v>
      </c>
      <c r="W238" s="334"/>
    </row>
    <row r="239" spans="1:23" ht="18" customHeight="1" thickBot="1">
      <c r="A239" s="313" t="s">
        <v>381</v>
      </c>
      <c r="B239" s="1072" t="s">
        <v>715</v>
      </c>
      <c r="C239" s="891"/>
      <c r="D239" s="891"/>
      <c r="E239" s="891"/>
      <c r="F239" s="888"/>
      <c r="G239" s="888">
        <v>-500</v>
      </c>
      <c r="H239" s="888"/>
      <c r="I239" s="888"/>
      <c r="J239" s="888"/>
      <c r="K239" s="888"/>
      <c r="L239" s="888"/>
      <c r="M239" s="888"/>
      <c r="N239" s="888"/>
      <c r="O239" s="888"/>
      <c r="P239" s="888"/>
      <c r="Q239" s="888"/>
      <c r="R239" s="888">
        <v>500</v>
      </c>
      <c r="S239" s="888"/>
      <c r="T239" s="888"/>
      <c r="U239" s="888"/>
      <c r="V239" s="1061">
        <f t="shared" si="8"/>
        <v>0</v>
      </c>
      <c r="W239" s="334"/>
    </row>
    <row r="240" spans="1:23" ht="20.25" customHeight="1" thickBot="1" thickTop="1">
      <c r="A240" s="710">
        <v>851</v>
      </c>
      <c r="B240" s="1073" t="s">
        <v>795</v>
      </c>
      <c r="C240" s="892">
        <v>0</v>
      </c>
      <c r="D240" s="892">
        <v>0</v>
      </c>
      <c r="E240" s="892">
        <v>0</v>
      </c>
      <c r="F240" s="892"/>
      <c r="G240" s="892">
        <f>G241+G248+G251+G264</f>
        <v>37634</v>
      </c>
      <c r="H240" s="892">
        <f>H241+H248+H251+H264</f>
        <v>1114</v>
      </c>
      <c r="I240" s="892">
        <f>I241+I248+I251+I264</f>
        <v>130</v>
      </c>
      <c r="J240" s="892"/>
      <c r="K240" s="892"/>
      <c r="L240" s="892">
        <f>L241+L248+L251+L264</f>
        <v>14280</v>
      </c>
      <c r="M240" s="892"/>
      <c r="N240" s="892">
        <f>N241+N248+N251+N264</f>
        <v>6890</v>
      </c>
      <c r="O240" s="892"/>
      <c r="P240" s="892"/>
      <c r="Q240" s="892"/>
      <c r="R240" s="892">
        <f>R241+R248+R251+R264</f>
        <v>-30048</v>
      </c>
      <c r="S240" s="892"/>
      <c r="T240" s="892"/>
      <c r="U240" s="892"/>
      <c r="V240" s="1074">
        <f t="shared" si="8"/>
        <v>30000</v>
      </c>
      <c r="W240" s="334"/>
    </row>
    <row r="241" spans="1:23" ht="16.5" thickBot="1" thickTop="1">
      <c r="A241" s="741"/>
      <c r="B241" s="1075" t="s">
        <v>455</v>
      </c>
      <c r="C241" s="322"/>
      <c r="D241" s="322"/>
      <c r="E241" s="322"/>
      <c r="F241" s="322"/>
      <c r="G241" s="322">
        <f>SUM(G242:G247)</f>
        <v>5332</v>
      </c>
      <c r="H241" s="322">
        <f>SUM(H242:H247)</f>
        <v>772</v>
      </c>
      <c r="I241" s="322">
        <f>SUM(I242:I247)</f>
        <v>106</v>
      </c>
      <c r="J241" s="322"/>
      <c r="K241" s="322"/>
      <c r="L241" s="322">
        <f>SUM(L242:L247)</f>
        <v>16100</v>
      </c>
      <c r="M241" s="322"/>
      <c r="N241" s="322">
        <f>SUM(N242:N247)</f>
        <v>6890</v>
      </c>
      <c r="O241" s="322"/>
      <c r="P241" s="322"/>
      <c r="Q241" s="322"/>
      <c r="R241" s="322">
        <f>SUM(R242:R247)</f>
        <v>800</v>
      </c>
      <c r="S241" s="889"/>
      <c r="T241" s="889"/>
      <c r="U241" s="889"/>
      <c r="V241" s="1094">
        <f t="shared" si="8"/>
        <v>30000</v>
      </c>
      <c r="W241" s="334"/>
    </row>
    <row r="242" spans="1:23" ht="16.5" thickBot="1" thickTop="1">
      <c r="A242" s="741"/>
      <c r="B242" s="1077" t="s">
        <v>137</v>
      </c>
      <c r="C242" s="744"/>
      <c r="D242" s="744"/>
      <c r="E242" s="744"/>
      <c r="F242" s="321"/>
      <c r="G242" s="321">
        <v>1250</v>
      </c>
      <c r="H242" s="321"/>
      <c r="I242" s="321"/>
      <c r="J242" s="321"/>
      <c r="K242" s="321"/>
      <c r="L242" s="321">
        <v>800</v>
      </c>
      <c r="M242" s="321"/>
      <c r="N242" s="321">
        <v>950</v>
      </c>
      <c r="O242" s="321"/>
      <c r="P242" s="321"/>
      <c r="Q242" s="321"/>
      <c r="R242" s="321"/>
      <c r="S242" s="321"/>
      <c r="T242" s="321"/>
      <c r="U242" s="321"/>
      <c r="V242" s="1076">
        <f t="shared" si="8"/>
        <v>3000</v>
      </c>
      <c r="W242" s="334"/>
    </row>
    <row r="243" spans="1:23" ht="16.5" thickBot="1" thickTop="1">
      <c r="A243" s="741"/>
      <c r="B243" s="1078" t="s">
        <v>285</v>
      </c>
      <c r="C243" s="743"/>
      <c r="D243" s="743"/>
      <c r="E243" s="743"/>
      <c r="F243" s="319"/>
      <c r="G243" s="319"/>
      <c r="H243" s="319"/>
      <c r="I243" s="319"/>
      <c r="J243" s="319"/>
      <c r="K243" s="319"/>
      <c r="L243" s="319">
        <v>4500</v>
      </c>
      <c r="M243" s="319"/>
      <c r="N243" s="319">
        <v>3000</v>
      </c>
      <c r="O243" s="319"/>
      <c r="P243" s="319"/>
      <c r="Q243" s="319"/>
      <c r="R243" s="319"/>
      <c r="S243" s="319"/>
      <c r="T243" s="319"/>
      <c r="U243" s="319"/>
      <c r="V243" s="1050">
        <f t="shared" si="8"/>
        <v>7500</v>
      </c>
      <c r="W243" s="334"/>
    </row>
    <row r="244" spans="1:23" ht="16.5" thickBot="1" thickTop="1">
      <c r="A244" s="741"/>
      <c r="B244" s="1078" t="s">
        <v>257</v>
      </c>
      <c r="C244" s="743"/>
      <c r="D244" s="743"/>
      <c r="E244" s="743"/>
      <c r="F244" s="319"/>
      <c r="G244" s="319">
        <v>3287</v>
      </c>
      <c r="H244" s="319">
        <v>592</v>
      </c>
      <c r="I244" s="319">
        <v>81</v>
      </c>
      <c r="J244" s="319"/>
      <c r="K244" s="319"/>
      <c r="L244" s="319">
        <v>300</v>
      </c>
      <c r="M244" s="319"/>
      <c r="N244" s="319">
        <v>1940</v>
      </c>
      <c r="O244" s="319"/>
      <c r="P244" s="319"/>
      <c r="Q244" s="319"/>
      <c r="R244" s="319">
        <v>300</v>
      </c>
      <c r="S244" s="319"/>
      <c r="T244" s="319"/>
      <c r="U244" s="319"/>
      <c r="V244" s="1050">
        <f t="shared" si="8"/>
        <v>6500</v>
      </c>
      <c r="W244" s="334"/>
    </row>
    <row r="245" spans="1:23" ht="16.5" thickBot="1" thickTop="1">
      <c r="A245" s="741"/>
      <c r="B245" s="1078" t="s">
        <v>271</v>
      </c>
      <c r="C245" s="743"/>
      <c r="D245" s="743"/>
      <c r="E245" s="743"/>
      <c r="F245" s="319"/>
      <c r="G245" s="319"/>
      <c r="H245" s="319"/>
      <c r="I245" s="319"/>
      <c r="J245" s="319"/>
      <c r="K245" s="319"/>
      <c r="L245" s="319">
        <v>4000</v>
      </c>
      <c r="M245" s="319"/>
      <c r="N245" s="319"/>
      <c r="O245" s="319"/>
      <c r="P245" s="319"/>
      <c r="Q245" s="319"/>
      <c r="R245" s="319"/>
      <c r="S245" s="319"/>
      <c r="T245" s="319"/>
      <c r="U245" s="319"/>
      <c r="V245" s="1050">
        <f t="shared" si="8"/>
        <v>4000</v>
      </c>
      <c r="W245" s="334"/>
    </row>
    <row r="246" spans="1:23" ht="16.5" thickBot="1" thickTop="1">
      <c r="A246" s="741"/>
      <c r="B246" s="1078" t="s">
        <v>693</v>
      </c>
      <c r="C246" s="743"/>
      <c r="D246" s="743"/>
      <c r="E246" s="743"/>
      <c r="F246" s="319"/>
      <c r="G246" s="319"/>
      <c r="H246" s="319"/>
      <c r="I246" s="319"/>
      <c r="J246" s="319"/>
      <c r="K246" s="319"/>
      <c r="L246" s="319">
        <v>4000</v>
      </c>
      <c r="M246" s="319"/>
      <c r="N246" s="319"/>
      <c r="O246" s="319"/>
      <c r="P246" s="319"/>
      <c r="Q246" s="319"/>
      <c r="R246" s="319"/>
      <c r="S246" s="319"/>
      <c r="T246" s="319"/>
      <c r="U246" s="319"/>
      <c r="V246" s="1050">
        <f t="shared" si="8"/>
        <v>4000</v>
      </c>
      <c r="W246" s="334"/>
    </row>
    <row r="247" spans="1:23" ht="16.5" thickBot="1" thickTop="1">
      <c r="A247" s="741"/>
      <c r="B247" s="1079" t="s">
        <v>694</v>
      </c>
      <c r="C247" s="742"/>
      <c r="D247" s="742"/>
      <c r="E247" s="742"/>
      <c r="F247" s="745"/>
      <c r="G247" s="745">
        <v>795</v>
      </c>
      <c r="H247" s="745">
        <v>180</v>
      </c>
      <c r="I247" s="745">
        <v>25</v>
      </c>
      <c r="J247" s="745"/>
      <c r="K247" s="745"/>
      <c r="L247" s="745">
        <v>2500</v>
      </c>
      <c r="M247" s="745"/>
      <c r="N247" s="745">
        <v>1000</v>
      </c>
      <c r="O247" s="745"/>
      <c r="P247" s="745"/>
      <c r="Q247" s="745"/>
      <c r="R247" s="745">
        <v>500</v>
      </c>
      <c r="S247" s="745"/>
      <c r="T247" s="745"/>
      <c r="U247" s="745"/>
      <c r="V247" s="1076">
        <f t="shared" si="8"/>
        <v>5000</v>
      </c>
      <c r="W247" s="334"/>
    </row>
    <row r="248" spans="1:23" ht="18" customHeight="1" thickBot="1" thickTop="1">
      <c r="A248" s="351">
        <v>85153</v>
      </c>
      <c r="B248" s="1051" t="s">
        <v>239</v>
      </c>
      <c r="C248" s="707">
        <v>0</v>
      </c>
      <c r="D248" s="707">
        <v>0</v>
      </c>
      <c r="E248" s="707">
        <v>0</v>
      </c>
      <c r="F248" s="707"/>
      <c r="G248" s="707">
        <f>G249</f>
        <v>500</v>
      </c>
      <c r="H248" s="707"/>
      <c r="I248" s="707"/>
      <c r="J248" s="707"/>
      <c r="K248" s="707"/>
      <c r="L248" s="707"/>
      <c r="M248" s="707"/>
      <c r="N248" s="707"/>
      <c r="O248" s="707"/>
      <c r="P248" s="707"/>
      <c r="Q248" s="707"/>
      <c r="R248" s="707">
        <f>R249</f>
        <v>-500</v>
      </c>
      <c r="S248" s="707"/>
      <c r="T248" s="707"/>
      <c r="U248" s="707"/>
      <c r="V248" s="1062">
        <f t="shared" si="8"/>
        <v>0</v>
      </c>
      <c r="W248" s="334"/>
    </row>
    <row r="249" spans="1:23" ht="25.5">
      <c r="A249" s="1032"/>
      <c r="B249" s="1080" t="s">
        <v>240</v>
      </c>
      <c r="C249" s="323">
        <v>0</v>
      </c>
      <c r="D249" s="323">
        <v>0</v>
      </c>
      <c r="E249" s="323">
        <v>0</v>
      </c>
      <c r="F249" s="323"/>
      <c r="G249" s="323">
        <f>G250</f>
        <v>500</v>
      </c>
      <c r="H249" s="323"/>
      <c r="I249" s="323"/>
      <c r="J249" s="323"/>
      <c r="K249" s="323"/>
      <c r="L249" s="323"/>
      <c r="M249" s="323"/>
      <c r="N249" s="323"/>
      <c r="O249" s="323"/>
      <c r="P249" s="323"/>
      <c r="Q249" s="323"/>
      <c r="R249" s="323">
        <f>R250</f>
        <v>-500</v>
      </c>
      <c r="S249" s="323"/>
      <c r="T249" s="323"/>
      <c r="U249" s="323"/>
      <c r="V249" s="1064">
        <f t="shared" si="8"/>
        <v>0</v>
      </c>
      <c r="W249" s="334"/>
    </row>
    <row r="250" spans="1:23" ht="18" customHeight="1" thickBot="1">
      <c r="A250" s="1032" t="s">
        <v>241</v>
      </c>
      <c r="B250" s="1081" t="s">
        <v>715</v>
      </c>
      <c r="C250" s="319"/>
      <c r="D250" s="319"/>
      <c r="E250" s="319"/>
      <c r="F250" s="319"/>
      <c r="G250" s="319">
        <v>500</v>
      </c>
      <c r="H250" s="319"/>
      <c r="I250" s="319"/>
      <c r="J250" s="319"/>
      <c r="K250" s="319"/>
      <c r="L250" s="319"/>
      <c r="M250" s="319"/>
      <c r="N250" s="319"/>
      <c r="O250" s="319"/>
      <c r="P250" s="319"/>
      <c r="Q250" s="319"/>
      <c r="R250" s="319">
        <v>-500</v>
      </c>
      <c r="S250" s="319"/>
      <c r="T250" s="319"/>
      <c r="U250" s="319"/>
      <c r="V250" s="1050">
        <f t="shared" si="8"/>
        <v>0</v>
      </c>
      <c r="W250" s="334"/>
    </row>
    <row r="251" spans="1:44" ht="16.5" customHeight="1" thickBot="1">
      <c r="A251" s="313">
        <v>85154</v>
      </c>
      <c r="B251" s="1051" t="s">
        <v>373</v>
      </c>
      <c r="C251" s="341">
        <v>0</v>
      </c>
      <c r="D251" s="341">
        <v>0</v>
      </c>
      <c r="E251" s="357">
        <v>0</v>
      </c>
      <c r="F251" s="340"/>
      <c r="G251" s="340">
        <f>G252</f>
        <v>24253</v>
      </c>
      <c r="H251" s="340">
        <f>H252</f>
        <v>18</v>
      </c>
      <c r="I251" s="340">
        <f>I252</f>
        <v>-23</v>
      </c>
      <c r="J251" s="340"/>
      <c r="K251" s="340"/>
      <c r="L251" s="340"/>
      <c r="M251" s="340"/>
      <c r="N251" s="340"/>
      <c r="O251" s="340"/>
      <c r="P251" s="340"/>
      <c r="Q251" s="340"/>
      <c r="R251" s="340">
        <f>R252</f>
        <v>-24248</v>
      </c>
      <c r="S251" s="340"/>
      <c r="T251" s="340"/>
      <c r="U251" s="340"/>
      <c r="V251" s="1048">
        <f t="shared" si="8"/>
        <v>0</v>
      </c>
      <c r="W251" s="333"/>
      <c r="X251" s="333"/>
      <c r="Y251" s="333"/>
      <c r="Z251" s="333"/>
      <c r="AA251" s="333"/>
      <c r="AB251" s="333"/>
      <c r="AC251" s="333"/>
      <c r="AD251" s="333"/>
      <c r="AE251" s="333"/>
      <c r="AF251" s="333"/>
      <c r="AG251" s="333"/>
      <c r="AH251" s="333"/>
      <c r="AI251" s="333"/>
      <c r="AJ251" s="333"/>
      <c r="AK251" s="333"/>
      <c r="AL251" s="333"/>
      <c r="AM251" s="333"/>
      <c r="AN251" s="333"/>
      <c r="AO251" s="333"/>
      <c r="AP251" s="333"/>
      <c r="AQ251" s="333"/>
      <c r="AR251" s="333"/>
    </row>
    <row r="252" spans="1:23" ht="90">
      <c r="A252" s="1032"/>
      <c r="B252" s="1082" t="s">
        <v>520</v>
      </c>
      <c r="C252" s="323">
        <v>0</v>
      </c>
      <c r="D252" s="323">
        <v>0</v>
      </c>
      <c r="E252" s="323">
        <v>0</v>
      </c>
      <c r="F252" s="323"/>
      <c r="G252" s="323">
        <f>SUM(G253:G263)</f>
        <v>24253</v>
      </c>
      <c r="H252" s="323">
        <f>SUM(H253:H263)</f>
        <v>18</v>
      </c>
      <c r="I252" s="323">
        <f>SUM(I253:I263)</f>
        <v>-23</v>
      </c>
      <c r="J252" s="323"/>
      <c r="K252" s="323"/>
      <c r="L252" s="323"/>
      <c r="M252" s="323"/>
      <c r="N252" s="323"/>
      <c r="O252" s="323"/>
      <c r="P252" s="323"/>
      <c r="Q252" s="323"/>
      <c r="R252" s="323">
        <f>SUM(R253:R263)</f>
        <v>-24248</v>
      </c>
      <c r="S252" s="323"/>
      <c r="T252" s="323"/>
      <c r="U252" s="323"/>
      <c r="V252" s="1050">
        <f t="shared" si="8"/>
        <v>0</v>
      </c>
      <c r="W252" s="334"/>
    </row>
    <row r="253" spans="1:23" ht="18" customHeight="1">
      <c r="A253" s="306" t="s">
        <v>242</v>
      </c>
      <c r="B253" s="1081" t="s">
        <v>7</v>
      </c>
      <c r="C253" s="319"/>
      <c r="D253" s="319"/>
      <c r="E253" s="319"/>
      <c r="F253" s="319"/>
      <c r="G253" s="319">
        <v>76</v>
      </c>
      <c r="H253" s="319">
        <v>-26</v>
      </c>
      <c r="I253" s="319">
        <v>-30</v>
      </c>
      <c r="J253" s="319"/>
      <c r="K253" s="319"/>
      <c r="L253" s="319"/>
      <c r="M253" s="319"/>
      <c r="N253" s="319"/>
      <c r="O253" s="319"/>
      <c r="P253" s="319"/>
      <c r="Q253" s="319"/>
      <c r="R253" s="319">
        <v>-20</v>
      </c>
      <c r="S253" s="319"/>
      <c r="T253" s="319"/>
      <c r="U253" s="319"/>
      <c r="V253" s="1050">
        <f t="shared" si="8"/>
        <v>0</v>
      </c>
      <c r="W253" s="334"/>
    </row>
    <row r="254" spans="1:23" ht="18" customHeight="1">
      <c r="A254" s="306" t="s">
        <v>243</v>
      </c>
      <c r="B254" s="1081" t="s">
        <v>258</v>
      </c>
      <c r="C254" s="319"/>
      <c r="D254" s="319"/>
      <c r="E254" s="319"/>
      <c r="F254" s="319"/>
      <c r="G254" s="319">
        <v>4982</v>
      </c>
      <c r="H254" s="319"/>
      <c r="I254" s="319"/>
      <c r="J254" s="319"/>
      <c r="K254" s="319"/>
      <c r="L254" s="319"/>
      <c r="M254" s="319"/>
      <c r="N254" s="319"/>
      <c r="O254" s="319"/>
      <c r="P254" s="319"/>
      <c r="Q254" s="319"/>
      <c r="R254" s="319">
        <v>-4982</v>
      </c>
      <c r="S254" s="319"/>
      <c r="T254" s="319"/>
      <c r="U254" s="319"/>
      <c r="V254" s="1050">
        <f t="shared" si="8"/>
        <v>0</v>
      </c>
      <c r="W254" s="334"/>
    </row>
    <row r="255" spans="1:23" ht="18" customHeight="1">
      <c r="A255" s="306" t="s">
        <v>244</v>
      </c>
      <c r="B255" s="1081" t="s">
        <v>263</v>
      </c>
      <c r="C255" s="319"/>
      <c r="D255" s="319"/>
      <c r="E255" s="319"/>
      <c r="F255" s="319"/>
      <c r="G255" s="319">
        <v>2000</v>
      </c>
      <c r="H255" s="319"/>
      <c r="I255" s="319"/>
      <c r="J255" s="319"/>
      <c r="K255" s="319"/>
      <c r="L255" s="319"/>
      <c r="M255" s="319"/>
      <c r="N255" s="319"/>
      <c r="O255" s="319"/>
      <c r="P255" s="319"/>
      <c r="Q255" s="319"/>
      <c r="R255" s="319">
        <v>-2000</v>
      </c>
      <c r="S255" s="319"/>
      <c r="T255" s="319"/>
      <c r="U255" s="319"/>
      <c r="V255" s="1050">
        <f t="shared" si="8"/>
        <v>0</v>
      </c>
      <c r="W255" s="334"/>
    </row>
    <row r="256" spans="1:23" ht="18" customHeight="1">
      <c r="A256" s="306" t="s">
        <v>245</v>
      </c>
      <c r="B256" s="1081" t="s">
        <v>692</v>
      </c>
      <c r="C256" s="319"/>
      <c r="D256" s="319"/>
      <c r="E256" s="319"/>
      <c r="F256" s="319"/>
      <c r="G256" s="319">
        <v>1993</v>
      </c>
      <c r="H256" s="319"/>
      <c r="I256" s="319"/>
      <c r="J256" s="319"/>
      <c r="K256" s="319"/>
      <c r="L256" s="319"/>
      <c r="M256" s="319"/>
      <c r="N256" s="319"/>
      <c r="O256" s="319"/>
      <c r="P256" s="319"/>
      <c r="Q256" s="319"/>
      <c r="R256" s="319">
        <v>-1993</v>
      </c>
      <c r="S256" s="319"/>
      <c r="T256" s="319"/>
      <c r="U256" s="319"/>
      <c r="V256" s="1050">
        <f t="shared" si="8"/>
        <v>0</v>
      </c>
      <c r="W256" s="334"/>
    </row>
    <row r="257" spans="1:23" ht="18" customHeight="1">
      <c r="A257" s="306" t="s">
        <v>246</v>
      </c>
      <c r="B257" s="1081" t="s">
        <v>693</v>
      </c>
      <c r="C257" s="319"/>
      <c r="D257" s="319"/>
      <c r="E257" s="319"/>
      <c r="F257" s="319"/>
      <c r="G257" s="319">
        <v>5388</v>
      </c>
      <c r="H257" s="319"/>
      <c r="I257" s="319"/>
      <c r="J257" s="319"/>
      <c r="K257" s="319"/>
      <c r="L257" s="319"/>
      <c r="M257" s="319"/>
      <c r="N257" s="319"/>
      <c r="O257" s="319"/>
      <c r="P257" s="319"/>
      <c r="Q257" s="319"/>
      <c r="R257" s="319">
        <v>-5388</v>
      </c>
      <c r="S257" s="319"/>
      <c r="T257" s="319"/>
      <c r="U257" s="319"/>
      <c r="V257" s="1050">
        <f t="shared" si="8"/>
        <v>0</v>
      </c>
      <c r="W257" s="334"/>
    </row>
    <row r="258" spans="1:23" ht="18" customHeight="1">
      <c r="A258" s="306" t="s">
        <v>247</v>
      </c>
      <c r="B258" s="1081" t="s">
        <v>710</v>
      </c>
      <c r="C258" s="319"/>
      <c r="D258" s="319"/>
      <c r="E258" s="319"/>
      <c r="F258" s="319"/>
      <c r="G258" s="319">
        <v>4220</v>
      </c>
      <c r="H258" s="319"/>
      <c r="I258" s="319"/>
      <c r="J258" s="319"/>
      <c r="K258" s="319"/>
      <c r="L258" s="319"/>
      <c r="M258" s="319"/>
      <c r="N258" s="319"/>
      <c r="O258" s="319"/>
      <c r="P258" s="319"/>
      <c r="Q258" s="319"/>
      <c r="R258" s="319">
        <v>-4220</v>
      </c>
      <c r="S258" s="319"/>
      <c r="T258" s="319"/>
      <c r="U258" s="319"/>
      <c r="V258" s="1050">
        <f t="shared" si="8"/>
        <v>0</v>
      </c>
      <c r="W258" s="334"/>
    </row>
    <row r="259" spans="1:23" ht="18" customHeight="1">
      <c r="A259" s="306" t="s">
        <v>248</v>
      </c>
      <c r="B259" s="1081" t="s">
        <v>715</v>
      </c>
      <c r="C259" s="319"/>
      <c r="D259" s="319"/>
      <c r="E259" s="319"/>
      <c r="F259" s="319"/>
      <c r="G259" s="319">
        <v>700</v>
      </c>
      <c r="H259" s="319"/>
      <c r="I259" s="319"/>
      <c r="J259" s="319"/>
      <c r="K259" s="319"/>
      <c r="L259" s="319"/>
      <c r="M259" s="319"/>
      <c r="N259" s="319"/>
      <c r="O259" s="319"/>
      <c r="P259" s="319"/>
      <c r="Q259" s="319"/>
      <c r="R259" s="319">
        <v>-700</v>
      </c>
      <c r="S259" s="319"/>
      <c r="T259" s="319"/>
      <c r="U259" s="319"/>
      <c r="V259" s="1050">
        <f t="shared" si="8"/>
        <v>0</v>
      </c>
      <c r="W259" s="334"/>
    </row>
    <row r="260" spans="1:23" ht="18" customHeight="1">
      <c r="A260" s="306" t="s">
        <v>249</v>
      </c>
      <c r="B260" s="1081" t="s">
        <v>374</v>
      </c>
      <c r="C260" s="319"/>
      <c r="D260" s="319"/>
      <c r="E260" s="319"/>
      <c r="F260" s="319"/>
      <c r="G260" s="319">
        <v>1405</v>
      </c>
      <c r="H260" s="319"/>
      <c r="I260" s="319"/>
      <c r="J260" s="319"/>
      <c r="K260" s="319"/>
      <c r="L260" s="319"/>
      <c r="M260" s="319"/>
      <c r="N260" s="319"/>
      <c r="O260" s="319"/>
      <c r="P260" s="319"/>
      <c r="Q260" s="319"/>
      <c r="R260" s="319">
        <v>-1405</v>
      </c>
      <c r="S260" s="319"/>
      <c r="T260" s="319"/>
      <c r="U260" s="319"/>
      <c r="V260" s="1050">
        <f t="shared" si="8"/>
        <v>0</v>
      </c>
      <c r="W260" s="334"/>
    </row>
    <row r="261" spans="1:23" ht="18" customHeight="1">
      <c r="A261" s="306" t="s">
        <v>250</v>
      </c>
      <c r="B261" s="1081" t="s">
        <v>784</v>
      </c>
      <c r="C261" s="319"/>
      <c r="D261" s="319"/>
      <c r="E261" s="319"/>
      <c r="F261" s="319"/>
      <c r="G261" s="319">
        <v>-51</v>
      </c>
      <c r="H261" s="319">
        <v>44</v>
      </c>
      <c r="I261" s="319">
        <v>7</v>
      </c>
      <c r="J261" s="319"/>
      <c r="K261" s="319"/>
      <c r="L261" s="319"/>
      <c r="M261" s="319"/>
      <c r="N261" s="319"/>
      <c r="O261" s="319"/>
      <c r="P261" s="319"/>
      <c r="Q261" s="319"/>
      <c r="R261" s="319"/>
      <c r="S261" s="319"/>
      <c r="T261" s="319"/>
      <c r="U261" s="319"/>
      <c r="V261" s="1050">
        <f t="shared" si="8"/>
        <v>0</v>
      </c>
      <c r="W261" s="334"/>
    </row>
    <row r="262" spans="1:23" ht="18" customHeight="1">
      <c r="A262" s="306" t="s">
        <v>251</v>
      </c>
      <c r="B262" s="1081" t="s">
        <v>792</v>
      </c>
      <c r="C262" s="319"/>
      <c r="D262" s="319"/>
      <c r="E262" s="319"/>
      <c r="F262" s="319"/>
      <c r="G262" s="319">
        <v>840</v>
      </c>
      <c r="H262" s="319"/>
      <c r="I262" s="319"/>
      <c r="J262" s="319"/>
      <c r="K262" s="319"/>
      <c r="L262" s="319"/>
      <c r="M262" s="319"/>
      <c r="N262" s="319"/>
      <c r="O262" s="319"/>
      <c r="P262" s="319"/>
      <c r="Q262" s="319"/>
      <c r="R262" s="319">
        <v>-840</v>
      </c>
      <c r="S262" s="319"/>
      <c r="T262" s="319"/>
      <c r="U262" s="319"/>
      <c r="V262" s="1050">
        <f t="shared" si="8"/>
        <v>0</v>
      </c>
      <c r="W262" s="334"/>
    </row>
    <row r="263" spans="1:23" ht="18" customHeight="1" thickBot="1">
      <c r="A263" s="306" t="s">
        <v>252</v>
      </c>
      <c r="B263" s="1081" t="s">
        <v>778</v>
      </c>
      <c r="C263" s="319"/>
      <c r="D263" s="319"/>
      <c r="E263" s="319"/>
      <c r="F263" s="319"/>
      <c r="G263" s="319">
        <v>2700</v>
      </c>
      <c r="H263" s="319"/>
      <c r="I263" s="319"/>
      <c r="J263" s="319"/>
      <c r="K263" s="319"/>
      <c r="L263" s="319"/>
      <c r="M263" s="319"/>
      <c r="N263" s="319"/>
      <c r="O263" s="319"/>
      <c r="P263" s="319"/>
      <c r="Q263" s="319"/>
      <c r="R263" s="319">
        <v>-2700</v>
      </c>
      <c r="S263" s="319"/>
      <c r="T263" s="319"/>
      <c r="U263" s="319"/>
      <c r="V263" s="1050">
        <f t="shared" si="8"/>
        <v>0</v>
      </c>
      <c r="W263" s="334"/>
    </row>
    <row r="264" spans="1:44" ht="16.5" customHeight="1" thickBot="1">
      <c r="A264" s="313">
        <v>85195</v>
      </c>
      <c r="B264" s="1051" t="s">
        <v>253</v>
      </c>
      <c r="C264" s="341">
        <v>0</v>
      </c>
      <c r="D264" s="341">
        <v>0</v>
      </c>
      <c r="E264" s="357">
        <v>0</v>
      </c>
      <c r="F264" s="340"/>
      <c r="G264" s="340">
        <f>G265</f>
        <v>7549</v>
      </c>
      <c r="H264" s="340">
        <f>H265</f>
        <v>324</v>
      </c>
      <c r="I264" s="340">
        <f>I265</f>
        <v>47</v>
      </c>
      <c r="J264" s="340"/>
      <c r="K264" s="340"/>
      <c r="L264" s="340">
        <f>L265</f>
        <v>-1820</v>
      </c>
      <c r="M264" s="340"/>
      <c r="N264" s="340"/>
      <c r="O264" s="340"/>
      <c r="P264" s="340"/>
      <c r="Q264" s="340"/>
      <c r="R264" s="340">
        <f>R265</f>
        <v>-6100</v>
      </c>
      <c r="S264" s="340"/>
      <c r="T264" s="340"/>
      <c r="U264" s="340"/>
      <c r="V264" s="1048">
        <f t="shared" si="8"/>
        <v>0</v>
      </c>
      <c r="W264" s="333"/>
      <c r="X264" s="333"/>
      <c r="Y264" s="333"/>
      <c r="Z264" s="333"/>
      <c r="AA264" s="333"/>
      <c r="AB264" s="333"/>
      <c r="AC264" s="333"/>
      <c r="AD264" s="333"/>
      <c r="AE264" s="333"/>
      <c r="AF264" s="333"/>
      <c r="AG264" s="333"/>
      <c r="AH264" s="333"/>
      <c r="AI264" s="333"/>
      <c r="AJ264" s="333"/>
      <c r="AK264" s="333"/>
      <c r="AL264" s="333"/>
      <c r="AM264" s="333"/>
      <c r="AN264" s="333"/>
      <c r="AO264" s="333"/>
      <c r="AP264" s="333"/>
      <c r="AQ264" s="333"/>
      <c r="AR264" s="333"/>
    </row>
    <row r="265" spans="1:23" ht="25.5">
      <c r="A265" s="313"/>
      <c r="B265" s="1080" t="s">
        <v>254</v>
      </c>
      <c r="C265" s="353">
        <v>0</v>
      </c>
      <c r="D265" s="353">
        <v>0</v>
      </c>
      <c r="E265" s="353">
        <v>0</v>
      </c>
      <c r="F265" s="353"/>
      <c r="G265" s="353">
        <f>SUM(G266:G267)</f>
        <v>7549</v>
      </c>
      <c r="H265" s="353">
        <f>SUM(H266:H267)</f>
        <v>324</v>
      </c>
      <c r="I265" s="353">
        <f>SUM(I266:I267)</f>
        <v>47</v>
      </c>
      <c r="J265" s="353"/>
      <c r="K265" s="353"/>
      <c r="L265" s="353">
        <f>SUM(L266:L267)</f>
        <v>-1820</v>
      </c>
      <c r="M265" s="353"/>
      <c r="N265" s="353"/>
      <c r="O265" s="353"/>
      <c r="P265" s="353"/>
      <c r="Q265" s="353"/>
      <c r="R265" s="353">
        <f>SUM(R266:R267)</f>
        <v>-6100</v>
      </c>
      <c r="S265" s="353"/>
      <c r="T265" s="353"/>
      <c r="U265" s="353"/>
      <c r="V265" s="1050">
        <f t="shared" si="8"/>
        <v>0</v>
      </c>
      <c r="W265" s="334"/>
    </row>
    <row r="266" spans="1:23" ht="18" customHeight="1">
      <c r="A266" s="313" t="s">
        <v>255</v>
      </c>
      <c r="B266" s="1081" t="s">
        <v>273</v>
      </c>
      <c r="C266" s="352"/>
      <c r="D266" s="352"/>
      <c r="E266" s="352"/>
      <c r="F266" s="319"/>
      <c r="G266" s="319">
        <v>7920</v>
      </c>
      <c r="H266" s="319"/>
      <c r="I266" s="319"/>
      <c r="J266" s="319"/>
      <c r="K266" s="319"/>
      <c r="L266" s="319">
        <v>-1820</v>
      </c>
      <c r="M266" s="319"/>
      <c r="N266" s="319"/>
      <c r="O266" s="319"/>
      <c r="P266" s="319"/>
      <c r="Q266" s="319"/>
      <c r="R266" s="319">
        <v>-6100</v>
      </c>
      <c r="S266" s="319"/>
      <c r="T266" s="319"/>
      <c r="U266" s="319"/>
      <c r="V266" s="1050">
        <f t="shared" si="8"/>
        <v>0</v>
      </c>
      <c r="W266" s="334"/>
    </row>
    <row r="267" spans="1:23" ht="18" customHeight="1" thickBot="1">
      <c r="A267" s="313" t="s">
        <v>256</v>
      </c>
      <c r="B267" s="1058" t="s">
        <v>735</v>
      </c>
      <c r="C267" s="352"/>
      <c r="D267" s="352"/>
      <c r="E267" s="352"/>
      <c r="F267" s="319"/>
      <c r="G267" s="319">
        <v>-371</v>
      </c>
      <c r="H267" s="319">
        <v>324</v>
      </c>
      <c r="I267" s="319">
        <v>47</v>
      </c>
      <c r="J267" s="319"/>
      <c r="K267" s="319"/>
      <c r="L267" s="319"/>
      <c r="M267" s="319"/>
      <c r="N267" s="319"/>
      <c r="O267" s="319"/>
      <c r="P267" s="319"/>
      <c r="Q267" s="319"/>
      <c r="R267" s="319"/>
      <c r="S267" s="319"/>
      <c r="T267" s="319"/>
      <c r="U267" s="319"/>
      <c r="V267" s="1050">
        <f>SUM(F267:U267)</f>
        <v>0</v>
      </c>
      <c r="W267" s="334"/>
    </row>
    <row r="268" spans="1:23" s="343" customFormat="1" ht="21.75" customHeight="1" thickBot="1" thickTop="1">
      <c r="A268" s="316">
        <v>854</v>
      </c>
      <c r="B268" s="1083" t="s">
        <v>770</v>
      </c>
      <c r="C268" s="890">
        <v>0</v>
      </c>
      <c r="D268" s="890">
        <v>0</v>
      </c>
      <c r="E268" s="890">
        <v>0</v>
      </c>
      <c r="F268" s="890">
        <f>F269+F305+F310+F317+F320+F330+F332+F334+F336</f>
        <v>440855</v>
      </c>
      <c r="G268" s="890">
        <f aca="true" t="shared" si="10" ref="G268:V268">G269+G305+G310+G317+G320+G330+G332+G334+G336</f>
        <v>-800</v>
      </c>
      <c r="H268" s="890">
        <f t="shared" si="10"/>
        <v>88945</v>
      </c>
      <c r="I268" s="890">
        <f t="shared" si="10"/>
        <v>7964</v>
      </c>
      <c r="J268" s="890"/>
      <c r="K268" s="890"/>
      <c r="L268" s="890">
        <f t="shared" si="10"/>
        <v>12000</v>
      </c>
      <c r="M268" s="890">
        <f t="shared" si="10"/>
        <v>17000</v>
      </c>
      <c r="N268" s="890"/>
      <c r="O268" s="890">
        <f t="shared" si="10"/>
        <v>49400</v>
      </c>
      <c r="P268" s="890">
        <f t="shared" si="10"/>
        <v>36538</v>
      </c>
      <c r="Q268" s="890"/>
      <c r="R268" s="890">
        <f t="shared" si="10"/>
        <v>-6000</v>
      </c>
      <c r="S268" s="890"/>
      <c r="T268" s="890"/>
      <c r="U268" s="890">
        <f t="shared" si="10"/>
        <v>35821</v>
      </c>
      <c r="V268" s="1084">
        <f t="shared" si="10"/>
        <v>681723</v>
      </c>
      <c r="W268" s="334"/>
    </row>
    <row r="269" spans="1:23" s="343" customFormat="1" ht="19.5" customHeight="1" thickBot="1" thickTop="1">
      <c r="A269" s="351">
        <v>85401</v>
      </c>
      <c r="B269" s="1085" t="s">
        <v>400</v>
      </c>
      <c r="C269" s="704">
        <v>0</v>
      </c>
      <c r="D269" s="704">
        <v>0</v>
      </c>
      <c r="E269" s="704">
        <v>0</v>
      </c>
      <c r="F269" s="704">
        <f>SUM(F270:F304)</f>
        <v>163467</v>
      </c>
      <c r="G269" s="704"/>
      <c r="H269" s="704">
        <f>SUM(H270:H304)</f>
        <v>8991</v>
      </c>
      <c r="I269" s="704">
        <f>SUM(I270:I304)</f>
        <v>-1099</v>
      </c>
      <c r="J269" s="704"/>
      <c r="K269" s="704"/>
      <c r="L269" s="704"/>
      <c r="M269" s="704"/>
      <c r="N269" s="704"/>
      <c r="O269" s="704">
        <f>SUM(O270:O304)</f>
        <v>400</v>
      </c>
      <c r="P269" s="704">
        <f>SUM(P270:P304)</f>
        <v>7900</v>
      </c>
      <c r="Q269" s="704"/>
      <c r="R269" s="704"/>
      <c r="S269" s="704"/>
      <c r="T269" s="704"/>
      <c r="U269" s="704">
        <f>SUM(U270:U304)</f>
        <v>23795</v>
      </c>
      <c r="V269" s="1050">
        <f aca="true" t="shared" si="11" ref="V269:V300">SUM(F269:U269)</f>
        <v>203454</v>
      </c>
      <c r="W269" s="334"/>
    </row>
    <row r="270" spans="1:23" s="343" customFormat="1" ht="18" customHeight="1">
      <c r="A270" s="308" t="s">
        <v>142</v>
      </c>
      <c r="B270" s="1058" t="s">
        <v>7</v>
      </c>
      <c r="C270" s="309"/>
      <c r="D270" s="309"/>
      <c r="E270" s="309"/>
      <c r="F270" s="309">
        <v>-5760</v>
      </c>
      <c r="G270" s="309"/>
      <c r="H270" s="309">
        <v>-600</v>
      </c>
      <c r="I270" s="309">
        <v>-100</v>
      </c>
      <c r="J270" s="309"/>
      <c r="K270" s="309"/>
      <c r="L270" s="309"/>
      <c r="M270" s="309"/>
      <c r="N270" s="309"/>
      <c r="O270" s="309"/>
      <c r="P270" s="309"/>
      <c r="Q270" s="309"/>
      <c r="R270" s="309"/>
      <c r="S270" s="309"/>
      <c r="T270" s="309"/>
      <c r="U270" s="309"/>
      <c r="V270" s="1050">
        <f t="shared" si="11"/>
        <v>-6460</v>
      </c>
      <c r="W270" s="334"/>
    </row>
    <row r="271" spans="1:23" s="310" customFormat="1" ht="18" customHeight="1">
      <c r="A271" s="306" t="s">
        <v>143</v>
      </c>
      <c r="B271" s="1049" t="s">
        <v>257</v>
      </c>
      <c r="C271" s="307"/>
      <c r="D271" s="307"/>
      <c r="E271" s="307"/>
      <c r="F271" s="307">
        <v>4050</v>
      </c>
      <c r="G271" s="307"/>
      <c r="H271" s="307"/>
      <c r="I271" s="307"/>
      <c r="J271" s="307"/>
      <c r="K271" s="307"/>
      <c r="L271" s="307"/>
      <c r="M271" s="307"/>
      <c r="N271" s="307"/>
      <c r="O271" s="307"/>
      <c r="P271" s="307"/>
      <c r="Q271" s="307"/>
      <c r="R271" s="307"/>
      <c r="S271" s="307"/>
      <c r="T271" s="307"/>
      <c r="U271" s="307">
        <v>1136</v>
      </c>
      <c r="V271" s="1050">
        <f t="shared" si="11"/>
        <v>5186</v>
      </c>
      <c r="W271" s="334"/>
    </row>
    <row r="272" spans="1:23" s="343" customFormat="1" ht="18" customHeight="1">
      <c r="A272" s="306" t="s">
        <v>144</v>
      </c>
      <c r="B272" s="1049" t="s">
        <v>258</v>
      </c>
      <c r="C272" s="307"/>
      <c r="D272" s="307"/>
      <c r="E272" s="307"/>
      <c r="F272" s="307">
        <v>-6481</v>
      </c>
      <c r="G272" s="307"/>
      <c r="H272" s="307">
        <v>860</v>
      </c>
      <c r="I272" s="307"/>
      <c r="J272" s="307"/>
      <c r="K272" s="307"/>
      <c r="L272" s="307"/>
      <c r="M272" s="307"/>
      <c r="N272" s="307"/>
      <c r="O272" s="307">
        <v>400</v>
      </c>
      <c r="P272" s="307"/>
      <c r="Q272" s="307"/>
      <c r="R272" s="307"/>
      <c r="S272" s="307"/>
      <c r="T272" s="307"/>
      <c r="U272" s="307"/>
      <c r="V272" s="1050">
        <f t="shared" si="11"/>
        <v>-5221</v>
      </c>
      <c r="W272" s="334"/>
    </row>
    <row r="273" spans="1:23" s="343" customFormat="1" ht="18" customHeight="1">
      <c r="A273" s="306" t="s">
        <v>145</v>
      </c>
      <c r="B273" s="1049" t="s">
        <v>259</v>
      </c>
      <c r="C273" s="307"/>
      <c r="D273" s="307"/>
      <c r="E273" s="307"/>
      <c r="F273" s="307">
        <v>21140</v>
      </c>
      <c r="G273" s="307"/>
      <c r="H273" s="307"/>
      <c r="I273" s="307">
        <v>100</v>
      </c>
      <c r="J273" s="307"/>
      <c r="K273" s="307"/>
      <c r="L273" s="307"/>
      <c r="M273" s="307"/>
      <c r="N273" s="307"/>
      <c r="O273" s="307"/>
      <c r="P273" s="307"/>
      <c r="Q273" s="307"/>
      <c r="R273" s="307"/>
      <c r="S273" s="307"/>
      <c r="T273" s="307"/>
      <c r="U273" s="307">
        <v>4069</v>
      </c>
      <c r="V273" s="1050">
        <f t="shared" si="11"/>
        <v>25309</v>
      </c>
      <c r="W273" s="334"/>
    </row>
    <row r="274" spans="1:23" s="343" customFormat="1" ht="18" customHeight="1">
      <c r="A274" s="306" t="s">
        <v>146</v>
      </c>
      <c r="B274" s="1049" t="s">
        <v>260</v>
      </c>
      <c r="C274" s="307"/>
      <c r="D274" s="307"/>
      <c r="E274" s="307"/>
      <c r="F274" s="307">
        <v>10120</v>
      </c>
      <c r="G274" s="307"/>
      <c r="H274" s="307">
        <v>1040</v>
      </c>
      <c r="I274" s="307">
        <v>160</v>
      </c>
      <c r="J274" s="307"/>
      <c r="K274" s="307"/>
      <c r="L274" s="307"/>
      <c r="M274" s="307"/>
      <c r="N274" s="307"/>
      <c r="O274" s="307"/>
      <c r="P274" s="307"/>
      <c r="Q274" s="307"/>
      <c r="R274" s="307"/>
      <c r="S274" s="307"/>
      <c r="T274" s="307"/>
      <c r="U274" s="307">
        <v>544</v>
      </c>
      <c r="V274" s="1050">
        <f t="shared" si="11"/>
        <v>11864</v>
      </c>
      <c r="W274" s="334"/>
    </row>
    <row r="275" spans="1:23" s="343" customFormat="1" ht="18" customHeight="1">
      <c r="A275" s="306" t="s">
        <v>147</v>
      </c>
      <c r="B275" s="1049" t="s">
        <v>261</v>
      </c>
      <c r="C275" s="307"/>
      <c r="D275" s="307"/>
      <c r="E275" s="307"/>
      <c r="F275" s="307">
        <v>-675</v>
      </c>
      <c r="G275" s="307"/>
      <c r="H275" s="307">
        <v>-302</v>
      </c>
      <c r="I275" s="307"/>
      <c r="J275" s="307"/>
      <c r="K275" s="307"/>
      <c r="L275" s="307"/>
      <c r="M275" s="307"/>
      <c r="N275" s="307"/>
      <c r="O275" s="307"/>
      <c r="P275" s="307"/>
      <c r="Q275" s="307"/>
      <c r="R275" s="307"/>
      <c r="S275" s="307"/>
      <c r="T275" s="307"/>
      <c r="U275" s="307"/>
      <c r="V275" s="1050">
        <f t="shared" si="11"/>
        <v>-977</v>
      </c>
      <c r="W275" s="334"/>
    </row>
    <row r="276" spans="1:23" s="343" customFormat="1" ht="18" customHeight="1">
      <c r="A276" s="306" t="s">
        <v>148</v>
      </c>
      <c r="B276" s="1049" t="s">
        <v>182</v>
      </c>
      <c r="C276" s="307"/>
      <c r="D276" s="307"/>
      <c r="E276" s="307"/>
      <c r="F276" s="307">
        <v>-14792</v>
      </c>
      <c r="G276" s="307"/>
      <c r="H276" s="307">
        <v>-2250</v>
      </c>
      <c r="I276" s="307">
        <v>-400</v>
      </c>
      <c r="J276" s="307"/>
      <c r="K276" s="307"/>
      <c r="L276" s="307"/>
      <c r="M276" s="307"/>
      <c r="N276" s="307"/>
      <c r="O276" s="307"/>
      <c r="P276" s="307"/>
      <c r="Q276" s="307"/>
      <c r="R276" s="307"/>
      <c r="S276" s="307"/>
      <c r="T276" s="307"/>
      <c r="U276" s="307"/>
      <c r="V276" s="1050">
        <f t="shared" si="11"/>
        <v>-17442</v>
      </c>
      <c r="W276" s="334"/>
    </row>
    <row r="277" spans="1:23" s="343" customFormat="1" ht="18" customHeight="1">
      <c r="A277" s="306" t="s">
        <v>401</v>
      </c>
      <c r="B277" s="1049" t="s">
        <v>262</v>
      </c>
      <c r="C277" s="307"/>
      <c r="D277" s="307"/>
      <c r="E277" s="307"/>
      <c r="F277" s="307">
        <v>-19917</v>
      </c>
      <c r="G277" s="307"/>
      <c r="H277" s="307">
        <v>-5540</v>
      </c>
      <c r="I277" s="307">
        <v>-485</v>
      </c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7"/>
      <c r="U277" s="307"/>
      <c r="V277" s="1050">
        <f t="shared" si="11"/>
        <v>-25942</v>
      </c>
      <c r="W277" s="334"/>
    </row>
    <row r="278" spans="1:23" s="343" customFormat="1" ht="18" customHeight="1">
      <c r="A278" s="306" t="s">
        <v>149</v>
      </c>
      <c r="B278" s="1049" t="s">
        <v>184</v>
      </c>
      <c r="C278" s="307"/>
      <c r="D278" s="307"/>
      <c r="E278" s="307"/>
      <c r="F278" s="307">
        <v>5318</v>
      </c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7"/>
      <c r="U278" s="307"/>
      <c r="V278" s="1050">
        <f t="shared" si="11"/>
        <v>5318</v>
      </c>
      <c r="W278" s="334"/>
    </row>
    <row r="279" spans="1:23" s="310" customFormat="1" ht="18" customHeight="1">
      <c r="A279" s="306" t="s">
        <v>150</v>
      </c>
      <c r="B279" s="1049" t="s">
        <v>263</v>
      </c>
      <c r="C279" s="307"/>
      <c r="D279" s="307"/>
      <c r="E279" s="307"/>
      <c r="F279" s="307">
        <v>-3275</v>
      </c>
      <c r="G279" s="307"/>
      <c r="H279" s="307">
        <v>-1280</v>
      </c>
      <c r="I279" s="307">
        <v>-250</v>
      </c>
      <c r="J279" s="307"/>
      <c r="K279" s="307"/>
      <c r="L279" s="307"/>
      <c r="M279" s="307"/>
      <c r="N279" s="307"/>
      <c r="O279" s="307"/>
      <c r="P279" s="307"/>
      <c r="Q279" s="307"/>
      <c r="R279" s="307"/>
      <c r="S279" s="307"/>
      <c r="T279" s="307"/>
      <c r="U279" s="307"/>
      <c r="V279" s="1050">
        <f t="shared" si="11"/>
        <v>-4805</v>
      </c>
      <c r="W279" s="334"/>
    </row>
    <row r="280" spans="1:23" ht="18" customHeight="1">
      <c r="A280" s="306" t="s">
        <v>151</v>
      </c>
      <c r="B280" s="1086" t="s">
        <v>264</v>
      </c>
      <c r="C280" s="307"/>
      <c r="D280" s="307"/>
      <c r="E280" s="307"/>
      <c r="F280" s="307">
        <v>4000</v>
      </c>
      <c r="G280" s="307"/>
      <c r="H280" s="307">
        <v>1000</v>
      </c>
      <c r="I280" s="307"/>
      <c r="J280" s="307"/>
      <c r="K280" s="307"/>
      <c r="L280" s="307"/>
      <c r="M280" s="307"/>
      <c r="N280" s="307"/>
      <c r="O280" s="307"/>
      <c r="P280" s="307"/>
      <c r="Q280" s="307"/>
      <c r="R280" s="307"/>
      <c r="S280" s="307"/>
      <c r="T280" s="307"/>
      <c r="U280" s="307">
        <v>2300</v>
      </c>
      <c r="V280" s="1050">
        <f t="shared" si="11"/>
        <v>7300</v>
      </c>
      <c r="W280" s="334"/>
    </row>
    <row r="281" spans="1:23" ht="18" customHeight="1">
      <c r="A281" s="306" t="s">
        <v>152</v>
      </c>
      <c r="B281" s="1086" t="s">
        <v>183</v>
      </c>
      <c r="C281" s="307"/>
      <c r="D281" s="307"/>
      <c r="E281" s="307"/>
      <c r="F281" s="307"/>
      <c r="G281" s="307"/>
      <c r="H281" s="307">
        <v>-648</v>
      </c>
      <c r="I281" s="307"/>
      <c r="J281" s="307"/>
      <c r="K281" s="307"/>
      <c r="L281" s="307"/>
      <c r="M281" s="307"/>
      <c r="N281" s="307"/>
      <c r="O281" s="307"/>
      <c r="P281" s="307"/>
      <c r="Q281" s="307"/>
      <c r="R281" s="307"/>
      <c r="S281" s="307"/>
      <c r="T281" s="307"/>
      <c r="U281" s="307"/>
      <c r="V281" s="1050">
        <f t="shared" si="11"/>
        <v>-648</v>
      </c>
      <c r="W281" s="334"/>
    </row>
    <row r="282" spans="1:23" ht="18" customHeight="1">
      <c r="A282" s="306" t="s">
        <v>153</v>
      </c>
      <c r="B282" s="1086" t="s">
        <v>265</v>
      </c>
      <c r="C282" s="307"/>
      <c r="D282" s="307"/>
      <c r="E282" s="307"/>
      <c r="F282" s="307">
        <v>7570</v>
      </c>
      <c r="G282" s="307"/>
      <c r="H282" s="307"/>
      <c r="I282" s="307"/>
      <c r="J282" s="307"/>
      <c r="K282" s="307"/>
      <c r="L282" s="307"/>
      <c r="M282" s="307"/>
      <c r="N282" s="307"/>
      <c r="O282" s="307"/>
      <c r="P282" s="307"/>
      <c r="Q282" s="307"/>
      <c r="R282" s="307"/>
      <c r="S282" s="307"/>
      <c r="T282" s="307"/>
      <c r="U282" s="307">
        <v>330</v>
      </c>
      <c r="V282" s="1050">
        <f t="shared" si="11"/>
        <v>7900</v>
      </c>
      <c r="W282" s="334"/>
    </row>
    <row r="283" spans="1:23" ht="18" customHeight="1">
      <c r="A283" s="306" t="s">
        <v>402</v>
      </c>
      <c r="B283" s="1086" t="s">
        <v>266</v>
      </c>
      <c r="C283" s="307"/>
      <c r="D283" s="307"/>
      <c r="E283" s="307"/>
      <c r="F283" s="307">
        <v>-2750</v>
      </c>
      <c r="G283" s="307"/>
      <c r="H283" s="307">
        <v>-3000</v>
      </c>
      <c r="I283" s="307">
        <v>-410</v>
      </c>
      <c r="J283" s="307"/>
      <c r="K283" s="307"/>
      <c r="L283" s="307"/>
      <c r="M283" s="307"/>
      <c r="N283" s="307"/>
      <c r="O283" s="307"/>
      <c r="P283" s="307"/>
      <c r="Q283" s="307"/>
      <c r="R283" s="307"/>
      <c r="S283" s="307"/>
      <c r="T283" s="307"/>
      <c r="U283" s="307"/>
      <c r="V283" s="1050">
        <f t="shared" si="11"/>
        <v>-6160</v>
      </c>
      <c r="W283" s="334"/>
    </row>
    <row r="284" spans="1:23" ht="18" customHeight="1">
      <c r="A284" s="306" t="s">
        <v>154</v>
      </c>
      <c r="B284" s="1086" t="s">
        <v>267</v>
      </c>
      <c r="C284" s="307"/>
      <c r="D284" s="307"/>
      <c r="E284" s="307"/>
      <c r="F284" s="307">
        <v>-3500</v>
      </c>
      <c r="G284" s="307"/>
      <c r="H284" s="307">
        <v>-700</v>
      </c>
      <c r="I284" s="307">
        <v>-120</v>
      </c>
      <c r="J284" s="307"/>
      <c r="K284" s="307"/>
      <c r="L284" s="307"/>
      <c r="M284" s="307"/>
      <c r="N284" s="307"/>
      <c r="O284" s="307"/>
      <c r="P284" s="307"/>
      <c r="Q284" s="307"/>
      <c r="R284" s="307"/>
      <c r="S284" s="307"/>
      <c r="T284" s="307"/>
      <c r="U284" s="307"/>
      <c r="V284" s="1050">
        <f t="shared" si="11"/>
        <v>-4320</v>
      </c>
      <c r="W284" s="334"/>
    </row>
    <row r="285" spans="1:23" ht="18" customHeight="1">
      <c r="A285" s="306" t="s">
        <v>155</v>
      </c>
      <c r="B285" s="1086" t="s">
        <v>268</v>
      </c>
      <c r="C285" s="307"/>
      <c r="D285" s="307"/>
      <c r="E285" s="307"/>
      <c r="F285" s="307">
        <v>-2149</v>
      </c>
      <c r="G285" s="307"/>
      <c r="H285" s="307"/>
      <c r="I285" s="307"/>
      <c r="J285" s="307"/>
      <c r="K285" s="307"/>
      <c r="L285" s="307"/>
      <c r="M285" s="307"/>
      <c r="N285" s="307"/>
      <c r="O285" s="307"/>
      <c r="P285" s="307"/>
      <c r="Q285" s="307"/>
      <c r="R285" s="307"/>
      <c r="S285" s="307"/>
      <c r="T285" s="307"/>
      <c r="U285" s="307">
        <v>335</v>
      </c>
      <c r="V285" s="1050">
        <f t="shared" si="11"/>
        <v>-1814</v>
      </c>
      <c r="W285" s="334"/>
    </row>
    <row r="286" spans="1:23" ht="18" customHeight="1">
      <c r="A286" s="306" t="s">
        <v>156</v>
      </c>
      <c r="B286" s="1086" t="s">
        <v>269</v>
      </c>
      <c r="C286" s="307"/>
      <c r="D286" s="307"/>
      <c r="E286" s="307"/>
      <c r="F286" s="307">
        <v>54401</v>
      </c>
      <c r="G286" s="307"/>
      <c r="H286" s="307">
        <v>9850</v>
      </c>
      <c r="I286" s="307">
        <v>1200</v>
      </c>
      <c r="J286" s="307"/>
      <c r="K286" s="307"/>
      <c r="L286" s="307"/>
      <c r="M286" s="307"/>
      <c r="N286" s="307"/>
      <c r="O286" s="307"/>
      <c r="P286" s="307"/>
      <c r="Q286" s="307"/>
      <c r="R286" s="307"/>
      <c r="S286" s="307"/>
      <c r="T286" s="307"/>
      <c r="U286" s="307">
        <v>5051</v>
      </c>
      <c r="V286" s="1050">
        <f t="shared" si="11"/>
        <v>70502</v>
      </c>
      <c r="W286" s="334"/>
    </row>
    <row r="287" spans="1:23" ht="18" customHeight="1">
      <c r="A287" s="306" t="s">
        <v>157</v>
      </c>
      <c r="B287" s="1086" t="s">
        <v>270</v>
      </c>
      <c r="C287" s="307"/>
      <c r="D287" s="307"/>
      <c r="E287" s="307"/>
      <c r="F287" s="307">
        <v>33700</v>
      </c>
      <c r="G287" s="307"/>
      <c r="H287" s="307">
        <v>6150</v>
      </c>
      <c r="I287" s="307">
        <v>580</v>
      </c>
      <c r="J287" s="307"/>
      <c r="K287" s="307"/>
      <c r="L287" s="307"/>
      <c r="M287" s="307"/>
      <c r="N287" s="307"/>
      <c r="O287" s="307"/>
      <c r="P287" s="307"/>
      <c r="Q287" s="307"/>
      <c r="R287" s="307"/>
      <c r="S287" s="307"/>
      <c r="T287" s="307"/>
      <c r="U287" s="307">
        <v>600</v>
      </c>
      <c r="V287" s="1050">
        <f t="shared" si="11"/>
        <v>41030</v>
      </c>
      <c r="W287" s="334"/>
    </row>
    <row r="288" spans="1:23" ht="18" customHeight="1">
      <c r="A288" s="306" t="s">
        <v>158</v>
      </c>
      <c r="B288" s="1086" t="s">
        <v>271</v>
      </c>
      <c r="C288" s="307"/>
      <c r="D288" s="307"/>
      <c r="E288" s="307"/>
      <c r="F288" s="307">
        <v>-26000</v>
      </c>
      <c r="G288" s="307"/>
      <c r="H288" s="307">
        <v>-3677</v>
      </c>
      <c r="I288" s="307">
        <v>-300</v>
      </c>
      <c r="J288" s="307"/>
      <c r="K288" s="307"/>
      <c r="L288" s="307"/>
      <c r="M288" s="307"/>
      <c r="N288" s="307"/>
      <c r="O288" s="307"/>
      <c r="P288" s="307"/>
      <c r="Q288" s="307"/>
      <c r="R288" s="307"/>
      <c r="S288" s="307"/>
      <c r="T288" s="307"/>
      <c r="U288" s="307"/>
      <c r="V288" s="1050">
        <f t="shared" si="11"/>
        <v>-29977</v>
      </c>
      <c r="W288" s="334"/>
    </row>
    <row r="289" spans="1:23" ht="18" customHeight="1">
      <c r="A289" s="306" t="s">
        <v>159</v>
      </c>
      <c r="B289" s="1086" t="s">
        <v>272</v>
      </c>
      <c r="C289" s="307"/>
      <c r="D289" s="307"/>
      <c r="E289" s="307"/>
      <c r="F289" s="307">
        <v>18626</v>
      </c>
      <c r="G289" s="307"/>
      <c r="H289" s="307">
        <v>1160</v>
      </c>
      <c r="I289" s="307">
        <v>150</v>
      </c>
      <c r="J289" s="307"/>
      <c r="K289" s="307"/>
      <c r="L289" s="307"/>
      <c r="M289" s="307"/>
      <c r="N289" s="307"/>
      <c r="O289" s="307"/>
      <c r="P289" s="307">
        <v>7900</v>
      </c>
      <c r="Q289" s="307"/>
      <c r="R289" s="307"/>
      <c r="S289" s="307"/>
      <c r="T289" s="307"/>
      <c r="U289" s="307"/>
      <c r="V289" s="1050">
        <f t="shared" si="11"/>
        <v>27836</v>
      </c>
      <c r="W289" s="334"/>
    </row>
    <row r="290" spans="1:23" ht="18" customHeight="1">
      <c r="A290" s="306" t="s">
        <v>160</v>
      </c>
      <c r="B290" s="1086" t="s">
        <v>273</v>
      </c>
      <c r="C290" s="307"/>
      <c r="D290" s="307"/>
      <c r="E290" s="307"/>
      <c r="F290" s="307">
        <v>17472</v>
      </c>
      <c r="G290" s="307"/>
      <c r="H290" s="307">
        <v>1435</v>
      </c>
      <c r="I290" s="307">
        <v>314</v>
      </c>
      <c r="J290" s="307"/>
      <c r="K290" s="307"/>
      <c r="L290" s="307"/>
      <c r="M290" s="307"/>
      <c r="N290" s="307"/>
      <c r="O290" s="307"/>
      <c r="P290" s="307"/>
      <c r="Q290" s="307"/>
      <c r="R290" s="307"/>
      <c r="S290" s="307"/>
      <c r="T290" s="307"/>
      <c r="U290" s="307"/>
      <c r="V290" s="1050">
        <f t="shared" si="11"/>
        <v>19221</v>
      </c>
      <c r="W290" s="334"/>
    </row>
    <row r="291" spans="1:23" ht="18" customHeight="1">
      <c r="A291" s="306" t="s">
        <v>161</v>
      </c>
      <c r="B291" s="1086" t="s">
        <v>274</v>
      </c>
      <c r="C291" s="307"/>
      <c r="D291" s="307"/>
      <c r="E291" s="307"/>
      <c r="F291" s="307">
        <v>13784</v>
      </c>
      <c r="G291" s="307"/>
      <c r="H291" s="307">
        <v>-1600</v>
      </c>
      <c r="I291" s="307">
        <v>-600</v>
      </c>
      <c r="J291" s="307"/>
      <c r="K291" s="307"/>
      <c r="L291" s="307"/>
      <c r="M291" s="307"/>
      <c r="N291" s="307"/>
      <c r="O291" s="307"/>
      <c r="P291" s="307"/>
      <c r="Q291" s="307"/>
      <c r="R291" s="307"/>
      <c r="S291" s="307"/>
      <c r="T291" s="307"/>
      <c r="U291" s="307"/>
      <c r="V291" s="1050">
        <f t="shared" si="11"/>
        <v>11584</v>
      </c>
      <c r="W291" s="334"/>
    </row>
    <row r="292" spans="1:23" s="325" customFormat="1" ht="18" customHeight="1">
      <c r="A292" s="306" t="s">
        <v>162</v>
      </c>
      <c r="B292" s="1086" t="s">
        <v>275</v>
      </c>
      <c r="C292" s="307"/>
      <c r="D292" s="307"/>
      <c r="E292" s="307"/>
      <c r="F292" s="307">
        <v>13335</v>
      </c>
      <c r="G292" s="307"/>
      <c r="H292" s="307">
        <v>2000</v>
      </c>
      <c r="I292" s="307"/>
      <c r="J292" s="307"/>
      <c r="K292" s="307"/>
      <c r="L292" s="307"/>
      <c r="M292" s="307"/>
      <c r="N292" s="307"/>
      <c r="O292" s="307"/>
      <c r="P292" s="307"/>
      <c r="Q292" s="307"/>
      <c r="R292" s="307"/>
      <c r="S292" s="307"/>
      <c r="T292" s="307"/>
      <c r="U292" s="307"/>
      <c r="V292" s="1050">
        <f t="shared" si="11"/>
        <v>15335</v>
      </c>
      <c r="W292" s="334"/>
    </row>
    <row r="293" spans="1:23" s="325" customFormat="1" ht="18" customHeight="1">
      <c r="A293" s="306" t="s">
        <v>163</v>
      </c>
      <c r="B293" s="1086" t="s">
        <v>276</v>
      </c>
      <c r="C293" s="307"/>
      <c r="D293" s="307"/>
      <c r="E293" s="307"/>
      <c r="F293" s="307"/>
      <c r="G293" s="307"/>
      <c r="H293" s="307"/>
      <c r="I293" s="307">
        <v>-40</v>
      </c>
      <c r="J293" s="307"/>
      <c r="K293" s="307"/>
      <c r="L293" s="307"/>
      <c r="M293" s="307"/>
      <c r="N293" s="307"/>
      <c r="O293" s="307"/>
      <c r="P293" s="307"/>
      <c r="Q293" s="307"/>
      <c r="R293" s="307"/>
      <c r="S293" s="307"/>
      <c r="T293" s="307"/>
      <c r="U293" s="307"/>
      <c r="V293" s="1050">
        <f t="shared" si="11"/>
        <v>-40</v>
      </c>
      <c r="W293" s="334"/>
    </row>
    <row r="294" spans="1:23" s="325" customFormat="1" ht="18" customHeight="1">
      <c r="A294" s="306" t="s">
        <v>164</v>
      </c>
      <c r="B294" s="1086" t="s">
        <v>277</v>
      </c>
      <c r="C294" s="307"/>
      <c r="D294" s="307"/>
      <c r="E294" s="307"/>
      <c r="F294" s="307">
        <v>21025</v>
      </c>
      <c r="G294" s="307"/>
      <c r="H294" s="307">
        <v>1520</v>
      </c>
      <c r="I294" s="307"/>
      <c r="J294" s="307"/>
      <c r="K294" s="307"/>
      <c r="L294" s="307"/>
      <c r="M294" s="307"/>
      <c r="N294" s="307"/>
      <c r="O294" s="307"/>
      <c r="P294" s="307"/>
      <c r="Q294" s="307"/>
      <c r="R294" s="307"/>
      <c r="S294" s="307"/>
      <c r="T294" s="307"/>
      <c r="U294" s="307">
        <v>3434</v>
      </c>
      <c r="V294" s="1050">
        <f t="shared" si="11"/>
        <v>25979</v>
      </c>
      <c r="W294" s="334"/>
    </row>
    <row r="295" spans="1:23" s="325" customFormat="1" ht="18" customHeight="1">
      <c r="A295" s="705" t="s">
        <v>165</v>
      </c>
      <c r="B295" s="1086" t="s">
        <v>278</v>
      </c>
      <c r="C295" s="307"/>
      <c r="D295" s="307"/>
      <c r="E295" s="307"/>
      <c r="F295" s="307">
        <v>-32169</v>
      </c>
      <c r="G295" s="307"/>
      <c r="H295" s="307">
        <v>-4000</v>
      </c>
      <c r="I295" s="307">
        <v>-890</v>
      </c>
      <c r="J295" s="307"/>
      <c r="K295" s="307"/>
      <c r="L295" s="307"/>
      <c r="M295" s="307"/>
      <c r="N295" s="307"/>
      <c r="O295" s="307"/>
      <c r="P295" s="307"/>
      <c r="Q295" s="307"/>
      <c r="R295" s="307"/>
      <c r="S295" s="307"/>
      <c r="T295" s="307"/>
      <c r="U295" s="307"/>
      <c r="V295" s="1050">
        <f t="shared" si="11"/>
        <v>-37059</v>
      </c>
      <c r="W295" s="334"/>
    </row>
    <row r="296" spans="1:23" s="325" customFormat="1" ht="18" customHeight="1">
      <c r="A296" s="705" t="s">
        <v>166</v>
      </c>
      <c r="B296" s="1086" t="s">
        <v>279</v>
      </c>
      <c r="C296" s="307"/>
      <c r="D296" s="307"/>
      <c r="E296" s="307"/>
      <c r="F296" s="307">
        <v>14853</v>
      </c>
      <c r="G296" s="307"/>
      <c r="H296" s="307">
        <v>613</v>
      </c>
      <c r="I296" s="307"/>
      <c r="J296" s="307"/>
      <c r="K296" s="307"/>
      <c r="L296" s="307"/>
      <c r="M296" s="307"/>
      <c r="N296" s="307"/>
      <c r="O296" s="307"/>
      <c r="P296" s="307"/>
      <c r="Q296" s="307"/>
      <c r="R296" s="307"/>
      <c r="S296" s="307"/>
      <c r="T296" s="307"/>
      <c r="U296" s="307">
        <v>4002</v>
      </c>
      <c r="V296" s="1050">
        <f t="shared" si="11"/>
        <v>19468</v>
      </c>
      <c r="W296" s="334"/>
    </row>
    <row r="297" spans="1:23" s="325" customFormat="1" ht="18" customHeight="1">
      <c r="A297" s="705" t="s">
        <v>167</v>
      </c>
      <c r="B297" s="1086" t="s">
        <v>463</v>
      </c>
      <c r="C297" s="307"/>
      <c r="D297" s="307"/>
      <c r="E297" s="307"/>
      <c r="F297" s="307">
        <v>4138</v>
      </c>
      <c r="G297" s="307"/>
      <c r="H297" s="307">
        <v>400</v>
      </c>
      <c r="I297" s="307"/>
      <c r="J297" s="307"/>
      <c r="K297" s="307"/>
      <c r="L297" s="307"/>
      <c r="M297" s="307"/>
      <c r="N297" s="307"/>
      <c r="O297" s="307"/>
      <c r="P297" s="307"/>
      <c r="Q297" s="307"/>
      <c r="R297" s="307"/>
      <c r="S297" s="307"/>
      <c r="T297" s="307"/>
      <c r="U297" s="307"/>
      <c r="V297" s="1050">
        <f t="shared" si="11"/>
        <v>4538</v>
      </c>
      <c r="W297" s="334"/>
    </row>
    <row r="298" spans="1:23" s="325" customFormat="1" ht="18" customHeight="1">
      <c r="A298" s="705" t="s">
        <v>168</v>
      </c>
      <c r="B298" s="1086" t="s">
        <v>180</v>
      </c>
      <c r="C298" s="307"/>
      <c r="D298" s="307"/>
      <c r="E298" s="307"/>
      <c r="F298" s="307">
        <v>-8710</v>
      </c>
      <c r="G298" s="307"/>
      <c r="H298" s="307">
        <v>-2330</v>
      </c>
      <c r="I298" s="307">
        <v>-240</v>
      </c>
      <c r="J298" s="307"/>
      <c r="K298" s="307"/>
      <c r="L298" s="307"/>
      <c r="M298" s="307"/>
      <c r="N298" s="307"/>
      <c r="O298" s="307"/>
      <c r="P298" s="307"/>
      <c r="Q298" s="307"/>
      <c r="R298" s="307"/>
      <c r="S298" s="307"/>
      <c r="T298" s="307"/>
      <c r="U298" s="307"/>
      <c r="V298" s="1050">
        <f t="shared" si="11"/>
        <v>-11280</v>
      </c>
      <c r="W298" s="334"/>
    </row>
    <row r="299" spans="1:23" ht="18" customHeight="1">
      <c r="A299" s="705" t="s">
        <v>169</v>
      </c>
      <c r="B299" s="1086" t="s">
        <v>280</v>
      </c>
      <c r="C299" s="307"/>
      <c r="D299" s="307"/>
      <c r="E299" s="307"/>
      <c r="F299" s="307">
        <v>1250</v>
      </c>
      <c r="G299" s="307"/>
      <c r="H299" s="307"/>
      <c r="I299" s="307">
        <v>-100</v>
      </c>
      <c r="J299" s="307"/>
      <c r="K299" s="307"/>
      <c r="L299" s="307"/>
      <c r="M299" s="307"/>
      <c r="N299" s="307"/>
      <c r="O299" s="307"/>
      <c r="P299" s="307"/>
      <c r="Q299" s="307"/>
      <c r="R299" s="307"/>
      <c r="S299" s="307"/>
      <c r="T299" s="307"/>
      <c r="U299" s="307"/>
      <c r="V299" s="1050">
        <f t="shared" si="11"/>
        <v>1150</v>
      </c>
      <c r="W299" s="334"/>
    </row>
    <row r="300" spans="1:23" ht="18" customHeight="1">
      <c r="A300" s="705" t="s">
        <v>170</v>
      </c>
      <c r="B300" s="1086" t="s">
        <v>281</v>
      </c>
      <c r="C300" s="307"/>
      <c r="D300" s="307"/>
      <c r="E300" s="307"/>
      <c r="F300" s="307">
        <v>1173</v>
      </c>
      <c r="G300" s="307"/>
      <c r="H300" s="307">
        <v>-690</v>
      </c>
      <c r="I300" s="307"/>
      <c r="J300" s="307"/>
      <c r="K300" s="307"/>
      <c r="L300" s="307"/>
      <c r="M300" s="307"/>
      <c r="N300" s="307"/>
      <c r="O300" s="307"/>
      <c r="P300" s="307"/>
      <c r="Q300" s="307"/>
      <c r="R300" s="307"/>
      <c r="S300" s="307"/>
      <c r="T300" s="307"/>
      <c r="U300" s="307"/>
      <c r="V300" s="1050">
        <f t="shared" si="11"/>
        <v>483</v>
      </c>
      <c r="W300" s="334"/>
    </row>
    <row r="301" spans="1:23" ht="18" customHeight="1">
      <c r="A301" s="705" t="s">
        <v>171</v>
      </c>
      <c r="B301" s="1086" t="s">
        <v>284</v>
      </c>
      <c r="C301" s="307"/>
      <c r="D301" s="307"/>
      <c r="E301" s="307"/>
      <c r="F301" s="307">
        <v>14600</v>
      </c>
      <c r="G301" s="307"/>
      <c r="H301" s="307">
        <v>4980</v>
      </c>
      <c r="I301" s="307">
        <v>332</v>
      </c>
      <c r="J301" s="307"/>
      <c r="K301" s="307"/>
      <c r="L301" s="307"/>
      <c r="M301" s="307"/>
      <c r="N301" s="307"/>
      <c r="O301" s="307"/>
      <c r="P301" s="307"/>
      <c r="Q301" s="307"/>
      <c r="R301" s="307"/>
      <c r="S301" s="307"/>
      <c r="T301" s="307"/>
      <c r="U301" s="307"/>
      <c r="V301" s="1050">
        <f aca="true" t="shared" si="12" ref="V301:V332">SUM(F301:U301)</f>
        <v>19912</v>
      </c>
      <c r="W301" s="334"/>
    </row>
    <row r="302" spans="1:23" ht="18" customHeight="1">
      <c r="A302" s="705" t="s">
        <v>172</v>
      </c>
      <c r="B302" s="1086" t="s">
        <v>285</v>
      </c>
      <c r="C302" s="307"/>
      <c r="D302" s="307"/>
      <c r="E302" s="307"/>
      <c r="F302" s="307">
        <v>14754</v>
      </c>
      <c r="G302" s="307"/>
      <c r="H302" s="307">
        <v>3000</v>
      </c>
      <c r="I302" s="307"/>
      <c r="J302" s="307"/>
      <c r="K302" s="307"/>
      <c r="L302" s="307"/>
      <c r="M302" s="307"/>
      <c r="N302" s="307"/>
      <c r="O302" s="307"/>
      <c r="P302" s="307"/>
      <c r="Q302" s="307"/>
      <c r="R302" s="307"/>
      <c r="S302" s="307"/>
      <c r="T302" s="307"/>
      <c r="U302" s="307"/>
      <c r="V302" s="1050">
        <f t="shared" si="12"/>
        <v>17754</v>
      </c>
      <c r="W302" s="334"/>
    </row>
    <row r="303" spans="1:23" ht="18" customHeight="1">
      <c r="A303" s="705" t="s">
        <v>173</v>
      </c>
      <c r="B303" s="1086" t="s">
        <v>697</v>
      </c>
      <c r="C303" s="307"/>
      <c r="D303" s="307"/>
      <c r="E303" s="307"/>
      <c r="F303" s="307">
        <v>336</v>
      </c>
      <c r="G303" s="307"/>
      <c r="H303" s="307">
        <v>80</v>
      </c>
      <c r="I303" s="307"/>
      <c r="J303" s="307"/>
      <c r="K303" s="307"/>
      <c r="L303" s="307"/>
      <c r="M303" s="307"/>
      <c r="N303" s="307"/>
      <c r="O303" s="307"/>
      <c r="P303" s="307"/>
      <c r="Q303" s="307"/>
      <c r="R303" s="307"/>
      <c r="S303" s="307"/>
      <c r="T303" s="307"/>
      <c r="U303" s="307"/>
      <c r="V303" s="1050">
        <f t="shared" si="12"/>
        <v>416</v>
      </c>
      <c r="W303" s="334"/>
    </row>
    <row r="304" spans="1:23" ht="18" customHeight="1" thickBot="1">
      <c r="A304" s="705" t="s">
        <v>174</v>
      </c>
      <c r="B304" s="1071" t="s">
        <v>771</v>
      </c>
      <c r="C304" s="307"/>
      <c r="D304" s="307"/>
      <c r="E304" s="307"/>
      <c r="F304" s="307">
        <v>14000</v>
      </c>
      <c r="G304" s="307"/>
      <c r="H304" s="307">
        <v>1520</v>
      </c>
      <c r="I304" s="307"/>
      <c r="J304" s="307"/>
      <c r="K304" s="307"/>
      <c r="L304" s="307"/>
      <c r="M304" s="307"/>
      <c r="N304" s="307"/>
      <c r="O304" s="307"/>
      <c r="P304" s="307"/>
      <c r="Q304" s="307"/>
      <c r="R304" s="307"/>
      <c r="S304" s="307"/>
      <c r="T304" s="307"/>
      <c r="U304" s="307">
        <v>1994</v>
      </c>
      <c r="V304" s="1061">
        <f t="shared" si="12"/>
        <v>17514</v>
      </c>
      <c r="W304" s="334"/>
    </row>
    <row r="305" spans="1:23" s="348" customFormat="1" ht="26.25" thickBot="1">
      <c r="A305" s="344">
        <v>85403</v>
      </c>
      <c r="B305" s="1087" t="s">
        <v>399</v>
      </c>
      <c r="C305" s="303">
        <v>0</v>
      </c>
      <c r="D305" s="303">
        <v>0</v>
      </c>
      <c r="E305" s="303">
        <v>0</v>
      </c>
      <c r="F305" s="303">
        <f>SUM(F306:F309)</f>
        <v>267604</v>
      </c>
      <c r="G305" s="303"/>
      <c r="H305" s="303">
        <f>SUM(H306:H309)</f>
        <v>43190</v>
      </c>
      <c r="I305" s="303">
        <f>SUM(I306:I309)</f>
        <v>5997</v>
      </c>
      <c r="J305" s="303"/>
      <c r="K305" s="303"/>
      <c r="L305" s="303"/>
      <c r="M305" s="303"/>
      <c r="N305" s="303"/>
      <c r="O305" s="303">
        <f>SUM(O306:O309)</f>
        <v>23000</v>
      </c>
      <c r="P305" s="303">
        <f>SUM(P306:P309)</f>
        <v>11333</v>
      </c>
      <c r="Q305" s="303"/>
      <c r="R305" s="303"/>
      <c r="S305" s="303"/>
      <c r="T305" s="303"/>
      <c r="U305" s="303">
        <f>SUM(U306:U309)</f>
        <v>5348</v>
      </c>
      <c r="V305" s="1062">
        <f t="shared" si="12"/>
        <v>356472</v>
      </c>
      <c r="W305" s="334"/>
    </row>
    <row r="306" spans="1:23" ht="25.5">
      <c r="A306" s="324" t="s">
        <v>175</v>
      </c>
      <c r="B306" s="1060" t="s">
        <v>443</v>
      </c>
      <c r="C306" s="706"/>
      <c r="D306" s="706"/>
      <c r="E306" s="706"/>
      <c r="F306" s="706">
        <v>67389</v>
      </c>
      <c r="G306" s="706"/>
      <c r="H306" s="706">
        <v>4500</v>
      </c>
      <c r="I306" s="706"/>
      <c r="J306" s="706"/>
      <c r="K306" s="706"/>
      <c r="L306" s="706"/>
      <c r="M306" s="706"/>
      <c r="N306" s="706"/>
      <c r="O306" s="706">
        <v>20000</v>
      </c>
      <c r="P306" s="706">
        <v>11333</v>
      </c>
      <c r="Q306" s="706"/>
      <c r="R306" s="706"/>
      <c r="S306" s="706"/>
      <c r="T306" s="706"/>
      <c r="U306" s="706">
        <v>580</v>
      </c>
      <c r="V306" s="1064">
        <f t="shared" si="12"/>
        <v>103802</v>
      </c>
      <c r="W306" s="334"/>
    </row>
    <row r="307" spans="1:23" ht="25.5">
      <c r="A307" s="705" t="s">
        <v>176</v>
      </c>
      <c r="B307" s="1068" t="s">
        <v>442</v>
      </c>
      <c r="C307" s="307"/>
      <c r="D307" s="307"/>
      <c r="E307" s="307"/>
      <c r="F307" s="307">
        <v>100594</v>
      </c>
      <c r="G307" s="307"/>
      <c r="H307" s="307">
        <v>20590</v>
      </c>
      <c r="I307" s="307">
        <v>1200</v>
      </c>
      <c r="J307" s="307"/>
      <c r="K307" s="307"/>
      <c r="L307" s="307"/>
      <c r="M307" s="307"/>
      <c r="N307" s="307"/>
      <c r="O307" s="307">
        <v>3000</v>
      </c>
      <c r="P307" s="307"/>
      <c r="Q307" s="307"/>
      <c r="R307" s="307"/>
      <c r="S307" s="307"/>
      <c r="T307" s="307"/>
      <c r="U307" s="307">
        <v>4768</v>
      </c>
      <c r="V307" s="1050">
        <f t="shared" si="12"/>
        <v>130152</v>
      </c>
      <c r="W307" s="334"/>
    </row>
    <row r="308" spans="1:23" ht="18" customHeight="1">
      <c r="A308" s="324" t="s">
        <v>177</v>
      </c>
      <c r="B308" s="1068" t="s">
        <v>736</v>
      </c>
      <c r="C308" s="307"/>
      <c r="D308" s="307"/>
      <c r="E308" s="307"/>
      <c r="F308" s="307">
        <v>74164</v>
      </c>
      <c r="G308" s="307"/>
      <c r="H308" s="307">
        <v>15100</v>
      </c>
      <c r="I308" s="307">
        <v>397</v>
      </c>
      <c r="J308" s="307"/>
      <c r="K308" s="307"/>
      <c r="L308" s="307"/>
      <c r="M308" s="307"/>
      <c r="N308" s="307"/>
      <c r="O308" s="307"/>
      <c r="P308" s="307"/>
      <c r="Q308" s="307"/>
      <c r="R308" s="307"/>
      <c r="S308" s="307"/>
      <c r="T308" s="307"/>
      <c r="U308" s="307"/>
      <c r="V308" s="1050">
        <f t="shared" si="12"/>
        <v>89661</v>
      </c>
      <c r="W308" s="334"/>
    </row>
    <row r="309" spans="1:23" ht="18" customHeight="1" thickBot="1">
      <c r="A309" s="705" t="s">
        <v>178</v>
      </c>
      <c r="B309" s="1068" t="s">
        <v>708</v>
      </c>
      <c r="C309" s="307"/>
      <c r="D309" s="307"/>
      <c r="E309" s="307"/>
      <c r="F309" s="307">
        <v>25457</v>
      </c>
      <c r="G309" s="307"/>
      <c r="H309" s="307">
        <v>3000</v>
      </c>
      <c r="I309" s="307">
        <v>4400</v>
      </c>
      <c r="J309" s="307"/>
      <c r="K309" s="307"/>
      <c r="L309" s="307"/>
      <c r="M309" s="307"/>
      <c r="N309" s="307"/>
      <c r="O309" s="307"/>
      <c r="P309" s="307"/>
      <c r="Q309" s="307"/>
      <c r="R309" s="307"/>
      <c r="S309" s="307"/>
      <c r="T309" s="307"/>
      <c r="U309" s="307"/>
      <c r="V309" s="1061">
        <f t="shared" si="12"/>
        <v>32857</v>
      </c>
      <c r="W309" s="334"/>
    </row>
    <row r="310" spans="1:23" ht="28.5" customHeight="1" thickBot="1">
      <c r="A310" s="344">
        <v>85406</v>
      </c>
      <c r="B310" s="1088" t="s">
        <v>188</v>
      </c>
      <c r="C310" s="303">
        <v>0</v>
      </c>
      <c r="D310" s="303">
        <v>0</v>
      </c>
      <c r="E310" s="303">
        <v>0</v>
      </c>
      <c r="F310" s="303">
        <f>SUM(F311:F316)</f>
        <v>-215380</v>
      </c>
      <c r="G310" s="303"/>
      <c r="H310" s="303">
        <f>SUM(H311:H316)</f>
        <v>-19114</v>
      </c>
      <c r="I310" s="303">
        <f>SUM(I311:I316)</f>
        <v>-2700</v>
      </c>
      <c r="J310" s="303"/>
      <c r="K310" s="303"/>
      <c r="L310" s="303"/>
      <c r="M310" s="303"/>
      <c r="N310" s="303"/>
      <c r="O310" s="303"/>
      <c r="P310" s="303"/>
      <c r="Q310" s="303"/>
      <c r="R310" s="303"/>
      <c r="S310" s="303"/>
      <c r="T310" s="303"/>
      <c r="U310" s="303">
        <f>SUM(U311:U316)</f>
        <v>250</v>
      </c>
      <c r="V310" s="1062">
        <f t="shared" si="12"/>
        <v>-236944</v>
      </c>
      <c r="W310" s="334"/>
    </row>
    <row r="311" spans="1:23" ht="18" customHeight="1">
      <c r="A311" s="324" t="s">
        <v>189</v>
      </c>
      <c r="B311" s="1067" t="s">
        <v>772</v>
      </c>
      <c r="C311" s="309"/>
      <c r="D311" s="309"/>
      <c r="E311" s="309"/>
      <c r="F311" s="309">
        <v>-24790</v>
      </c>
      <c r="G311" s="309"/>
      <c r="H311" s="309">
        <v>1100</v>
      </c>
      <c r="I311" s="309">
        <v>1000</v>
      </c>
      <c r="J311" s="309"/>
      <c r="K311" s="309"/>
      <c r="L311" s="309"/>
      <c r="M311" s="309"/>
      <c r="N311" s="309"/>
      <c r="O311" s="309"/>
      <c r="P311" s="309"/>
      <c r="Q311" s="309"/>
      <c r="R311" s="309"/>
      <c r="S311" s="309"/>
      <c r="T311" s="309"/>
      <c r="U311" s="309"/>
      <c r="V311" s="1064">
        <f t="shared" si="12"/>
        <v>-22690</v>
      </c>
      <c r="W311" s="334"/>
    </row>
    <row r="312" spans="1:23" ht="18" customHeight="1">
      <c r="A312" s="705" t="s">
        <v>190</v>
      </c>
      <c r="B312" s="1071" t="s">
        <v>773</v>
      </c>
      <c r="C312" s="307"/>
      <c r="D312" s="307"/>
      <c r="E312" s="307"/>
      <c r="F312" s="307">
        <v>-89720</v>
      </c>
      <c r="G312" s="307"/>
      <c r="H312" s="307">
        <v>-7668</v>
      </c>
      <c r="I312" s="307">
        <v>-2000</v>
      </c>
      <c r="J312" s="307"/>
      <c r="K312" s="307"/>
      <c r="L312" s="307"/>
      <c r="M312" s="307"/>
      <c r="N312" s="307"/>
      <c r="O312" s="307"/>
      <c r="P312" s="307"/>
      <c r="Q312" s="307"/>
      <c r="R312" s="307"/>
      <c r="S312" s="307"/>
      <c r="T312" s="307"/>
      <c r="U312" s="307"/>
      <c r="V312" s="1050">
        <f t="shared" si="12"/>
        <v>-99388</v>
      </c>
      <c r="W312" s="334"/>
    </row>
    <row r="313" spans="1:23" ht="18" customHeight="1">
      <c r="A313" s="324" t="s">
        <v>191</v>
      </c>
      <c r="B313" s="1071" t="s">
        <v>774</v>
      </c>
      <c r="C313" s="307"/>
      <c r="D313" s="307"/>
      <c r="E313" s="307"/>
      <c r="F313" s="307">
        <v>-3000</v>
      </c>
      <c r="G313" s="307"/>
      <c r="H313" s="307">
        <v>-7000</v>
      </c>
      <c r="I313" s="307">
        <v>-400</v>
      </c>
      <c r="J313" s="307"/>
      <c r="K313" s="307"/>
      <c r="L313" s="307"/>
      <c r="M313" s="307"/>
      <c r="N313" s="307"/>
      <c r="O313" s="307"/>
      <c r="P313" s="307"/>
      <c r="Q313" s="307"/>
      <c r="R313" s="307"/>
      <c r="S313" s="307"/>
      <c r="T313" s="307"/>
      <c r="U313" s="307">
        <v>-1904</v>
      </c>
      <c r="V313" s="1050">
        <f t="shared" si="12"/>
        <v>-12304</v>
      </c>
      <c r="W313" s="334"/>
    </row>
    <row r="314" spans="1:23" ht="18" customHeight="1">
      <c r="A314" s="705" t="s">
        <v>192</v>
      </c>
      <c r="B314" s="1071" t="s">
        <v>775</v>
      </c>
      <c r="C314" s="307"/>
      <c r="D314" s="307"/>
      <c r="E314" s="307"/>
      <c r="F314" s="307">
        <v>-44450</v>
      </c>
      <c r="G314" s="307"/>
      <c r="H314" s="307">
        <v>-5000</v>
      </c>
      <c r="I314" s="307"/>
      <c r="J314" s="307"/>
      <c r="K314" s="307"/>
      <c r="L314" s="307"/>
      <c r="M314" s="307"/>
      <c r="N314" s="307"/>
      <c r="O314" s="307"/>
      <c r="P314" s="307"/>
      <c r="Q314" s="307"/>
      <c r="R314" s="307"/>
      <c r="S314" s="307"/>
      <c r="T314" s="307"/>
      <c r="U314" s="307"/>
      <c r="V314" s="1050">
        <f t="shared" si="12"/>
        <v>-49450</v>
      </c>
      <c r="W314" s="334"/>
    </row>
    <row r="315" spans="1:23" ht="18" customHeight="1">
      <c r="A315" s="324" t="s">
        <v>193</v>
      </c>
      <c r="B315" s="1071" t="s">
        <v>776</v>
      </c>
      <c r="C315" s="307"/>
      <c r="D315" s="307"/>
      <c r="E315" s="307"/>
      <c r="F315" s="307">
        <v>-70420</v>
      </c>
      <c r="G315" s="307"/>
      <c r="H315" s="307">
        <v>-4546</v>
      </c>
      <c r="I315" s="307">
        <v>-1800</v>
      </c>
      <c r="J315" s="307"/>
      <c r="K315" s="307"/>
      <c r="L315" s="307"/>
      <c r="M315" s="307"/>
      <c r="N315" s="307"/>
      <c r="O315" s="307"/>
      <c r="P315" s="307"/>
      <c r="Q315" s="307"/>
      <c r="R315" s="307"/>
      <c r="S315" s="307"/>
      <c r="T315" s="307"/>
      <c r="U315" s="307">
        <v>2154</v>
      </c>
      <c r="V315" s="1050">
        <f t="shared" si="12"/>
        <v>-74612</v>
      </c>
      <c r="W315" s="334"/>
    </row>
    <row r="316" spans="1:23" ht="18" customHeight="1" thickBot="1">
      <c r="A316" s="705" t="s">
        <v>194</v>
      </c>
      <c r="B316" s="1071" t="s">
        <v>777</v>
      </c>
      <c r="C316" s="307"/>
      <c r="D316" s="307"/>
      <c r="E316" s="307"/>
      <c r="F316" s="307">
        <v>17000</v>
      </c>
      <c r="G316" s="307"/>
      <c r="H316" s="307">
        <v>4000</v>
      </c>
      <c r="I316" s="307">
        <v>500</v>
      </c>
      <c r="J316" s="307"/>
      <c r="K316" s="307"/>
      <c r="L316" s="307"/>
      <c r="M316" s="307"/>
      <c r="N316" s="307"/>
      <c r="O316" s="307"/>
      <c r="P316" s="307"/>
      <c r="Q316" s="307"/>
      <c r="R316" s="307"/>
      <c r="S316" s="307"/>
      <c r="T316" s="307"/>
      <c r="U316" s="307"/>
      <c r="V316" s="1061">
        <f t="shared" si="12"/>
        <v>21500</v>
      </c>
      <c r="W316" s="334"/>
    </row>
    <row r="317" spans="1:23" s="310" customFormat="1" ht="25.5" customHeight="1" thickBot="1">
      <c r="A317" s="305">
        <v>85407</v>
      </c>
      <c r="B317" s="1051" t="s">
        <v>195</v>
      </c>
      <c r="C317" s="303">
        <v>0</v>
      </c>
      <c r="D317" s="303">
        <v>0</v>
      </c>
      <c r="E317" s="303">
        <v>0</v>
      </c>
      <c r="F317" s="303">
        <f>SUM(F318:F319)</f>
        <v>-43900</v>
      </c>
      <c r="G317" s="303"/>
      <c r="H317" s="303">
        <f>SUM(H318:H319)</f>
        <v>1980</v>
      </c>
      <c r="I317" s="303">
        <f>SUM(I318:I319)</f>
        <v>340</v>
      </c>
      <c r="J317" s="303"/>
      <c r="K317" s="303"/>
      <c r="L317" s="303"/>
      <c r="M317" s="303"/>
      <c r="N317" s="303"/>
      <c r="O317" s="303">
        <f>SUM(O318:O319)</f>
        <v>-3000</v>
      </c>
      <c r="P317" s="303">
        <f>SUM(P318:P319)</f>
        <v>17305</v>
      </c>
      <c r="Q317" s="303"/>
      <c r="R317" s="303"/>
      <c r="S317" s="303"/>
      <c r="T317" s="303"/>
      <c r="U317" s="303"/>
      <c r="V317" s="1062">
        <f t="shared" si="12"/>
        <v>-27275</v>
      </c>
      <c r="W317" s="334"/>
    </row>
    <row r="318" spans="1:23" s="325" customFormat="1" ht="18" customHeight="1">
      <c r="A318" s="728" t="s">
        <v>196</v>
      </c>
      <c r="B318" s="1067" t="s">
        <v>197</v>
      </c>
      <c r="C318" s="309"/>
      <c r="D318" s="309"/>
      <c r="E318" s="309"/>
      <c r="F318" s="309">
        <v>-51000</v>
      </c>
      <c r="G318" s="309"/>
      <c r="H318" s="309"/>
      <c r="I318" s="309"/>
      <c r="J318" s="309"/>
      <c r="K318" s="309"/>
      <c r="L318" s="309"/>
      <c r="M318" s="309"/>
      <c r="N318" s="309"/>
      <c r="O318" s="309">
        <v>-3000</v>
      </c>
      <c r="P318" s="309">
        <v>17305</v>
      </c>
      <c r="Q318" s="309"/>
      <c r="R318" s="309"/>
      <c r="S318" s="309"/>
      <c r="T318" s="309"/>
      <c r="U318" s="309"/>
      <c r="V318" s="1064">
        <f t="shared" si="12"/>
        <v>-36695</v>
      </c>
      <c r="W318" s="334"/>
    </row>
    <row r="319" spans="1:23" ht="18" customHeight="1" thickBot="1">
      <c r="A319" s="705" t="s">
        <v>198</v>
      </c>
      <c r="B319" s="1071" t="s">
        <v>778</v>
      </c>
      <c r="C319" s="307"/>
      <c r="D319" s="307"/>
      <c r="E319" s="307"/>
      <c r="F319" s="307">
        <v>7100</v>
      </c>
      <c r="G319" s="307"/>
      <c r="H319" s="307">
        <v>1980</v>
      </c>
      <c r="I319" s="307">
        <v>340</v>
      </c>
      <c r="J319" s="307"/>
      <c r="K319" s="307"/>
      <c r="L319" s="307"/>
      <c r="M319" s="307"/>
      <c r="N319" s="307"/>
      <c r="O319" s="307"/>
      <c r="P319" s="307"/>
      <c r="Q319" s="307"/>
      <c r="R319" s="307"/>
      <c r="S319" s="307"/>
      <c r="T319" s="307"/>
      <c r="U319" s="307"/>
      <c r="V319" s="1061">
        <f t="shared" si="12"/>
        <v>9420</v>
      </c>
      <c r="W319" s="334"/>
    </row>
    <row r="320" spans="1:23" ht="18" customHeight="1" thickBot="1">
      <c r="A320" s="344">
        <v>85410</v>
      </c>
      <c r="B320" s="1089" t="s">
        <v>199</v>
      </c>
      <c r="C320" s="303">
        <v>0</v>
      </c>
      <c r="D320" s="303">
        <v>0</v>
      </c>
      <c r="E320" s="303">
        <v>0</v>
      </c>
      <c r="F320" s="303">
        <f>SUM(F321:F329)</f>
        <v>156521</v>
      </c>
      <c r="G320" s="303"/>
      <c r="H320" s="303">
        <f>SUM(H321:H329)</f>
        <v>19150</v>
      </c>
      <c r="I320" s="303">
        <f>SUM(I321:I329)</f>
        <v>2940</v>
      </c>
      <c r="J320" s="303"/>
      <c r="K320" s="303"/>
      <c r="L320" s="303">
        <f>SUM(L321:L329)</f>
        <v>12000</v>
      </c>
      <c r="M320" s="303"/>
      <c r="N320" s="303"/>
      <c r="O320" s="303">
        <f>SUM(O321:O329)</f>
        <v>15900</v>
      </c>
      <c r="P320" s="303"/>
      <c r="Q320" s="303"/>
      <c r="R320" s="303">
        <f>SUM(R321:R329)</f>
        <v>-6800</v>
      </c>
      <c r="S320" s="303"/>
      <c r="T320" s="303"/>
      <c r="U320" s="303">
        <f>SUM(U321:U329)</f>
        <v>4898</v>
      </c>
      <c r="V320" s="1062">
        <f t="shared" si="12"/>
        <v>204609</v>
      </c>
      <c r="W320" s="334"/>
    </row>
    <row r="321" spans="1:23" ht="18" customHeight="1">
      <c r="A321" s="728" t="s">
        <v>200</v>
      </c>
      <c r="B321" s="1067" t="s">
        <v>779</v>
      </c>
      <c r="C321" s="309"/>
      <c r="D321" s="309"/>
      <c r="E321" s="309"/>
      <c r="F321" s="309">
        <v>19000</v>
      </c>
      <c r="G321" s="309"/>
      <c r="H321" s="309">
        <v>1200</v>
      </c>
      <c r="I321" s="309">
        <v>200</v>
      </c>
      <c r="J321" s="309"/>
      <c r="K321" s="309"/>
      <c r="L321" s="309"/>
      <c r="M321" s="309"/>
      <c r="N321" s="309"/>
      <c r="O321" s="309">
        <v>3100</v>
      </c>
      <c r="P321" s="309"/>
      <c r="Q321" s="309"/>
      <c r="R321" s="309"/>
      <c r="S321" s="309"/>
      <c r="T321" s="309"/>
      <c r="U321" s="309">
        <v>1670</v>
      </c>
      <c r="V321" s="1064">
        <f t="shared" si="12"/>
        <v>25170</v>
      </c>
      <c r="W321" s="334"/>
    </row>
    <row r="322" spans="1:23" s="310" customFormat="1" ht="18" customHeight="1">
      <c r="A322" s="306" t="s">
        <v>201</v>
      </c>
      <c r="B322" s="1049" t="s">
        <v>780</v>
      </c>
      <c r="C322" s="307"/>
      <c r="D322" s="307"/>
      <c r="E322" s="307"/>
      <c r="F322" s="307">
        <v>20200</v>
      </c>
      <c r="G322" s="307"/>
      <c r="H322" s="307">
        <v>950</v>
      </c>
      <c r="I322" s="307">
        <v>200</v>
      </c>
      <c r="J322" s="307"/>
      <c r="K322" s="307"/>
      <c r="L322" s="307"/>
      <c r="M322" s="307"/>
      <c r="N322" s="307"/>
      <c r="O322" s="307"/>
      <c r="P322" s="307"/>
      <c r="Q322" s="307"/>
      <c r="R322" s="307"/>
      <c r="S322" s="307"/>
      <c r="T322" s="307"/>
      <c r="U322" s="307"/>
      <c r="V322" s="1050">
        <f t="shared" si="12"/>
        <v>21350</v>
      </c>
      <c r="W322" s="334"/>
    </row>
    <row r="323" spans="1:23" s="310" customFormat="1" ht="18" customHeight="1">
      <c r="A323" s="705" t="s">
        <v>202</v>
      </c>
      <c r="B323" s="1071" t="s">
        <v>781</v>
      </c>
      <c r="C323" s="307"/>
      <c r="D323" s="307"/>
      <c r="E323" s="307"/>
      <c r="F323" s="307">
        <v>22000</v>
      </c>
      <c r="G323" s="307"/>
      <c r="H323" s="307">
        <v>3000</v>
      </c>
      <c r="I323" s="307">
        <v>580</v>
      </c>
      <c r="J323" s="307"/>
      <c r="K323" s="307"/>
      <c r="L323" s="307"/>
      <c r="M323" s="307"/>
      <c r="N323" s="307"/>
      <c r="O323" s="307"/>
      <c r="P323" s="307"/>
      <c r="Q323" s="307"/>
      <c r="R323" s="307"/>
      <c r="S323" s="307"/>
      <c r="T323" s="307"/>
      <c r="U323" s="307"/>
      <c r="V323" s="1050">
        <f t="shared" si="12"/>
        <v>25580</v>
      </c>
      <c r="W323" s="334"/>
    </row>
    <row r="324" spans="1:23" s="310" customFormat="1" ht="18" customHeight="1">
      <c r="A324" s="306" t="s">
        <v>203</v>
      </c>
      <c r="B324" s="1049" t="s">
        <v>782</v>
      </c>
      <c r="C324" s="307"/>
      <c r="D324" s="307"/>
      <c r="E324" s="307"/>
      <c r="F324" s="307">
        <v>15361</v>
      </c>
      <c r="G324" s="307"/>
      <c r="H324" s="307"/>
      <c r="I324" s="307"/>
      <c r="J324" s="307"/>
      <c r="K324" s="307"/>
      <c r="L324" s="307"/>
      <c r="M324" s="307"/>
      <c r="N324" s="307"/>
      <c r="O324" s="307"/>
      <c r="P324" s="307"/>
      <c r="Q324" s="307"/>
      <c r="R324" s="307">
        <v>-6800</v>
      </c>
      <c r="S324" s="307"/>
      <c r="T324" s="307"/>
      <c r="U324" s="307"/>
      <c r="V324" s="1050">
        <f t="shared" si="12"/>
        <v>8561</v>
      </c>
      <c r="W324" s="334"/>
    </row>
    <row r="325" spans="1:23" s="310" customFormat="1" ht="18" customHeight="1">
      <c r="A325" s="306" t="s">
        <v>204</v>
      </c>
      <c r="B325" s="1049" t="s">
        <v>719</v>
      </c>
      <c r="C325" s="307"/>
      <c r="D325" s="307"/>
      <c r="E325" s="307"/>
      <c r="F325" s="307">
        <v>14000</v>
      </c>
      <c r="G325" s="307"/>
      <c r="H325" s="307">
        <v>1600</v>
      </c>
      <c r="I325" s="307">
        <v>1000</v>
      </c>
      <c r="J325" s="307"/>
      <c r="K325" s="307"/>
      <c r="L325" s="307"/>
      <c r="M325" s="307"/>
      <c r="N325" s="307"/>
      <c r="O325" s="307"/>
      <c r="P325" s="307"/>
      <c r="Q325" s="307"/>
      <c r="R325" s="307"/>
      <c r="S325" s="307"/>
      <c r="T325" s="307"/>
      <c r="U325" s="307"/>
      <c r="V325" s="1050">
        <f t="shared" si="12"/>
        <v>16600</v>
      </c>
      <c r="W325" s="334"/>
    </row>
    <row r="326" spans="1:23" s="310" customFormat="1" ht="18" customHeight="1">
      <c r="A326" s="306" t="s">
        <v>205</v>
      </c>
      <c r="B326" s="1049" t="s">
        <v>721</v>
      </c>
      <c r="C326" s="307"/>
      <c r="D326" s="307"/>
      <c r="E326" s="307"/>
      <c r="F326" s="307">
        <v>12500</v>
      </c>
      <c r="G326" s="307"/>
      <c r="H326" s="307">
        <v>1000</v>
      </c>
      <c r="I326" s="307"/>
      <c r="J326" s="307"/>
      <c r="K326" s="307"/>
      <c r="L326" s="307"/>
      <c r="M326" s="307"/>
      <c r="N326" s="307"/>
      <c r="O326" s="307">
        <v>3600</v>
      </c>
      <c r="P326" s="307"/>
      <c r="Q326" s="307"/>
      <c r="R326" s="307"/>
      <c r="S326" s="307"/>
      <c r="T326" s="307"/>
      <c r="U326" s="307"/>
      <c r="V326" s="1050">
        <f t="shared" si="12"/>
        <v>17100</v>
      </c>
      <c r="W326" s="334"/>
    </row>
    <row r="327" spans="1:23" s="310" customFormat="1" ht="18" customHeight="1">
      <c r="A327" s="306" t="s">
        <v>218</v>
      </c>
      <c r="B327" s="1049" t="s">
        <v>783</v>
      </c>
      <c r="C327" s="307"/>
      <c r="D327" s="307"/>
      <c r="E327" s="307"/>
      <c r="F327" s="307">
        <v>3720</v>
      </c>
      <c r="G327" s="307"/>
      <c r="H327" s="307">
        <v>3820</v>
      </c>
      <c r="I327" s="307">
        <v>230</v>
      </c>
      <c r="J327" s="307"/>
      <c r="K327" s="307"/>
      <c r="L327" s="307">
        <v>12000</v>
      </c>
      <c r="M327" s="307"/>
      <c r="N327" s="307"/>
      <c r="O327" s="307">
        <v>3000</v>
      </c>
      <c r="P327" s="307"/>
      <c r="Q327" s="307"/>
      <c r="R327" s="307"/>
      <c r="S327" s="307"/>
      <c r="T327" s="307"/>
      <c r="U327" s="307">
        <v>1264</v>
      </c>
      <c r="V327" s="1050">
        <f t="shared" si="12"/>
        <v>24034</v>
      </c>
      <c r="W327" s="334"/>
    </row>
    <row r="328" spans="1:23" s="310" customFormat="1" ht="18" customHeight="1">
      <c r="A328" s="306" t="s">
        <v>219</v>
      </c>
      <c r="B328" s="1049" t="s">
        <v>784</v>
      </c>
      <c r="C328" s="307"/>
      <c r="D328" s="307"/>
      <c r="E328" s="307"/>
      <c r="F328" s="307">
        <v>36140</v>
      </c>
      <c r="G328" s="307"/>
      <c r="H328" s="307">
        <v>1680</v>
      </c>
      <c r="I328" s="307">
        <v>130</v>
      </c>
      <c r="J328" s="307"/>
      <c r="K328" s="307"/>
      <c r="L328" s="307"/>
      <c r="M328" s="307"/>
      <c r="N328" s="307"/>
      <c r="O328" s="307"/>
      <c r="P328" s="307"/>
      <c r="Q328" s="307"/>
      <c r="R328" s="307"/>
      <c r="S328" s="307"/>
      <c r="T328" s="307"/>
      <c r="U328" s="307">
        <v>740</v>
      </c>
      <c r="V328" s="1050">
        <f t="shared" si="12"/>
        <v>38690</v>
      </c>
      <c r="W328" s="334"/>
    </row>
    <row r="329" spans="1:23" s="310" customFormat="1" ht="18" customHeight="1" thickBot="1">
      <c r="A329" s="306" t="s">
        <v>220</v>
      </c>
      <c r="B329" s="1049" t="s">
        <v>737</v>
      </c>
      <c r="C329" s="307"/>
      <c r="D329" s="307"/>
      <c r="E329" s="307"/>
      <c r="F329" s="307">
        <v>13600</v>
      </c>
      <c r="G329" s="307"/>
      <c r="H329" s="307">
        <v>5900</v>
      </c>
      <c r="I329" s="307">
        <v>600</v>
      </c>
      <c r="J329" s="307"/>
      <c r="K329" s="307"/>
      <c r="L329" s="307"/>
      <c r="M329" s="307"/>
      <c r="N329" s="307"/>
      <c r="O329" s="307">
        <v>6200</v>
      </c>
      <c r="P329" s="307"/>
      <c r="Q329" s="307"/>
      <c r="R329" s="307"/>
      <c r="S329" s="307"/>
      <c r="T329" s="307"/>
      <c r="U329" s="307">
        <v>1224</v>
      </c>
      <c r="V329" s="1061">
        <f t="shared" si="12"/>
        <v>27524</v>
      </c>
      <c r="W329" s="334"/>
    </row>
    <row r="330" spans="1:23" s="310" customFormat="1" ht="18" customHeight="1" thickBot="1">
      <c r="A330" s="305">
        <v>85417</v>
      </c>
      <c r="B330" s="1047" t="s">
        <v>492</v>
      </c>
      <c r="C330" s="707">
        <v>0</v>
      </c>
      <c r="D330" s="707">
        <v>0</v>
      </c>
      <c r="E330" s="709">
        <v>0</v>
      </c>
      <c r="F330" s="707"/>
      <c r="G330" s="707"/>
      <c r="H330" s="707"/>
      <c r="I330" s="707"/>
      <c r="J330" s="707"/>
      <c r="K330" s="707"/>
      <c r="L330" s="707"/>
      <c r="M330" s="707"/>
      <c r="N330" s="707"/>
      <c r="O330" s="707">
        <f>O331</f>
        <v>5000</v>
      </c>
      <c r="P330" s="707"/>
      <c r="Q330" s="707"/>
      <c r="R330" s="707"/>
      <c r="S330" s="707"/>
      <c r="T330" s="707"/>
      <c r="U330" s="707"/>
      <c r="V330" s="1062">
        <f t="shared" si="12"/>
        <v>5000</v>
      </c>
      <c r="W330" s="334"/>
    </row>
    <row r="331" spans="1:23" s="310" customFormat="1" ht="18" customHeight="1" thickBot="1">
      <c r="A331" s="308" t="s">
        <v>221</v>
      </c>
      <c r="B331" s="1058" t="s">
        <v>793</v>
      </c>
      <c r="C331" s="321"/>
      <c r="D331" s="321"/>
      <c r="E331" s="321"/>
      <c r="F331" s="321"/>
      <c r="G331" s="321"/>
      <c r="H331" s="321"/>
      <c r="I331" s="321"/>
      <c r="J331" s="321"/>
      <c r="K331" s="321"/>
      <c r="L331" s="321"/>
      <c r="M331" s="321"/>
      <c r="N331" s="321"/>
      <c r="O331" s="321">
        <v>5000</v>
      </c>
      <c r="P331" s="321"/>
      <c r="Q331" s="321"/>
      <c r="R331" s="321"/>
      <c r="S331" s="321"/>
      <c r="T331" s="321"/>
      <c r="U331" s="321"/>
      <c r="V331" s="1076">
        <f t="shared" si="12"/>
        <v>5000</v>
      </c>
      <c r="W331" s="334"/>
    </row>
    <row r="332" spans="1:23" s="310" customFormat="1" ht="18" customHeight="1" thickBot="1">
      <c r="A332" s="305">
        <v>85421</v>
      </c>
      <c r="B332" s="1047" t="s">
        <v>222</v>
      </c>
      <c r="C332" s="707">
        <v>0</v>
      </c>
      <c r="D332" s="707">
        <v>0</v>
      </c>
      <c r="E332" s="709">
        <v>0</v>
      </c>
      <c r="F332" s="707"/>
      <c r="G332" s="707"/>
      <c r="H332" s="707">
        <f>H333</f>
        <v>1000</v>
      </c>
      <c r="I332" s="707"/>
      <c r="J332" s="707"/>
      <c r="K332" s="707"/>
      <c r="L332" s="707"/>
      <c r="M332" s="707"/>
      <c r="N332" s="707"/>
      <c r="O332" s="707"/>
      <c r="P332" s="707"/>
      <c r="Q332" s="707"/>
      <c r="R332" s="707"/>
      <c r="S332" s="707"/>
      <c r="T332" s="707"/>
      <c r="U332" s="707"/>
      <c r="V332" s="1062">
        <f t="shared" si="12"/>
        <v>1000</v>
      </c>
      <c r="W332" s="334"/>
    </row>
    <row r="333" spans="1:23" s="310" customFormat="1" ht="18" customHeight="1" thickBot="1">
      <c r="A333" s="308" t="s">
        <v>223</v>
      </c>
      <c r="B333" s="1058" t="s">
        <v>794</v>
      </c>
      <c r="C333" s="321"/>
      <c r="D333" s="321"/>
      <c r="E333" s="321"/>
      <c r="F333" s="321"/>
      <c r="G333" s="321"/>
      <c r="H333" s="321">
        <v>1000</v>
      </c>
      <c r="I333" s="321"/>
      <c r="J333" s="321"/>
      <c r="K333" s="321"/>
      <c r="L333" s="321"/>
      <c r="M333" s="321"/>
      <c r="N333" s="321"/>
      <c r="O333" s="321"/>
      <c r="P333" s="321"/>
      <c r="Q333" s="321"/>
      <c r="R333" s="321"/>
      <c r="S333" s="321"/>
      <c r="T333" s="321"/>
      <c r="U333" s="321"/>
      <c r="V333" s="1076">
        <f aca="true" t="shared" si="13" ref="V333:V364">SUM(F333:U333)</f>
        <v>1000</v>
      </c>
      <c r="W333" s="334"/>
    </row>
    <row r="334" spans="1:23" s="310" customFormat="1" ht="26.25" thickBot="1">
      <c r="A334" s="729">
        <v>85446</v>
      </c>
      <c r="B334" s="1051" t="s">
        <v>224</v>
      </c>
      <c r="C334" s="304">
        <v>0</v>
      </c>
      <c r="D334" s="304">
        <v>0</v>
      </c>
      <c r="E334" s="304">
        <v>0</v>
      </c>
      <c r="F334" s="707"/>
      <c r="G334" s="707">
        <f>G335</f>
        <v>-800</v>
      </c>
      <c r="H334" s="707"/>
      <c r="I334" s="707"/>
      <c r="J334" s="707"/>
      <c r="K334" s="707"/>
      <c r="L334" s="707"/>
      <c r="M334" s="707"/>
      <c r="N334" s="707"/>
      <c r="O334" s="707"/>
      <c r="P334" s="707"/>
      <c r="Q334" s="707"/>
      <c r="R334" s="707">
        <f>R335</f>
        <v>800</v>
      </c>
      <c r="S334" s="707"/>
      <c r="T334" s="707"/>
      <c r="U334" s="707"/>
      <c r="V334" s="1062">
        <f t="shared" si="13"/>
        <v>0</v>
      </c>
      <c r="W334" s="334"/>
    </row>
    <row r="335" spans="1:23" s="310" customFormat="1" ht="18" customHeight="1" thickBot="1">
      <c r="A335" s="308" t="s">
        <v>225</v>
      </c>
      <c r="B335" s="1071" t="s">
        <v>403</v>
      </c>
      <c r="C335" s="708"/>
      <c r="D335" s="708"/>
      <c r="E335" s="708"/>
      <c r="F335" s="321"/>
      <c r="G335" s="321">
        <v>-800</v>
      </c>
      <c r="H335" s="321"/>
      <c r="I335" s="321"/>
      <c r="J335" s="321"/>
      <c r="K335" s="321"/>
      <c r="L335" s="321"/>
      <c r="M335" s="321"/>
      <c r="N335" s="321"/>
      <c r="O335" s="321"/>
      <c r="P335" s="321"/>
      <c r="Q335" s="321"/>
      <c r="R335" s="321">
        <v>800</v>
      </c>
      <c r="S335" s="321"/>
      <c r="T335" s="321"/>
      <c r="U335" s="321"/>
      <c r="V335" s="1076">
        <f t="shared" si="13"/>
        <v>0</v>
      </c>
      <c r="W335" s="334"/>
    </row>
    <row r="336" spans="1:23" s="310" customFormat="1" ht="26.25" thickBot="1">
      <c r="A336" s="344">
        <v>85495</v>
      </c>
      <c r="B336" s="1051" t="s">
        <v>226</v>
      </c>
      <c r="C336" s="303">
        <v>0</v>
      </c>
      <c r="D336" s="303">
        <v>0</v>
      </c>
      <c r="E336" s="303">
        <v>0</v>
      </c>
      <c r="F336" s="303">
        <f>SUM(F337:F377)</f>
        <v>112543</v>
      </c>
      <c r="G336" s="303"/>
      <c r="H336" s="303">
        <f>SUM(H337:H377)</f>
        <v>33748</v>
      </c>
      <c r="I336" s="303">
        <f>SUM(I337:I377)</f>
        <v>2486</v>
      </c>
      <c r="J336" s="303"/>
      <c r="K336" s="303"/>
      <c r="L336" s="303"/>
      <c r="M336" s="303">
        <f>SUM(M337:M377)</f>
        <v>17000</v>
      </c>
      <c r="N336" s="303"/>
      <c r="O336" s="303">
        <f>SUM(O337:O377)</f>
        <v>8100</v>
      </c>
      <c r="P336" s="303"/>
      <c r="Q336" s="303"/>
      <c r="R336" s="303"/>
      <c r="S336" s="303"/>
      <c r="T336" s="303"/>
      <c r="U336" s="303">
        <f>SUM(U337:U377)</f>
        <v>1530</v>
      </c>
      <c r="V336" s="1062">
        <f t="shared" si="13"/>
        <v>175407</v>
      </c>
      <c r="W336" s="334"/>
    </row>
    <row r="337" spans="1:23" s="310" customFormat="1" ht="18" customHeight="1">
      <c r="A337" s="308" t="s">
        <v>227</v>
      </c>
      <c r="B337" s="1058" t="s">
        <v>7</v>
      </c>
      <c r="C337" s="309"/>
      <c r="D337" s="309"/>
      <c r="E337" s="309"/>
      <c r="F337" s="309">
        <v>600</v>
      </c>
      <c r="G337" s="309"/>
      <c r="H337" s="309">
        <v>-600</v>
      </c>
      <c r="I337" s="309"/>
      <c r="J337" s="309"/>
      <c r="K337" s="309"/>
      <c r="L337" s="309"/>
      <c r="M337" s="309"/>
      <c r="N337" s="309"/>
      <c r="O337" s="309"/>
      <c r="P337" s="309"/>
      <c r="Q337" s="309"/>
      <c r="R337" s="309"/>
      <c r="S337" s="309"/>
      <c r="T337" s="309"/>
      <c r="U337" s="309"/>
      <c r="V337" s="1064">
        <f t="shared" si="13"/>
        <v>0</v>
      </c>
      <c r="W337" s="334"/>
    </row>
    <row r="338" spans="1:23" s="310" customFormat="1" ht="18" customHeight="1">
      <c r="A338" s="306" t="s">
        <v>228</v>
      </c>
      <c r="B338" s="1049" t="s">
        <v>257</v>
      </c>
      <c r="C338" s="307"/>
      <c r="D338" s="307"/>
      <c r="E338" s="307"/>
      <c r="F338" s="307">
        <v>1650</v>
      </c>
      <c r="G338" s="307"/>
      <c r="H338" s="307"/>
      <c r="I338" s="307">
        <v>190</v>
      </c>
      <c r="J338" s="307"/>
      <c r="K338" s="307"/>
      <c r="L338" s="307"/>
      <c r="M338" s="307"/>
      <c r="N338" s="307"/>
      <c r="O338" s="307"/>
      <c r="P338" s="307"/>
      <c r="Q338" s="307"/>
      <c r="R338" s="307"/>
      <c r="S338" s="730"/>
      <c r="T338" s="307"/>
      <c r="U338" s="307"/>
      <c r="V338" s="1050">
        <f t="shared" si="13"/>
        <v>1840</v>
      </c>
      <c r="W338" s="334"/>
    </row>
    <row r="339" spans="1:23" ht="18" customHeight="1">
      <c r="A339" s="308" t="s">
        <v>229</v>
      </c>
      <c r="B339" s="1058" t="s">
        <v>258</v>
      </c>
      <c r="C339" s="309"/>
      <c r="D339" s="309"/>
      <c r="E339" s="309"/>
      <c r="F339" s="309">
        <v>-2350</v>
      </c>
      <c r="G339" s="309"/>
      <c r="H339" s="309"/>
      <c r="I339" s="309"/>
      <c r="J339" s="309"/>
      <c r="K339" s="309"/>
      <c r="L339" s="309"/>
      <c r="M339" s="309"/>
      <c r="N339" s="309"/>
      <c r="O339" s="309">
        <v>400</v>
      </c>
      <c r="P339" s="309"/>
      <c r="Q339" s="309"/>
      <c r="R339" s="309"/>
      <c r="S339" s="309"/>
      <c r="T339" s="309"/>
      <c r="U339" s="309"/>
      <c r="V339" s="1050">
        <f t="shared" si="13"/>
        <v>-1950</v>
      </c>
      <c r="W339" s="334"/>
    </row>
    <row r="340" spans="1:23" s="343" customFormat="1" ht="18" customHeight="1">
      <c r="A340" s="306" t="s">
        <v>230</v>
      </c>
      <c r="B340" s="1049" t="s">
        <v>259</v>
      </c>
      <c r="C340" s="307"/>
      <c r="D340" s="307"/>
      <c r="E340" s="307"/>
      <c r="F340" s="307">
        <v>3771</v>
      </c>
      <c r="G340" s="307"/>
      <c r="H340" s="307">
        <v>843</v>
      </c>
      <c r="I340" s="307"/>
      <c r="J340" s="307"/>
      <c r="K340" s="307"/>
      <c r="L340" s="307"/>
      <c r="M340" s="307"/>
      <c r="N340" s="307"/>
      <c r="O340" s="307"/>
      <c r="P340" s="307"/>
      <c r="Q340" s="307"/>
      <c r="R340" s="307"/>
      <c r="S340" s="307"/>
      <c r="T340" s="307"/>
      <c r="U340" s="307"/>
      <c r="V340" s="1050">
        <f t="shared" si="13"/>
        <v>4614</v>
      </c>
      <c r="W340" s="334"/>
    </row>
    <row r="341" spans="1:23" s="343" customFormat="1" ht="18" customHeight="1">
      <c r="A341" s="308" t="s">
        <v>231</v>
      </c>
      <c r="B341" s="1058" t="s">
        <v>260</v>
      </c>
      <c r="C341" s="309"/>
      <c r="D341" s="309"/>
      <c r="E341" s="309"/>
      <c r="F341" s="309">
        <v>-2090</v>
      </c>
      <c r="G341" s="309"/>
      <c r="H341" s="309"/>
      <c r="I341" s="309"/>
      <c r="J341" s="309"/>
      <c r="K341" s="309"/>
      <c r="L341" s="309"/>
      <c r="M341" s="309"/>
      <c r="N341" s="309"/>
      <c r="O341" s="309"/>
      <c r="P341" s="309"/>
      <c r="Q341" s="309"/>
      <c r="R341" s="309"/>
      <c r="S341" s="309"/>
      <c r="T341" s="309"/>
      <c r="U341" s="309"/>
      <c r="V341" s="1050">
        <f t="shared" si="13"/>
        <v>-2090</v>
      </c>
      <c r="W341" s="334"/>
    </row>
    <row r="342" spans="1:23" s="343" customFormat="1" ht="18" customHeight="1">
      <c r="A342" s="306" t="s">
        <v>232</v>
      </c>
      <c r="B342" s="1049" t="s">
        <v>261</v>
      </c>
      <c r="C342" s="307"/>
      <c r="D342" s="307"/>
      <c r="E342" s="307"/>
      <c r="F342" s="307">
        <v>474</v>
      </c>
      <c r="G342" s="307"/>
      <c r="H342" s="307">
        <v>710</v>
      </c>
      <c r="I342" s="307"/>
      <c r="J342" s="307"/>
      <c r="K342" s="307"/>
      <c r="L342" s="307"/>
      <c r="M342" s="307"/>
      <c r="N342" s="307"/>
      <c r="O342" s="307">
        <v>500</v>
      </c>
      <c r="P342" s="307"/>
      <c r="Q342" s="307"/>
      <c r="R342" s="307"/>
      <c r="S342" s="307"/>
      <c r="T342" s="307"/>
      <c r="U342" s="307">
        <v>65</v>
      </c>
      <c r="V342" s="1050">
        <f t="shared" si="13"/>
        <v>1749</v>
      </c>
      <c r="W342" s="334"/>
    </row>
    <row r="343" spans="1:23" s="343" customFormat="1" ht="18" customHeight="1">
      <c r="A343" s="308" t="s">
        <v>233</v>
      </c>
      <c r="B343" s="1058" t="s">
        <v>182</v>
      </c>
      <c r="C343" s="309"/>
      <c r="D343" s="309"/>
      <c r="E343" s="309"/>
      <c r="F343" s="309">
        <v>634</v>
      </c>
      <c r="G343" s="309"/>
      <c r="H343" s="309">
        <v>1040</v>
      </c>
      <c r="I343" s="309"/>
      <c r="J343" s="309"/>
      <c r="K343" s="309"/>
      <c r="L343" s="309"/>
      <c r="M343" s="309"/>
      <c r="N343" s="309"/>
      <c r="O343" s="309">
        <v>400</v>
      </c>
      <c r="P343" s="309"/>
      <c r="Q343" s="309"/>
      <c r="R343" s="309"/>
      <c r="S343" s="309"/>
      <c r="T343" s="309"/>
      <c r="U343" s="309"/>
      <c r="V343" s="1050">
        <f t="shared" si="13"/>
        <v>2074</v>
      </c>
      <c r="W343" s="334"/>
    </row>
    <row r="344" spans="1:23" s="343" customFormat="1" ht="18" customHeight="1">
      <c r="A344" s="306" t="s">
        <v>234</v>
      </c>
      <c r="B344" s="1049" t="s">
        <v>262</v>
      </c>
      <c r="C344" s="307"/>
      <c r="D344" s="307"/>
      <c r="E344" s="307"/>
      <c r="F344" s="307">
        <v>2761</v>
      </c>
      <c r="G344" s="307"/>
      <c r="H344" s="307">
        <v>595</v>
      </c>
      <c r="I344" s="307">
        <v>30</v>
      </c>
      <c r="J344" s="307"/>
      <c r="K344" s="307"/>
      <c r="L344" s="307"/>
      <c r="M344" s="307"/>
      <c r="N344" s="307"/>
      <c r="O344" s="307"/>
      <c r="P344" s="307"/>
      <c r="Q344" s="307"/>
      <c r="R344" s="307"/>
      <c r="S344" s="307"/>
      <c r="T344" s="307"/>
      <c r="U344" s="307"/>
      <c r="V344" s="1050">
        <f t="shared" si="13"/>
        <v>3386</v>
      </c>
      <c r="W344" s="334"/>
    </row>
    <row r="345" spans="1:23" s="343" customFormat="1" ht="18" customHeight="1">
      <c r="A345" s="306" t="s">
        <v>404</v>
      </c>
      <c r="B345" s="1049" t="s">
        <v>263</v>
      </c>
      <c r="C345" s="307"/>
      <c r="D345" s="307"/>
      <c r="E345" s="307"/>
      <c r="F345" s="307">
        <v>6348</v>
      </c>
      <c r="G345" s="307"/>
      <c r="H345" s="307">
        <v>1700</v>
      </c>
      <c r="I345" s="307">
        <v>160</v>
      </c>
      <c r="J345" s="307"/>
      <c r="K345" s="307"/>
      <c r="L345" s="307"/>
      <c r="M345" s="307"/>
      <c r="N345" s="307"/>
      <c r="O345" s="307"/>
      <c r="P345" s="307"/>
      <c r="Q345" s="307"/>
      <c r="R345" s="307"/>
      <c r="S345" s="307"/>
      <c r="T345" s="307"/>
      <c r="U345" s="307"/>
      <c r="V345" s="1050">
        <f t="shared" si="13"/>
        <v>8208</v>
      </c>
      <c r="W345" s="334"/>
    </row>
    <row r="346" spans="1:23" s="343" customFormat="1" ht="18" customHeight="1">
      <c r="A346" s="308" t="s">
        <v>235</v>
      </c>
      <c r="B346" s="1058" t="s">
        <v>264</v>
      </c>
      <c r="C346" s="309"/>
      <c r="D346" s="309"/>
      <c r="E346" s="309"/>
      <c r="F346" s="309">
        <v>6324</v>
      </c>
      <c r="G346" s="309"/>
      <c r="H346" s="309">
        <v>1500</v>
      </c>
      <c r="I346" s="309">
        <v>100</v>
      </c>
      <c r="J346" s="309"/>
      <c r="K346" s="309"/>
      <c r="L346" s="309"/>
      <c r="M346" s="309"/>
      <c r="N346" s="309"/>
      <c r="O346" s="309"/>
      <c r="P346" s="309"/>
      <c r="Q346" s="309"/>
      <c r="R346" s="309"/>
      <c r="S346" s="309"/>
      <c r="T346" s="309"/>
      <c r="U346" s="309"/>
      <c r="V346" s="1050">
        <f t="shared" si="13"/>
        <v>7924</v>
      </c>
      <c r="W346" s="334"/>
    </row>
    <row r="347" spans="1:23" s="343" customFormat="1" ht="18" customHeight="1">
      <c r="A347" s="308" t="s">
        <v>236</v>
      </c>
      <c r="B347" s="1058" t="s">
        <v>265</v>
      </c>
      <c r="C347" s="309"/>
      <c r="D347" s="309"/>
      <c r="E347" s="309"/>
      <c r="F347" s="309">
        <v>15120</v>
      </c>
      <c r="G347" s="309"/>
      <c r="H347" s="309">
        <v>400</v>
      </c>
      <c r="I347" s="309"/>
      <c r="J347" s="309"/>
      <c r="K347" s="309"/>
      <c r="L347" s="309"/>
      <c r="M347" s="309"/>
      <c r="N347" s="309"/>
      <c r="O347" s="309"/>
      <c r="P347" s="309"/>
      <c r="Q347" s="309"/>
      <c r="R347" s="309"/>
      <c r="S347" s="309"/>
      <c r="T347" s="309"/>
      <c r="U347" s="309"/>
      <c r="V347" s="1050">
        <f t="shared" si="13"/>
        <v>15520</v>
      </c>
      <c r="W347" s="334"/>
    </row>
    <row r="348" spans="1:23" s="310" customFormat="1" ht="18" customHeight="1">
      <c r="A348" s="306" t="s">
        <v>405</v>
      </c>
      <c r="B348" s="1049" t="s">
        <v>268</v>
      </c>
      <c r="C348" s="307"/>
      <c r="D348" s="307"/>
      <c r="E348" s="307"/>
      <c r="F348" s="307">
        <v>1886</v>
      </c>
      <c r="G348" s="307"/>
      <c r="H348" s="307">
        <v>990</v>
      </c>
      <c r="I348" s="307">
        <v>130</v>
      </c>
      <c r="J348" s="307"/>
      <c r="K348" s="307"/>
      <c r="L348" s="307"/>
      <c r="M348" s="307"/>
      <c r="N348" s="307"/>
      <c r="O348" s="307"/>
      <c r="P348" s="307"/>
      <c r="Q348" s="307"/>
      <c r="R348" s="307"/>
      <c r="S348" s="307"/>
      <c r="T348" s="307"/>
      <c r="U348" s="307"/>
      <c r="V348" s="1050">
        <f t="shared" si="13"/>
        <v>3006</v>
      </c>
      <c r="W348" s="334"/>
    </row>
    <row r="349" spans="1:23" s="310" customFormat="1" ht="18" customHeight="1">
      <c r="A349" s="306" t="s">
        <v>406</v>
      </c>
      <c r="B349" s="1049" t="s">
        <v>270</v>
      </c>
      <c r="C349" s="307"/>
      <c r="D349" s="307"/>
      <c r="E349" s="307"/>
      <c r="F349" s="307"/>
      <c r="G349" s="307"/>
      <c r="H349" s="307"/>
      <c r="I349" s="307"/>
      <c r="J349" s="307"/>
      <c r="K349" s="307"/>
      <c r="L349" s="307"/>
      <c r="M349" s="307"/>
      <c r="N349" s="307"/>
      <c r="O349" s="307">
        <v>1500</v>
      </c>
      <c r="P349" s="307"/>
      <c r="Q349" s="307"/>
      <c r="R349" s="307"/>
      <c r="S349" s="307"/>
      <c r="T349" s="307"/>
      <c r="U349" s="307"/>
      <c r="V349" s="1050">
        <f t="shared" si="13"/>
        <v>1500</v>
      </c>
      <c r="W349" s="334"/>
    </row>
    <row r="350" spans="1:23" s="310" customFormat="1" ht="18" customHeight="1">
      <c r="A350" s="308" t="s">
        <v>407</v>
      </c>
      <c r="B350" s="1058" t="s">
        <v>271</v>
      </c>
      <c r="C350" s="309"/>
      <c r="D350" s="309"/>
      <c r="E350" s="309"/>
      <c r="F350" s="309">
        <v>-550</v>
      </c>
      <c r="G350" s="309"/>
      <c r="H350" s="309">
        <v>475</v>
      </c>
      <c r="I350" s="309">
        <v>50</v>
      </c>
      <c r="J350" s="309"/>
      <c r="K350" s="309"/>
      <c r="L350" s="309"/>
      <c r="M350" s="309"/>
      <c r="N350" s="309"/>
      <c r="O350" s="309"/>
      <c r="P350" s="309"/>
      <c r="Q350" s="309"/>
      <c r="R350" s="309"/>
      <c r="S350" s="309"/>
      <c r="T350" s="309"/>
      <c r="U350" s="309">
        <v>73</v>
      </c>
      <c r="V350" s="1050">
        <f t="shared" si="13"/>
        <v>48</v>
      </c>
      <c r="W350" s="334"/>
    </row>
    <row r="351" spans="1:23" s="310" customFormat="1" ht="18" customHeight="1">
      <c r="A351" s="306" t="s">
        <v>408</v>
      </c>
      <c r="B351" s="1049" t="s">
        <v>272</v>
      </c>
      <c r="C351" s="307"/>
      <c r="D351" s="307"/>
      <c r="E351" s="307"/>
      <c r="F351" s="307">
        <v>-700</v>
      </c>
      <c r="G351" s="307"/>
      <c r="H351" s="307"/>
      <c r="I351" s="307">
        <v>-100</v>
      </c>
      <c r="J351" s="307"/>
      <c r="K351" s="307"/>
      <c r="L351" s="307"/>
      <c r="M351" s="307"/>
      <c r="N351" s="307"/>
      <c r="O351" s="307"/>
      <c r="P351" s="307"/>
      <c r="Q351" s="307"/>
      <c r="R351" s="307"/>
      <c r="S351" s="307"/>
      <c r="T351" s="307"/>
      <c r="U351" s="307"/>
      <c r="V351" s="1050">
        <f t="shared" si="13"/>
        <v>-800</v>
      </c>
      <c r="W351" s="334"/>
    </row>
    <row r="352" spans="1:23" s="310" customFormat="1" ht="18" customHeight="1">
      <c r="A352" s="308" t="s">
        <v>409</v>
      </c>
      <c r="B352" s="1058" t="s">
        <v>273</v>
      </c>
      <c r="C352" s="309"/>
      <c r="D352" s="309"/>
      <c r="E352" s="309"/>
      <c r="F352" s="309">
        <v>3755</v>
      </c>
      <c r="G352" s="309"/>
      <c r="H352" s="309">
        <v>1680</v>
      </c>
      <c r="I352" s="309"/>
      <c r="J352" s="309"/>
      <c r="K352" s="309"/>
      <c r="L352" s="309"/>
      <c r="M352" s="309"/>
      <c r="N352" s="309"/>
      <c r="O352" s="309"/>
      <c r="P352" s="309"/>
      <c r="Q352" s="309"/>
      <c r="R352" s="309"/>
      <c r="S352" s="309"/>
      <c r="T352" s="309"/>
      <c r="U352" s="309"/>
      <c r="V352" s="1050">
        <f t="shared" si="13"/>
        <v>5435</v>
      </c>
      <c r="W352" s="334"/>
    </row>
    <row r="353" spans="1:23" s="310" customFormat="1" ht="18" customHeight="1">
      <c r="A353" s="306" t="s">
        <v>410</v>
      </c>
      <c r="B353" s="1049" t="s">
        <v>274</v>
      </c>
      <c r="C353" s="307"/>
      <c r="D353" s="307"/>
      <c r="E353" s="307"/>
      <c r="F353" s="307">
        <v>-3700</v>
      </c>
      <c r="G353" s="307"/>
      <c r="H353" s="307">
        <v>750</v>
      </c>
      <c r="I353" s="307"/>
      <c r="J353" s="307"/>
      <c r="K353" s="307"/>
      <c r="L353" s="307"/>
      <c r="M353" s="307"/>
      <c r="N353" s="307"/>
      <c r="O353" s="307"/>
      <c r="P353" s="307"/>
      <c r="Q353" s="307"/>
      <c r="R353" s="307"/>
      <c r="S353" s="307"/>
      <c r="T353" s="307"/>
      <c r="U353" s="307"/>
      <c r="V353" s="1050">
        <f t="shared" si="13"/>
        <v>-2950</v>
      </c>
      <c r="W353" s="334"/>
    </row>
    <row r="354" spans="1:23" s="310" customFormat="1" ht="18" customHeight="1">
      <c r="A354" s="308" t="s">
        <v>411</v>
      </c>
      <c r="B354" s="1058" t="s">
        <v>275</v>
      </c>
      <c r="C354" s="309"/>
      <c r="D354" s="309"/>
      <c r="E354" s="309"/>
      <c r="F354" s="309">
        <v>7922</v>
      </c>
      <c r="G354" s="309"/>
      <c r="H354" s="309">
        <v>1030</v>
      </c>
      <c r="I354" s="309">
        <v>300</v>
      </c>
      <c r="J354" s="309"/>
      <c r="K354" s="309"/>
      <c r="L354" s="309"/>
      <c r="M354" s="309"/>
      <c r="N354" s="309"/>
      <c r="O354" s="309"/>
      <c r="P354" s="309"/>
      <c r="Q354" s="309"/>
      <c r="R354" s="309"/>
      <c r="S354" s="309"/>
      <c r="T354" s="309"/>
      <c r="U354" s="309">
        <v>497</v>
      </c>
      <c r="V354" s="1050">
        <f t="shared" si="13"/>
        <v>9749</v>
      </c>
      <c r="W354" s="334"/>
    </row>
    <row r="355" spans="1:23" ht="18" customHeight="1">
      <c r="A355" s="306" t="s">
        <v>412</v>
      </c>
      <c r="B355" s="1049" t="s">
        <v>277</v>
      </c>
      <c r="C355" s="307"/>
      <c r="D355" s="307"/>
      <c r="E355" s="307"/>
      <c r="F355" s="307">
        <v>5227</v>
      </c>
      <c r="G355" s="307"/>
      <c r="H355" s="307">
        <v>1764</v>
      </c>
      <c r="I355" s="307"/>
      <c r="J355" s="307"/>
      <c r="K355" s="307"/>
      <c r="L355" s="307"/>
      <c r="M355" s="307"/>
      <c r="N355" s="307"/>
      <c r="O355" s="307"/>
      <c r="P355" s="307"/>
      <c r="Q355" s="307"/>
      <c r="R355" s="307"/>
      <c r="S355" s="307"/>
      <c r="T355" s="307"/>
      <c r="U355" s="307"/>
      <c r="V355" s="1050">
        <f t="shared" si="13"/>
        <v>6991</v>
      </c>
      <c r="W355" s="334"/>
    </row>
    <row r="356" spans="1:23" ht="18" customHeight="1">
      <c r="A356" s="306" t="s">
        <v>237</v>
      </c>
      <c r="B356" s="1049" t="s">
        <v>279</v>
      </c>
      <c r="C356" s="307"/>
      <c r="D356" s="307"/>
      <c r="E356" s="307"/>
      <c r="F356" s="307">
        <v>15558</v>
      </c>
      <c r="G356" s="307"/>
      <c r="H356" s="307">
        <v>1653</v>
      </c>
      <c r="I356" s="307">
        <v>156</v>
      </c>
      <c r="J356" s="307"/>
      <c r="K356" s="307"/>
      <c r="L356" s="307"/>
      <c r="M356" s="307"/>
      <c r="N356" s="307"/>
      <c r="O356" s="307"/>
      <c r="P356" s="307"/>
      <c r="Q356" s="307"/>
      <c r="R356" s="307"/>
      <c r="S356" s="307"/>
      <c r="T356" s="307"/>
      <c r="U356" s="307"/>
      <c r="V356" s="1050">
        <f t="shared" si="13"/>
        <v>17367</v>
      </c>
      <c r="W356" s="334"/>
    </row>
    <row r="357" spans="1:23" s="343" customFormat="1" ht="18" customHeight="1">
      <c r="A357" s="308" t="s">
        <v>238</v>
      </c>
      <c r="B357" s="1058" t="s">
        <v>281</v>
      </c>
      <c r="C357" s="309"/>
      <c r="D357" s="309"/>
      <c r="E357" s="309"/>
      <c r="F357" s="309">
        <v>2009</v>
      </c>
      <c r="G357" s="309"/>
      <c r="H357" s="309">
        <v>550</v>
      </c>
      <c r="I357" s="309"/>
      <c r="J357" s="309"/>
      <c r="K357" s="309"/>
      <c r="L357" s="309"/>
      <c r="M357" s="309"/>
      <c r="N357" s="309"/>
      <c r="O357" s="309"/>
      <c r="P357" s="309"/>
      <c r="Q357" s="309"/>
      <c r="R357" s="309"/>
      <c r="S357" s="309"/>
      <c r="T357" s="309"/>
      <c r="U357" s="309"/>
      <c r="V357" s="1050">
        <f t="shared" si="13"/>
        <v>2559</v>
      </c>
      <c r="W357" s="334"/>
    </row>
    <row r="358" spans="1:23" s="343" customFormat="1" ht="18" customHeight="1">
      <c r="A358" s="306" t="s">
        <v>413</v>
      </c>
      <c r="B358" s="1049" t="s">
        <v>282</v>
      </c>
      <c r="C358" s="307"/>
      <c r="D358" s="307"/>
      <c r="E358" s="307"/>
      <c r="F358" s="307">
        <v>-1600</v>
      </c>
      <c r="G358" s="307"/>
      <c r="H358" s="307">
        <v>1600</v>
      </c>
      <c r="I358" s="307"/>
      <c r="J358" s="307"/>
      <c r="K358" s="307"/>
      <c r="L358" s="307"/>
      <c r="M358" s="307"/>
      <c r="N358" s="307"/>
      <c r="O358" s="307"/>
      <c r="P358" s="307"/>
      <c r="Q358" s="307"/>
      <c r="R358" s="307"/>
      <c r="S358" s="307"/>
      <c r="T358" s="307"/>
      <c r="U358" s="307"/>
      <c r="V358" s="1050">
        <f t="shared" si="13"/>
        <v>0</v>
      </c>
      <c r="W358" s="334"/>
    </row>
    <row r="359" spans="1:23" s="343" customFormat="1" ht="18" customHeight="1">
      <c r="A359" s="308" t="s">
        <v>414</v>
      </c>
      <c r="B359" s="1058" t="s">
        <v>283</v>
      </c>
      <c r="C359" s="309"/>
      <c r="D359" s="309"/>
      <c r="E359" s="309"/>
      <c r="F359" s="309">
        <v>4177</v>
      </c>
      <c r="G359" s="309"/>
      <c r="H359" s="309">
        <v>660</v>
      </c>
      <c r="I359" s="309"/>
      <c r="J359" s="309"/>
      <c r="K359" s="309"/>
      <c r="L359" s="309"/>
      <c r="M359" s="309"/>
      <c r="N359" s="309"/>
      <c r="O359" s="309"/>
      <c r="P359" s="309"/>
      <c r="Q359" s="309"/>
      <c r="R359" s="309"/>
      <c r="S359" s="309"/>
      <c r="T359" s="309"/>
      <c r="U359" s="309"/>
      <c r="V359" s="1050">
        <f t="shared" si="13"/>
        <v>4837</v>
      </c>
      <c r="W359" s="334"/>
    </row>
    <row r="360" spans="1:23" s="343" customFormat="1" ht="18" customHeight="1">
      <c r="A360" s="306" t="s">
        <v>415</v>
      </c>
      <c r="B360" s="1049" t="s">
        <v>284</v>
      </c>
      <c r="C360" s="307"/>
      <c r="D360" s="307"/>
      <c r="E360" s="307"/>
      <c r="F360" s="307">
        <v>2790</v>
      </c>
      <c r="G360" s="307"/>
      <c r="H360" s="307">
        <v>3160</v>
      </c>
      <c r="I360" s="307"/>
      <c r="J360" s="307"/>
      <c r="K360" s="307"/>
      <c r="L360" s="307"/>
      <c r="M360" s="307"/>
      <c r="N360" s="307"/>
      <c r="O360" s="307"/>
      <c r="P360" s="307"/>
      <c r="Q360" s="307"/>
      <c r="R360" s="307"/>
      <c r="S360" s="307"/>
      <c r="T360" s="307"/>
      <c r="U360" s="307"/>
      <c r="V360" s="1050">
        <f t="shared" si="13"/>
        <v>5950</v>
      </c>
      <c r="W360" s="334"/>
    </row>
    <row r="361" spans="1:23" s="343" customFormat="1" ht="18" customHeight="1">
      <c r="A361" s="306" t="s">
        <v>416</v>
      </c>
      <c r="B361" s="1058" t="s">
        <v>285</v>
      </c>
      <c r="C361" s="309"/>
      <c r="D361" s="309"/>
      <c r="E361" s="309"/>
      <c r="F361" s="309"/>
      <c r="G361" s="309"/>
      <c r="H361" s="309"/>
      <c r="I361" s="309">
        <v>-570</v>
      </c>
      <c r="J361" s="309"/>
      <c r="K361" s="309"/>
      <c r="L361" s="309"/>
      <c r="M361" s="309"/>
      <c r="N361" s="309"/>
      <c r="O361" s="309"/>
      <c r="P361" s="309"/>
      <c r="Q361" s="309"/>
      <c r="R361" s="309"/>
      <c r="S361" s="309"/>
      <c r="T361" s="309"/>
      <c r="U361" s="309"/>
      <c r="V361" s="1050">
        <f t="shared" si="13"/>
        <v>-570</v>
      </c>
      <c r="W361" s="334"/>
    </row>
    <row r="362" spans="1:23" s="343" customFormat="1" ht="18" customHeight="1">
      <c r="A362" s="306" t="s">
        <v>417</v>
      </c>
      <c r="B362" s="1049" t="s">
        <v>700</v>
      </c>
      <c r="C362" s="307"/>
      <c r="D362" s="307"/>
      <c r="E362" s="307"/>
      <c r="F362" s="307">
        <v>-6570</v>
      </c>
      <c r="G362" s="307"/>
      <c r="H362" s="307">
        <v>1300</v>
      </c>
      <c r="I362" s="307"/>
      <c r="J362" s="307"/>
      <c r="K362" s="307"/>
      <c r="L362" s="307"/>
      <c r="M362" s="307"/>
      <c r="N362" s="307"/>
      <c r="O362" s="307"/>
      <c r="P362" s="307"/>
      <c r="Q362" s="307"/>
      <c r="R362" s="307"/>
      <c r="S362" s="307"/>
      <c r="T362" s="307"/>
      <c r="U362" s="307"/>
      <c r="V362" s="1050">
        <f t="shared" si="13"/>
        <v>-5270</v>
      </c>
      <c r="W362" s="334"/>
    </row>
    <row r="363" spans="1:23" s="343" customFormat="1" ht="18" customHeight="1">
      <c r="A363" s="308" t="s">
        <v>418</v>
      </c>
      <c r="B363" s="1058" t="s">
        <v>701</v>
      </c>
      <c r="C363" s="309"/>
      <c r="D363" s="309"/>
      <c r="E363" s="309"/>
      <c r="F363" s="309">
        <v>-1697</v>
      </c>
      <c r="G363" s="309"/>
      <c r="H363" s="309"/>
      <c r="I363" s="309"/>
      <c r="J363" s="309"/>
      <c r="K363" s="309"/>
      <c r="L363" s="309"/>
      <c r="M363" s="309"/>
      <c r="N363" s="309"/>
      <c r="O363" s="309"/>
      <c r="P363" s="309"/>
      <c r="Q363" s="309"/>
      <c r="R363" s="309"/>
      <c r="S363" s="309"/>
      <c r="T363" s="309"/>
      <c r="U363" s="309"/>
      <c r="V363" s="1050">
        <f t="shared" si="13"/>
        <v>-1697</v>
      </c>
      <c r="W363" s="334"/>
    </row>
    <row r="364" spans="1:23" s="343" customFormat="1" ht="18" customHeight="1">
      <c r="A364" s="306" t="s">
        <v>419</v>
      </c>
      <c r="B364" s="1049" t="s">
        <v>779</v>
      </c>
      <c r="C364" s="307"/>
      <c r="D364" s="307"/>
      <c r="E364" s="307"/>
      <c r="F364" s="307">
        <v>14000</v>
      </c>
      <c r="G364" s="307"/>
      <c r="H364" s="307">
        <v>2900</v>
      </c>
      <c r="I364" s="307">
        <v>200</v>
      </c>
      <c r="J364" s="307"/>
      <c r="K364" s="307"/>
      <c r="L364" s="307"/>
      <c r="M364" s="307"/>
      <c r="N364" s="307"/>
      <c r="O364" s="307"/>
      <c r="P364" s="307"/>
      <c r="Q364" s="307"/>
      <c r="R364" s="307"/>
      <c r="S364" s="307"/>
      <c r="T364" s="307"/>
      <c r="U364" s="307"/>
      <c r="V364" s="1050">
        <f t="shared" si="13"/>
        <v>17100</v>
      </c>
      <c r="W364" s="334"/>
    </row>
    <row r="365" spans="1:23" s="343" customFormat="1" ht="18" customHeight="1">
      <c r="A365" s="308" t="s">
        <v>420</v>
      </c>
      <c r="B365" s="1058" t="s">
        <v>780</v>
      </c>
      <c r="C365" s="309"/>
      <c r="D365" s="309"/>
      <c r="E365" s="309"/>
      <c r="F365" s="309">
        <v>4911</v>
      </c>
      <c r="G365" s="309"/>
      <c r="H365" s="309">
        <v>1500</v>
      </c>
      <c r="I365" s="309">
        <v>360</v>
      </c>
      <c r="J365" s="309"/>
      <c r="K365" s="309"/>
      <c r="L365" s="309"/>
      <c r="M365" s="309"/>
      <c r="N365" s="309"/>
      <c r="O365" s="309"/>
      <c r="P365" s="309"/>
      <c r="Q365" s="309"/>
      <c r="R365" s="309"/>
      <c r="S365" s="309"/>
      <c r="T365" s="309"/>
      <c r="U365" s="309"/>
      <c r="V365" s="1050">
        <f aca="true" t="shared" si="14" ref="V365:V377">SUM(F365:U365)</f>
        <v>6771</v>
      </c>
      <c r="W365" s="334"/>
    </row>
    <row r="366" spans="1:23" s="343" customFormat="1" ht="18" customHeight="1">
      <c r="A366" s="306" t="s">
        <v>421</v>
      </c>
      <c r="B366" s="1049" t="s">
        <v>781</v>
      </c>
      <c r="C366" s="307"/>
      <c r="D366" s="307"/>
      <c r="E366" s="307"/>
      <c r="F366" s="307">
        <v>4620</v>
      </c>
      <c r="G366" s="307"/>
      <c r="H366" s="307">
        <v>680</v>
      </c>
      <c r="I366" s="307">
        <v>220</v>
      </c>
      <c r="J366" s="307"/>
      <c r="K366" s="307"/>
      <c r="L366" s="307"/>
      <c r="M366" s="307"/>
      <c r="N366" s="307"/>
      <c r="O366" s="307"/>
      <c r="P366" s="307"/>
      <c r="Q366" s="307"/>
      <c r="R366" s="307"/>
      <c r="S366" s="307"/>
      <c r="T366" s="307"/>
      <c r="U366" s="307"/>
      <c r="V366" s="1050">
        <f t="shared" si="14"/>
        <v>5520</v>
      </c>
      <c r="W366" s="334"/>
    </row>
    <row r="367" spans="1:23" s="343" customFormat="1" ht="18" customHeight="1">
      <c r="A367" s="306" t="s">
        <v>422</v>
      </c>
      <c r="B367" s="1049" t="s">
        <v>721</v>
      </c>
      <c r="C367" s="307"/>
      <c r="D367" s="307"/>
      <c r="E367" s="307"/>
      <c r="F367" s="307">
        <v>2983</v>
      </c>
      <c r="G367" s="307"/>
      <c r="H367" s="307">
        <v>900</v>
      </c>
      <c r="I367" s="307"/>
      <c r="J367" s="307"/>
      <c r="K367" s="307"/>
      <c r="L367" s="307"/>
      <c r="M367" s="307"/>
      <c r="N367" s="307"/>
      <c r="O367" s="307">
        <v>1800</v>
      </c>
      <c r="P367" s="307"/>
      <c r="Q367" s="307"/>
      <c r="R367" s="307"/>
      <c r="S367" s="307"/>
      <c r="T367" s="307"/>
      <c r="U367" s="307"/>
      <c r="V367" s="1050">
        <f t="shared" si="14"/>
        <v>5683</v>
      </c>
      <c r="W367" s="334"/>
    </row>
    <row r="368" spans="1:23" s="343" customFormat="1" ht="18" customHeight="1">
      <c r="A368" s="308" t="s">
        <v>423</v>
      </c>
      <c r="B368" s="1058" t="s">
        <v>719</v>
      </c>
      <c r="C368" s="309"/>
      <c r="D368" s="309"/>
      <c r="E368" s="309"/>
      <c r="F368" s="309">
        <v>-4000</v>
      </c>
      <c r="G368" s="309"/>
      <c r="H368" s="309"/>
      <c r="I368" s="309"/>
      <c r="J368" s="309"/>
      <c r="K368" s="309"/>
      <c r="L368" s="309"/>
      <c r="M368" s="309"/>
      <c r="N368" s="309"/>
      <c r="O368" s="309"/>
      <c r="P368" s="309"/>
      <c r="Q368" s="309"/>
      <c r="R368" s="309"/>
      <c r="S368" s="309"/>
      <c r="T368" s="309"/>
      <c r="U368" s="309">
        <v>256</v>
      </c>
      <c r="V368" s="1050">
        <f t="shared" si="14"/>
        <v>-3744</v>
      </c>
      <c r="W368" s="334"/>
    </row>
    <row r="369" spans="1:23" s="343" customFormat="1" ht="18" customHeight="1">
      <c r="A369" s="306" t="s">
        <v>424</v>
      </c>
      <c r="B369" s="1049" t="s">
        <v>783</v>
      </c>
      <c r="C369" s="307"/>
      <c r="D369" s="307"/>
      <c r="E369" s="307"/>
      <c r="F369" s="307">
        <v>-6032</v>
      </c>
      <c r="G369" s="307"/>
      <c r="H369" s="307">
        <v>235</v>
      </c>
      <c r="I369" s="307"/>
      <c r="J369" s="307"/>
      <c r="K369" s="307"/>
      <c r="L369" s="307"/>
      <c r="M369" s="307"/>
      <c r="N369" s="307"/>
      <c r="O369" s="307"/>
      <c r="P369" s="307"/>
      <c r="Q369" s="307"/>
      <c r="R369" s="307"/>
      <c r="S369" s="307"/>
      <c r="T369" s="307"/>
      <c r="U369" s="307">
        <v>70</v>
      </c>
      <c r="V369" s="1050">
        <f t="shared" si="14"/>
        <v>-5727</v>
      </c>
      <c r="W369" s="334"/>
    </row>
    <row r="370" spans="1:23" s="343" customFormat="1" ht="18" customHeight="1">
      <c r="A370" s="308" t="s">
        <v>425</v>
      </c>
      <c r="B370" s="1058" t="s">
        <v>784</v>
      </c>
      <c r="C370" s="309"/>
      <c r="D370" s="309"/>
      <c r="E370" s="309"/>
      <c r="F370" s="309">
        <v>-11910</v>
      </c>
      <c r="G370" s="309"/>
      <c r="H370" s="309"/>
      <c r="I370" s="309"/>
      <c r="J370" s="309"/>
      <c r="K370" s="309"/>
      <c r="L370" s="309"/>
      <c r="M370" s="309"/>
      <c r="N370" s="309"/>
      <c r="O370" s="309"/>
      <c r="P370" s="309"/>
      <c r="Q370" s="309"/>
      <c r="R370" s="309"/>
      <c r="S370" s="309"/>
      <c r="T370" s="309"/>
      <c r="U370" s="309">
        <v>100</v>
      </c>
      <c r="V370" s="1050">
        <f t="shared" si="14"/>
        <v>-11810</v>
      </c>
      <c r="W370" s="334"/>
    </row>
    <row r="371" spans="1:23" s="343" customFormat="1" ht="18" customHeight="1">
      <c r="A371" s="306" t="s">
        <v>426</v>
      </c>
      <c r="B371" s="1049" t="s">
        <v>737</v>
      </c>
      <c r="C371" s="307"/>
      <c r="D371" s="307"/>
      <c r="E371" s="307"/>
      <c r="F371" s="307">
        <v>19850</v>
      </c>
      <c r="G371" s="307"/>
      <c r="H371" s="307">
        <v>1400</v>
      </c>
      <c r="I371" s="307">
        <v>130</v>
      </c>
      <c r="J371" s="307"/>
      <c r="K371" s="307"/>
      <c r="L371" s="307"/>
      <c r="M371" s="307"/>
      <c r="N371" s="307"/>
      <c r="O371" s="307"/>
      <c r="P371" s="307"/>
      <c r="Q371" s="307"/>
      <c r="R371" s="307"/>
      <c r="S371" s="307"/>
      <c r="T371" s="307"/>
      <c r="U371" s="307"/>
      <c r="V371" s="1050">
        <f t="shared" si="14"/>
        <v>21380</v>
      </c>
      <c r="W371" s="334"/>
    </row>
    <row r="372" spans="1:23" s="343" customFormat="1" ht="25.5">
      <c r="A372" s="306" t="s">
        <v>427</v>
      </c>
      <c r="B372" s="1059" t="s">
        <v>443</v>
      </c>
      <c r="C372" s="307"/>
      <c r="D372" s="307"/>
      <c r="E372" s="307"/>
      <c r="F372" s="307">
        <v>7000</v>
      </c>
      <c r="G372" s="307"/>
      <c r="H372" s="307">
        <v>1900</v>
      </c>
      <c r="I372" s="307"/>
      <c r="J372" s="307"/>
      <c r="K372" s="307"/>
      <c r="L372" s="307"/>
      <c r="M372" s="307"/>
      <c r="N372" s="307"/>
      <c r="O372" s="307"/>
      <c r="P372" s="307"/>
      <c r="Q372" s="307"/>
      <c r="R372" s="307"/>
      <c r="S372" s="307"/>
      <c r="T372" s="307"/>
      <c r="U372" s="307">
        <v>266</v>
      </c>
      <c r="V372" s="1050">
        <f t="shared" si="14"/>
        <v>9166</v>
      </c>
      <c r="W372" s="334"/>
    </row>
    <row r="373" spans="1:23" s="343" customFormat="1" ht="25.5">
      <c r="A373" s="308" t="s">
        <v>428</v>
      </c>
      <c r="B373" s="1060" t="s">
        <v>442</v>
      </c>
      <c r="C373" s="309"/>
      <c r="D373" s="309"/>
      <c r="E373" s="309"/>
      <c r="F373" s="309">
        <v>9840</v>
      </c>
      <c r="G373" s="309"/>
      <c r="H373" s="309">
        <v>1070</v>
      </c>
      <c r="I373" s="309">
        <v>530</v>
      </c>
      <c r="J373" s="309"/>
      <c r="K373" s="309"/>
      <c r="L373" s="309"/>
      <c r="M373" s="309"/>
      <c r="N373" s="309"/>
      <c r="O373" s="309">
        <v>500</v>
      </c>
      <c r="P373" s="309"/>
      <c r="Q373" s="309"/>
      <c r="R373" s="309"/>
      <c r="S373" s="309"/>
      <c r="T373" s="309"/>
      <c r="U373" s="309">
        <v>203</v>
      </c>
      <c r="V373" s="1050">
        <f t="shared" si="14"/>
        <v>12143</v>
      </c>
      <c r="W373" s="334"/>
    </row>
    <row r="374" spans="1:23" s="343" customFormat="1" ht="18" customHeight="1">
      <c r="A374" s="306" t="s">
        <v>429</v>
      </c>
      <c r="B374" s="1049" t="s">
        <v>736</v>
      </c>
      <c r="C374" s="307"/>
      <c r="D374" s="307"/>
      <c r="E374" s="307"/>
      <c r="F374" s="307">
        <v>-1700</v>
      </c>
      <c r="G374" s="307"/>
      <c r="H374" s="307"/>
      <c r="I374" s="307"/>
      <c r="J374" s="307"/>
      <c r="K374" s="307"/>
      <c r="L374" s="307"/>
      <c r="M374" s="307">
        <v>17000</v>
      </c>
      <c r="N374" s="307"/>
      <c r="O374" s="307"/>
      <c r="P374" s="307"/>
      <c r="Q374" s="307"/>
      <c r="R374" s="307"/>
      <c r="S374" s="307"/>
      <c r="T374" s="307"/>
      <c r="U374" s="307"/>
      <c r="V374" s="1050">
        <f t="shared" si="14"/>
        <v>15300</v>
      </c>
      <c r="W374" s="334"/>
    </row>
    <row r="375" spans="1:23" s="343" customFormat="1" ht="18" customHeight="1">
      <c r="A375" s="308" t="s">
        <v>430</v>
      </c>
      <c r="B375" s="1058" t="s">
        <v>708</v>
      </c>
      <c r="C375" s="309"/>
      <c r="D375" s="309"/>
      <c r="E375" s="309"/>
      <c r="F375" s="309">
        <v>3035</v>
      </c>
      <c r="G375" s="309"/>
      <c r="H375" s="309">
        <v>600</v>
      </c>
      <c r="I375" s="309">
        <v>600</v>
      </c>
      <c r="J375" s="309"/>
      <c r="K375" s="309"/>
      <c r="L375" s="309"/>
      <c r="M375" s="309"/>
      <c r="N375" s="309"/>
      <c r="O375" s="309">
        <v>3000</v>
      </c>
      <c r="P375" s="309"/>
      <c r="Q375" s="309"/>
      <c r="R375" s="309"/>
      <c r="S375" s="309"/>
      <c r="T375" s="309"/>
      <c r="U375" s="309"/>
      <c r="V375" s="1050">
        <f t="shared" si="14"/>
        <v>7235</v>
      </c>
      <c r="W375" s="334"/>
    </row>
    <row r="376" spans="1:23" s="343" customFormat="1" ht="18" customHeight="1">
      <c r="A376" s="306" t="s">
        <v>431</v>
      </c>
      <c r="B376" s="1049" t="s">
        <v>663</v>
      </c>
      <c r="C376" s="307"/>
      <c r="D376" s="307"/>
      <c r="E376" s="307"/>
      <c r="F376" s="307">
        <v>1505</v>
      </c>
      <c r="G376" s="307"/>
      <c r="H376" s="307">
        <v>-400</v>
      </c>
      <c r="I376" s="307"/>
      <c r="J376" s="307"/>
      <c r="K376" s="307"/>
      <c r="L376" s="307"/>
      <c r="M376" s="307"/>
      <c r="N376" s="307"/>
      <c r="O376" s="307"/>
      <c r="P376" s="307"/>
      <c r="Q376" s="307"/>
      <c r="R376" s="307"/>
      <c r="S376" s="307"/>
      <c r="T376" s="307"/>
      <c r="U376" s="307"/>
      <c r="V376" s="1050">
        <f t="shared" si="14"/>
        <v>1105</v>
      </c>
      <c r="W376" s="334"/>
    </row>
    <row r="377" spans="1:23" s="343" customFormat="1" ht="18" customHeight="1" thickBot="1">
      <c r="A377" s="306" t="s">
        <v>432</v>
      </c>
      <c r="B377" s="1090" t="s">
        <v>771</v>
      </c>
      <c r="C377" s="1091"/>
      <c r="D377" s="1091"/>
      <c r="E377" s="1091"/>
      <c r="F377" s="1091">
        <v>6692</v>
      </c>
      <c r="G377" s="1091"/>
      <c r="H377" s="1091">
        <v>1163</v>
      </c>
      <c r="I377" s="1091"/>
      <c r="J377" s="1091"/>
      <c r="K377" s="1091"/>
      <c r="L377" s="1091"/>
      <c r="M377" s="1091"/>
      <c r="N377" s="1091"/>
      <c r="O377" s="1091"/>
      <c r="P377" s="1091"/>
      <c r="Q377" s="1091"/>
      <c r="R377" s="1091"/>
      <c r="S377" s="1091"/>
      <c r="T377" s="1091"/>
      <c r="U377" s="1091"/>
      <c r="V377" s="1092">
        <f t="shared" si="14"/>
        <v>7855</v>
      </c>
      <c r="W377" s="334"/>
    </row>
    <row r="378" ht="12.75">
      <c r="V378"/>
    </row>
    <row r="379" ht="12.75">
      <c r="V379"/>
    </row>
    <row r="380" ht="12.75">
      <c r="V380"/>
    </row>
    <row r="381" spans="7:22" ht="12.75">
      <c r="G381" s="296" t="s">
        <v>24</v>
      </c>
      <c r="H381" s="296"/>
      <c r="I381" s="296"/>
      <c r="K381" s="296" t="s">
        <v>22</v>
      </c>
      <c r="V381"/>
    </row>
    <row r="382" spans="7:22" ht="12.75">
      <c r="G382" s="297" t="s">
        <v>25</v>
      </c>
      <c r="H382" s="296"/>
      <c r="I382" s="296"/>
      <c r="K382" s="296" t="s">
        <v>26</v>
      </c>
      <c r="V382"/>
    </row>
    <row r="383" spans="7:22" ht="12.75">
      <c r="G383" s="409" t="s">
        <v>23</v>
      </c>
      <c r="H383" s="231"/>
      <c r="I383" s="231"/>
      <c r="K383" s="231" t="s">
        <v>27</v>
      </c>
      <c r="V383"/>
    </row>
    <row r="384" ht="12.75">
      <c r="V384"/>
    </row>
    <row r="385" ht="12.75">
      <c r="V385"/>
    </row>
    <row r="386" ht="12.75">
      <c r="V386"/>
    </row>
    <row r="387" ht="12.75">
      <c r="V387"/>
    </row>
    <row r="388" ht="12.75">
      <c r="V388"/>
    </row>
    <row r="389" ht="12.75">
      <c r="V389"/>
    </row>
    <row r="390" ht="12.75">
      <c r="V390"/>
    </row>
    <row r="391" ht="12.75">
      <c r="V391"/>
    </row>
    <row r="392" ht="12.75">
      <c r="V392"/>
    </row>
    <row r="393" ht="12.75">
      <c r="V393"/>
    </row>
    <row r="394" ht="12.75">
      <c r="V394"/>
    </row>
    <row r="395" ht="12.75">
      <c r="V395"/>
    </row>
    <row r="396" ht="12.75">
      <c r="V396"/>
    </row>
    <row r="397" ht="12.75">
      <c r="V397"/>
    </row>
    <row r="398" ht="12.75">
      <c r="V398"/>
    </row>
    <row r="399" ht="12.75">
      <c r="V399"/>
    </row>
    <row r="400" ht="12.75">
      <c r="V400"/>
    </row>
    <row r="401" ht="12.75">
      <c r="V401"/>
    </row>
    <row r="402" ht="12.75">
      <c r="V402"/>
    </row>
    <row r="403" ht="12.75">
      <c r="V403"/>
    </row>
    <row r="404" ht="12.75">
      <c r="V404"/>
    </row>
    <row r="405" ht="12.75">
      <c r="V405"/>
    </row>
    <row r="406" ht="12.75">
      <c r="V406"/>
    </row>
    <row r="407" ht="12.75">
      <c r="V407"/>
    </row>
    <row r="408" ht="12.75">
      <c r="V408"/>
    </row>
    <row r="409" ht="12.75">
      <c r="V409"/>
    </row>
    <row r="410" ht="12.75">
      <c r="V410"/>
    </row>
    <row r="411" ht="12.75">
      <c r="V411"/>
    </row>
    <row r="412" ht="12.75">
      <c r="V412"/>
    </row>
    <row r="413" ht="12.75">
      <c r="V413"/>
    </row>
    <row r="414" ht="12.75">
      <c r="V414"/>
    </row>
    <row r="415" ht="12.75">
      <c r="V415"/>
    </row>
    <row r="416" ht="12.75">
      <c r="V416"/>
    </row>
    <row r="417" ht="12.75">
      <c r="V417"/>
    </row>
    <row r="418" ht="12.75">
      <c r="V418"/>
    </row>
    <row r="419" ht="12.75">
      <c r="V419"/>
    </row>
    <row r="420" ht="12.75">
      <c r="V420"/>
    </row>
    <row r="421" ht="12.75">
      <c r="V421"/>
    </row>
    <row r="422" ht="12.75">
      <c r="V422"/>
    </row>
    <row r="423" ht="12.75">
      <c r="V423"/>
    </row>
    <row r="424" ht="12.75">
      <c r="V424"/>
    </row>
    <row r="425" ht="12.75">
      <c r="V425"/>
    </row>
    <row r="426" ht="12.75">
      <c r="V426"/>
    </row>
    <row r="427" ht="12.75">
      <c r="V427"/>
    </row>
    <row r="428" ht="12.75">
      <c r="V428"/>
    </row>
    <row r="429" ht="12.75">
      <c r="V429"/>
    </row>
    <row r="430" ht="12.75">
      <c r="V430"/>
    </row>
    <row r="431" ht="12.75">
      <c r="V431"/>
    </row>
    <row r="432" ht="12.75">
      <c r="V432"/>
    </row>
    <row r="433" ht="12.75">
      <c r="V433"/>
    </row>
    <row r="434" ht="12.75">
      <c r="V434"/>
    </row>
    <row r="435" ht="12.75">
      <c r="V435"/>
    </row>
    <row r="436" ht="12.75">
      <c r="V436"/>
    </row>
    <row r="437" ht="12.75">
      <c r="V437"/>
    </row>
    <row r="438" ht="12.75">
      <c r="V438"/>
    </row>
    <row r="439" ht="12.75">
      <c r="V439" s="329"/>
    </row>
    <row r="440" ht="12.75">
      <c r="V440" s="329"/>
    </row>
    <row r="441" ht="12.75">
      <c r="V441" s="329"/>
    </row>
    <row r="442" ht="12.75">
      <c r="V442" s="329"/>
    </row>
    <row r="443" ht="12.75">
      <c r="V443" s="329"/>
    </row>
    <row r="444" ht="12.75">
      <c r="V444" s="329"/>
    </row>
    <row r="445" ht="12.75">
      <c r="V445" s="329"/>
    </row>
    <row r="446" ht="12.75">
      <c r="V446" s="329"/>
    </row>
    <row r="447" ht="12.75">
      <c r="V447" s="329"/>
    </row>
    <row r="448" ht="12.75">
      <c r="V448" s="329"/>
    </row>
    <row r="449" ht="12.75">
      <c r="V449" s="329"/>
    </row>
    <row r="450" ht="12.75">
      <c r="V450" s="329"/>
    </row>
    <row r="451" ht="12.75">
      <c r="V451" s="329"/>
    </row>
    <row r="452" ht="12.75">
      <c r="V452" s="329"/>
    </row>
    <row r="453" ht="12.75">
      <c r="V453" s="329"/>
    </row>
    <row r="454" ht="12.75">
      <c r="V454" s="329"/>
    </row>
    <row r="455" ht="12.75">
      <c r="V455" s="329"/>
    </row>
    <row r="456" ht="12.75">
      <c r="V456" s="329"/>
    </row>
    <row r="457" ht="12.75">
      <c r="V457" s="329"/>
    </row>
    <row r="458" ht="12.75">
      <c r="V458" s="329"/>
    </row>
    <row r="459" ht="12.75">
      <c r="V459" s="329"/>
    </row>
    <row r="460" ht="12.75">
      <c r="V460" s="329"/>
    </row>
    <row r="461" ht="12.75">
      <c r="V461" s="329"/>
    </row>
    <row r="462" ht="12.75">
      <c r="V462" s="329"/>
    </row>
  </sheetData>
  <mergeCells count="3">
    <mergeCell ref="H3:I3"/>
    <mergeCell ref="F3:G3"/>
    <mergeCell ref="J3:U3"/>
  </mergeCells>
  <printOptions/>
  <pageMargins left="0.5905511811023623" right="0.5905511811023623" top="0.5905511811023623" bottom="0.5905511811023623" header="0.5118110236220472" footer="0.5118110236220472"/>
  <pageSetup firstPageNumber="59" useFirstPageNumber="1" fitToHeight="50" fitToWidth="1" horizontalDpi="300" verticalDpi="300" orientation="landscape" paperSize="9" scale="61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2005-11-21T11:16:12Z</cp:lastPrinted>
  <dcterms:created xsi:type="dcterms:W3CDTF">2004-03-08T07:54:07Z</dcterms:created>
  <dcterms:modified xsi:type="dcterms:W3CDTF">2005-10-30T20:56:29Z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