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0" activeTab="0"/>
  </bookViews>
  <sheets>
    <sheet name="dochody" sheetId="1" r:id="rId1"/>
    <sheet name="wydatki" sheetId="2" r:id="rId2"/>
    <sheet name="jednostki" sheetId="3" r:id="rId3"/>
    <sheet name="szkoły" sheetId="4" r:id="rId4"/>
    <sheet name="OO" sheetId="5" r:id="rId5"/>
    <sheet name="gminny" sheetId="6" r:id="rId6"/>
    <sheet name="powiatowy" sheetId="7" r:id="rId7"/>
    <sheet name="harm doch" sheetId="8" r:id="rId8"/>
    <sheet name="harm wyd" sheetId="9" r:id="rId9"/>
    <sheet name="harm GFOŚiGW" sheetId="10" r:id="rId10"/>
    <sheet name="harm PFOŚiGW" sheetId="11" r:id="rId11"/>
  </sheets>
  <definedNames>
    <definedName name="_xlnm.Print_Area" localSheetId="2">'jednostki'!$A$1:$G$339</definedName>
    <definedName name="_xlnm.Print_Titles" localSheetId="0">'dochody'!$8:$8</definedName>
    <definedName name="_xlnm.Print_Titles" localSheetId="5">'gminny'!$9:$9</definedName>
    <definedName name="_xlnm.Print_Titles" localSheetId="7">'harm doch'!$8:$8</definedName>
    <definedName name="_xlnm.Print_Titles" localSheetId="8">'harm wyd'!$9:$9</definedName>
    <definedName name="_xlnm.Print_Titles" localSheetId="2">'jednostki'!$9:$9</definedName>
    <definedName name="_xlnm.Print_Titles" localSheetId="1">'wydatki'!$8:$8</definedName>
  </definedNames>
  <calcPr fullCalcOnLoad="1"/>
</workbook>
</file>

<file path=xl/sharedStrings.xml><?xml version="1.0" encoding="utf-8"?>
<sst xmlns="http://schemas.openxmlformats.org/spreadsheetml/2006/main" count="1003" uniqueCount="418">
  <si>
    <t>VIII Liceum Ogólnokształcące</t>
  </si>
  <si>
    <t>Specjalny Ośrodek Szkolno-Wychowawczy dla Dzieci i Młodzieży 
Słabo Widzącej</t>
  </si>
  <si>
    <t>1.2 Wydział Oświaty i Wychowania</t>
  </si>
  <si>
    <t>1.3 Wydział Spraw Społecznych</t>
  </si>
  <si>
    <t>1.4  Wydział Strategii i Rozwoju</t>
  </si>
  <si>
    <t>2. Zespół Placówek Opiekuńczo-Wychowawczych 
"Pogodny Dom"</t>
  </si>
  <si>
    <t>3. Dom Dziecka Nr 3</t>
  </si>
  <si>
    <t>4. Miejski Ośrodek Pomocy Rodzinie</t>
  </si>
  <si>
    <t>5. Szkoły i placówki oświatowe</t>
  </si>
  <si>
    <t>Prywatne Liceum Ogólnokształcące dla Dorosłych Wieczorowe im. E. Orzeszkowej; 
Barbara Niedziałkowska-Kazaren, ul. Róży Wiatrów 5/63, 20-468 Lublin</t>
  </si>
  <si>
    <t>Prywatne Liceum Ogólnokształcące dla Dorosłych Zaoczne im. E. Orzeszkowej; 
Barbara Niedziałkowska-Kazaren, ul. Róży Wiatrów 5/63, 20-468 Lublin</t>
  </si>
  <si>
    <t>Zespół Szkół Rzemiosła i Przedsiębiorczości; Izba Rzemiosła i Przedsiębiorczości, 
ul. Rynek 2, 20-111 Lublin</t>
  </si>
  <si>
    <t xml:space="preserve">Czteroletnie Technikum Centrum Nauki i Biznesu "Żak"; 
Małgorzata Morzyszek, ul. Kościelna 2/4, 95-200 Pabianice </t>
  </si>
  <si>
    <t>Policealne Studium Informatyki i Przedsiębiorczości; 
CRH "Akademos" Sp. z o.o., ul. Symfoniczna 1, 20-853 Lublin</t>
  </si>
  <si>
    <t>Policealne Studium Reklamy; Marzena Kasietczuk,
ul. Nowy Świat 23c/1, 20-418 Lublin</t>
  </si>
  <si>
    <t>Pierwsza Policealna Szkoła Reklamy i Zarządzania;
Ewa Kiernicka, ul. Rudlickiego 15/17, 20-318 Lublin</t>
  </si>
  <si>
    <t>Policealne Studium Zarządzania, Administracji i Handlu; 
Danuta Rowińska, ul. Zana 8/104, 20-601 Lublin</t>
  </si>
  <si>
    <t>Niepubliczne Technikum Leśne; Stowarzyszenie "Szansa",
ul. Kapucyńska 1 a, 20-009 Lublin</t>
  </si>
  <si>
    <t xml:space="preserve">Uzupełniające Trzyletnie Technikum Centrum Nauki i Biznesu "Żak"; 
Małgorzata Morzyszek, ul. Kościelna 2/4, 95-200 Pabianice </t>
  </si>
  <si>
    <t>Policealne Studium Zawodowe dla Dorosłych Centrum Usług Szkoleniowych "Lider"; 
Centrum Usług Szkoleniowych "Lider" Sp. z o.o., ul. Radziwiłłowska 5, 20-080 Lublin</t>
  </si>
  <si>
    <t>Prywatne Policealne Studium Zawodowe im. W. Pola;
Ośrodek Usług Edukacyjnych Sp. z o.o., ul. Kunickiego 95, 20-459 Lublin</t>
  </si>
  <si>
    <t xml:space="preserve">Niepubliczne Policealne Studium Medyczne Towarzystwa Wiedzy Powszechnej; 
Towarzystwo Wiedzy Powszechnej Oddział Regionalny w Lublinie, 
ul. Kosmowskiej 1a/72, 20-815 Lublin </t>
  </si>
  <si>
    <t>Szkoła Policealna Rachunkowości Stowarzyszenia Księgowych w Polsce; 
Stowarzyszenie Księgowych w Polsce, ul. Górnośląska 5, 00-443 Warszawa</t>
  </si>
  <si>
    <t>Niepubliczne Medyczne Studium Zawodowe Techniki Dentystycznej; 
Dariusz Błaszczak, ul. Kurpiowska 32, 20-730 Lublin</t>
  </si>
  <si>
    <t>Policealna Szkoła Detektywów i Pracowników Ochrony "O`Chikara"; 
Michał Kwiatkowski, ul. Wieniawska 6/13, 20-071 Lublin; 
Dariusz Kowalski, ul. Dembego 3/3, 02-796 Warszawa</t>
  </si>
  <si>
    <t>Policealna Szkoła Rozwoju Zawodowego; 
Karolina Sikorska -Warsitz, ul. Początkowa 3, 20-805 Lublin;
Jarosław Socha, ul. Oratoryjna 1/28, 20-881 Lublin</t>
  </si>
  <si>
    <t>Policealna Szkoła Wychowania i Pracy Socjalnej;
Władysław Socha, ul. Paryska 6/9, 20-854 Lublin; 
Jerzy Łabęcki, ul. Paryska 4/34, 20-854 Lublin</t>
  </si>
  <si>
    <t>Policealne Studium Rekreacji, Sportu i Turystyki; 
Jerzy Łabęcki, ul. Paryska 4/34, 20-854 Lublin; 
Artur Oleksiewicz, ul. Kosmowskiej 1C/30, 20-815 Lublin</t>
  </si>
  <si>
    <t>Prywatne Policealne Studium Zawodowe "Eureka"; 
Iwona Pręciuk, ul. Bazylianówka 99/22, 20-144 Lublin; 
Tomasz Koproń, ul. Skautów 7/7, 20-055 Lublin</t>
  </si>
  <si>
    <t>Centrum Edukacji Dorosłych "Alfa" Szkoła Policealna;
Marcin Kwiatkowski, ul. Hallera 35/2, 80-426 Gdańsk</t>
  </si>
  <si>
    <t xml:space="preserve">Policealna Szkoła Centrum Nauki i Biznesu "Żak";
Małgorzata Morzyszek, ul. Kościelna 2/4, 95-200 Pabianice </t>
  </si>
  <si>
    <t>Policealne Studium Rachunkowości dla Dorosłych Centrum Usług Szkoleniowych "Lider"; Centrum Usług Szkoleniowych "Lider" Sp. z o.o., 
ul. Radziwiłłowska 5, 20-080 Lublin</t>
  </si>
  <si>
    <t>Profesja Centrum Kształcenia Kadr - Policealna Szkoła Informatyczno-Ekonomiczna
Profesja Centrum Kształcenia Kadr Sp. z o.o., ul. Piotrkowska 16, 90-269 Łódź</t>
  </si>
  <si>
    <t>Elitarna Szkoła Służb Ochrony i Biznesu "Cobra"; Polski System Ochrony 
"Cobra" Sp. z o.o., ul. Krasickiego 9/9A, 80-515 Gdańsk</t>
  </si>
  <si>
    <t xml:space="preserve">Policealna Szkoła Detektywów i Ochrony Fizycznej Osób i Mienia "Rutkowski &amp; Czerwiński"; Małgorzata Morzyszek, ul. Kościelna 2/4, 95-200 Pabianice </t>
  </si>
  <si>
    <t>Policealna Szkoła Turystyki; Towarzystwo Edukacji Bankowej S.A., 
al. Niepodległości 2, 61-874 Poznań</t>
  </si>
  <si>
    <t>Policealna Szkoła Europejska; Towarzystwo Edukacji Bankowej S.A., 
al. Niepodległości 2, 61-874 Poznań</t>
  </si>
  <si>
    <t>Policealna Szkoła Informatyki i Internetu; Towarzystwo Edukacji Bankowej S.A., 
al. Niepodległości 2, 61-874 Poznań</t>
  </si>
  <si>
    <t>Szkoła Kosmetyczna Akademie Prenier; 
Sławomir Prentki, os. Jana III Sobieskiego 9/33, 60-688 Poznań</t>
  </si>
  <si>
    <t>Technikum ZDZ; Zakład Doskonalenia Zawodowego;
ul. Królewska 15, 20-950 Lublin</t>
  </si>
  <si>
    <t>Technikum Uzupełniające dla Dorosłych ZDZ; Zakład Doskonalenia Zawodowego, 
ul. Królewska 15, 20-950 Lublin</t>
  </si>
  <si>
    <t>Zasadnicza Szkoła Wielozawodowa ZDZ; Zakład Doskonalenia Zawodowego, 
ul. Królewska 15, 20-950 Lublin</t>
  </si>
  <si>
    <t>Policealne Studium Zawodowe ZDZ; Zakład Doskonalenia Zawodowego, 
ul. Królewska 15, 20-950 Lublin</t>
  </si>
  <si>
    <t>Policealne Studium Zawodowe "Cogito"; 
Robert Stawecki, ul. Lwowska 18/5, 20-128 Lublin</t>
  </si>
  <si>
    <t>Policealna Szkoła dla Dorosłych "Kursor"; 
Piotr Wasak, ul. Kolorowa 4/16, 20-802 Lublin</t>
  </si>
  <si>
    <t>Lubelska Policealna Szkoła Gospodarcza;
Dariusz Drewnowski, Rafałówka 66, 16-060 Zabłudów</t>
  </si>
  <si>
    <t>Zasadnicza Szkoła Zawodowa Przyzakładowa ZDZ im. Parczyńskiego; 
Zakład Doskonalenia Zawodowego, ul. Królewska 15, 20-950 Lublin</t>
  </si>
  <si>
    <t>dotacje dla niepublicznych ośrodków szkolno-wychowawczych</t>
  </si>
  <si>
    <t>Specjalny Ośrodek Wychowawczy; Zgromadzenie Sióstr Miłosierdzia św. Wincentego 
a`Paulo Prowincja Warszawska, ul. Tamka 35, 00-355 Warszawa</t>
  </si>
  <si>
    <t>Prywatna Żeńska Bursa Sióstr Urszulanek UR; 
Zgromadzenie Sióstr Urszulanek Unii Rzymskiej, ul. Narutowicza 10, 20-004 Lublin</t>
  </si>
  <si>
    <t>Bursa Sercanek; Zgromadzenie Zakonne Córek Najczystszego Serca Najświętszej 
Marii Panny, Plac Ojca Honorata Koźmińskiego 6, 26-420 Nowe Miasto n/Pilicą</t>
  </si>
  <si>
    <t>Zespół Szkół im. św. St. Kostki; Archidiecezja Lubelska;
ul. Prymasa Stefana Wyszyńskiego 2, 20-950 Lublin</t>
  </si>
  <si>
    <t>Szkoła Podstawowa nr 6</t>
  </si>
  <si>
    <t>Dotacja przedmiotowa z budżetu dla zakładu budżetowego</t>
  </si>
  <si>
    <t>Rezerwy</t>
  </si>
  <si>
    <t xml:space="preserve">1.1 Wydział Finansowy </t>
  </si>
  <si>
    <t xml:space="preserve">1.1  Wydział Finansowy </t>
  </si>
  <si>
    <t>Dział</t>
  </si>
  <si>
    <t xml:space="preserve">Rozdz.      </t>
  </si>
  <si>
    <t>Dochody budżetu miasta ogółem</t>
  </si>
  <si>
    <t>z tego:</t>
  </si>
  <si>
    <t xml:space="preserve">Dochody własne </t>
  </si>
  <si>
    <t>Pozostała działalność</t>
  </si>
  <si>
    <t>Załącznik nr 1</t>
  </si>
  <si>
    <t>w złotych</t>
  </si>
  <si>
    <t>Dochody budżetu miasta na 2005 rok</t>
  </si>
  <si>
    <r>
      <t xml:space="preserve">Dochody gminy ogółem, </t>
    </r>
    <r>
      <rPr>
        <i/>
        <sz val="10"/>
        <rFont val="Arial CE"/>
        <family val="2"/>
      </rPr>
      <t>z tego:</t>
    </r>
  </si>
  <si>
    <t>Rozdz.</t>
  </si>
  <si>
    <t>Ogółem</t>
  </si>
  <si>
    <t>Oświata i wychowanie</t>
  </si>
  <si>
    <t>Pomoc społeczna</t>
  </si>
  <si>
    <t>Edukacyjna opieka wychowawcza</t>
  </si>
  <si>
    <t>Zmiany</t>
  </si>
  <si>
    <t>Treść</t>
  </si>
  <si>
    <t>Wydatki ogółem</t>
  </si>
  <si>
    <t>Plan po zmianach</t>
  </si>
  <si>
    <t xml:space="preserve">Subwencje </t>
  </si>
  <si>
    <t>Dotacje celowe i inne środki na zadania własne</t>
  </si>
  <si>
    <t>Dochody własne</t>
  </si>
  <si>
    <t>Dotacje celowe na zadania realizowane na podstawie porozumień i umów</t>
  </si>
  <si>
    <t>Dotacje celowe z budżetu państwa na zadania zlecone z zakresu administracji rządowej</t>
  </si>
  <si>
    <t>Załącznik nr 2</t>
  </si>
  <si>
    <t>Zmniejszenia</t>
  </si>
  <si>
    <t>Zwiększenia</t>
  </si>
  <si>
    <t>Plan
 po zmianach</t>
  </si>
  <si>
    <t>Wydatki na zadania własne</t>
  </si>
  <si>
    <t xml:space="preserve">Wydatki na zadania realizowane na podstawie porozumień 
i umów </t>
  </si>
  <si>
    <t>Wydatki na zadania zlecone</t>
  </si>
  <si>
    <t>Plan według uchwały
nr 583/XXV/2004
Rady Miasta Lublin
z 30.12.2004 r.
z późn. zm.</t>
  </si>
  <si>
    <t>Wydatki</t>
  </si>
  <si>
    <t>na 2005 rok</t>
  </si>
  <si>
    <t>Załącznik nr 3</t>
  </si>
  <si>
    <t>Plan według uchwały 
nr 583/XXV/2004 
Rady Miasta Lublin 
z 30.12.2004 r.
z późn. zm.</t>
  </si>
  <si>
    <t>Wydatki budżetu miasta na 2005 rok</t>
  </si>
  <si>
    <t>Różne rozliczenia</t>
  </si>
  <si>
    <t>Rezerwy ogólne i celowe</t>
  </si>
  <si>
    <t>rezerwa budżetowa</t>
  </si>
  <si>
    <t>Załącznik nr 7</t>
  </si>
  <si>
    <t>Subwencje i dotacja rekompensująca</t>
  </si>
  <si>
    <r>
      <t xml:space="preserve">Dochody powiatu ogółem, </t>
    </r>
    <r>
      <rPr>
        <i/>
        <sz val="10"/>
        <rFont val="Arial CE"/>
        <family val="2"/>
      </rPr>
      <t>z tego:</t>
    </r>
  </si>
  <si>
    <t>Licea ogólnokształcące</t>
  </si>
  <si>
    <t>Specjalne ośrodki szkolno - wychowawcze</t>
  </si>
  <si>
    <t>Internaty i bursy szkolne</t>
  </si>
  <si>
    <t xml:space="preserve">          Planowane przychody i rozchody na 2005 rok</t>
  </si>
  <si>
    <t xml:space="preserve">         </t>
  </si>
  <si>
    <t>§</t>
  </si>
  <si>
    <t>Informacje uzupełniające</t>
  </si>
  <si>
    <t>Przychody 
wg uchwały 
nr 583/XXV/2004 Rady Miasta Lublin z dnia 30.12.2004 r.
z późn. zm.</t>
  </si>
  <si>
    <t>inwestycje</t>
  </si>
  <si>
    <t>Załącznik nr 4</t>
  </si>
  <si>
    <t xml:space="preserve">Dotacje celowe z budżetu państwa na zadania z zakresu administracji rządowej </t>
  </si>
  <si>
    <t>Transport i łączność</t>
  </si>
  <si>
    <t>Drogi publiczne w miastach na prawach powiatu</t>
  </si>
  <si>
    <t>wynagrodzenia</t>
  </si>
  <si>
    <t>pochodne od wynagrodzeń</t>
  </si>
  <si>
    <t>Licea profilowane</t>
  </si>
  <si>
    <t>2) wolne środki - 4.907.952 zł</t>
  </si>
  <si>
    <t>Gospodarka mieszkaniowa</t>
  </si>
  <si>
    <t>Gospodarka komunalna i ochrona środowiska</t>
  </si>
  <si>
    <t>Załącznik nr 8</t>
  </si>
  <si>
    <t xml:space="preserve">Plan przychodów i wydatków </t>
  </si>
  <si>
    <t xml:space="preserve">Gminnego Funduszu Ochrony Środowiska i Gospodarki Wodnej </t>
  </si>
  <si>
    <t>Plan według uchwały 
nr 583/XXV/2004 
Rady Miasta Lublin 
z 30.12.2004 r. z późn. zm.</t>
  </si>
  <si>
    <t xml:space="preserve">Rozdz. 
§     </t>
  </si>
  <si>
    <t>(nazwa działu, rozdziału, źródła przychodów, zadania, paragrafu)</t>
  </si>
  <si>
    <t xml:space="preserve">Prezydenta Miasta </t>
  </si>
  <si>
    <t>Stan środków obrotowych na początek roku</t>
  </si>
  <si>
    <t>w tym: stan środków pieniężnych</t>
  </si>
  <si>
    <t>Przychody</t>
  </si>
  <si>
    <t>Fundusz Ochrony Środowiska i Gospodarki Wodnej</t>
  </si>
  <si>
    <t>dotacje z Wojewódzkiego Funduszu Ochrony Środowiska i Gospodarki Wodnej 
na realizację zadań z zakresu ochrony środowiska</t>
  </si>
  <si>
    <t>Przelewy redystrybucyjne</t>
  </si>
  <si>
    <t>Suma bilansowa</t>
  </si>
  <si>
    <t>Stan środków obrotowych na koniec roku</t>
  </si>
  <si>
    <t>Załącznik nr 9</t>
  </si>
  <si>
    <t>Kultura i ochrona dziedzictwa narodowego</t>
  </si>
  <si>
    <t>Przychody ze spłaty pożyczek i kredytów udzielonych ze środków publicznych</t>
  </si>
  <si>
    <t>Powiatowego Funduszu Ochrony Środowiska i Gospodarki Wodnej na 2005 rok</t>
  </si>
  <si>
    <t xml:space="preserve">Wydatki </t>
  </si>
  <si>
    <t>Przychody po zmianach</t>
  </si>
  <si>
    <t>spłata pożyczki udzielonej dla Miejskiej Biblioteki Publicznej
im. H. Łopacińskiego</t>
  </si>
  <si>
    <t xml:space="preserve">Rozdz.
§ </t>
  </si>
  <si>
    <t>Treść
(nazwa działu, rozdziału, źródła przychodów, zadania, paragrafu)</t>
  </si>
  <si>
    <t>Domy pomocy społecznej</t>
  </si>
  <si>
    <t>kolektor sanitarny N-II</t>
  </si>
  <si>
    <t>Wydatki inwestycyjne funduszy celowych</t>
  </si>
  <si>
    <t>kanalizacja sanitarna w ul. Krężnickiej</t>
  </si>
  <si>
    <t>budowa zakładu utylizacji odpadów komunalnych dla Lublina 
i gmin ościennych</t>
  </si>
  <si>
    <t>kanalizacja sanitarna w ul. Jeżynowej</t>
  </si>
  <si>
    <t>Centra kultury i sztuki</t>
  </si>
  <si>
    <t>Gospodarka odpadami</t>
  </si>
  <si>
    <t>ul. Willowa</t>
  </si>
  <si>
    <t>Przychody po zminach</t>
  </si>
  <si>
    <t>Przychody z zaciągniętych pożyczek i kredytów na rynku krajowym</t>
  </si>
  <si>
    <t>pożyczki i kredyty</t>
  </si>
  <si>
    <t>Rozchody 
wg uchwały 
nr 583/XXV/2004 Rady Miasta Lublin 
z dnia 30.12.2004 r.
z późn. zm.</t>
  </si>
  <si>
    <t>trasa zielona - II etap</t>
  </si>
  <si>
    <t>Ochrona i konserwacja zabytków</t>
  </si>
  <si>
    <t>bezzwrotna pomoc na remonty dla właścicieli budynków zabytkowych</t>
  </si>
  <si>
    <t>rewaloryzacja zabytków</t>
  </si>
  <si>
    <t>Placówki opiekuńczo-wychowawcze</t>
  </si>
  <si>
    <t>edukacja ekologiczna</t>
  </si>
  <si>
    <t>dotacje dla niepublicznych placówek opiekuńczo-wychowawczych</t>
  </si>
  <si>
    <t>wydatki rzeczowe</t>
  </si>
  <si>
    <t xml:space="preserve">Szkoły podstawowe </t>
  </si>
  <si>
    <t>dotacje dla niepublicznych szkół podstawowych</t>
  </si>
  <si>
    <t>Gimnazja</t>
  </si>
  <si>
    <t>dotacje dla publicznych i niepublicznych gimnazjów</t>
  </si>
  <si>
    <t>dotacje dla publicznych i niepublicznych liceów ogólnokształcących</t>
  </si>
  <si>
    <t>dotacje dla publicznych liceów profilowanych</t>
  </si>
  <si>
    <t>Szkoły zawodowe</t>
  </si>
  <si>
    <t>dotacje dla publicznych i niepublicznych szkół zawodowych</t>
  </si>
  <si>
    <t>dotacje dla niepublicznych burs i internatów</t>
  </si>
  <si>
    <t>Szkoły podstawowe</t>
  </si>
  <si>
    <t>realizacja projektów w ramach programu Socrates - Comenius</t>
  </si>
  <si>
    <t>Centra kształcenia ustawicznego i praktycznego oraz ośrodki dokształcania zawodowego</t>
  </si>
  <si>
    <t>Zakup materiałów i wyposażenia</t>
  </si>
  <si>
    <t>środki z programu Wspólnoty Europejskiej Socrates-Comenius na realizację projektów oświatowych</t>
  </si>
  <si>
    <t>Specjalne ośrodki szkolno-wychowawcze</t>
  </si>
  <si>
    <t>Ochrona zdrowia</t>
  </si>
  <si>
    <t>Lecznictwo ambulatoryjne</t>
  </si>
  <si>
    <t>wydatki związane z likwidacją Zespołu Opieki Zdrowotnej 
w Lublinie SP ZOZ</t>
  </si>
  <si>
    <t>Biblioteki</t>
  </si>
  <si>
    <t>dotacja dla Miejskiej Biblioteki Publicznej im. H. Łopacińskiego</t>
  </si>
  <si>
    <t>Zakłady gospodarki mieszkaniowej</t>
  </si>
  <si>
    <t>dotacja dla Zarządu Nieruchomości Komunalnych</t>
  </si>
  <si>
    <t>Załącznik nr 10</t>
  </si>
  <si>
    <t>remonty budynków komunalnych</t>
  </si>
  <si>
    <t>1) pożyczki i kredyty - 34.427.500 zł</t>
  </si>
  <si>
    <t xml:space="preserve">Wydatki budżetu miasta nieznajdujące pokrycia w dochodach - 39.335.452 zł </t>
  </si>
  <si>
    <t>dotacje na sfinansowanie zakładowego funduszu świadczeń socjalnych dla nauczycieli emerytów i rencistów</t>
  </si>
  <si>
    <t>zakładowy fundusz świadczeń socjalnych dla nauczycieli emerytów 
i rencistów</t>
  </si>
  <si>
    <t>dotacje dla niepublicznych specjalnych ośrodków szkolno-wychowawczych</t>
  </si>
  <si>
    <t>Prezydenta Miasta Lublin</t>
  </si>
  <si>
    <t>Środki na dofinansowanie własnych zadań bieżących gmin, powiatów, samorządów województw, pozyskane z innych źródeł</t>
  </si>
  <si>
    <t>Treść 
(nazwa działu, rozdziału, źródła dochodów, paragrafu)</t>
  </si>
  <si>
    <t>Treść                                                                                                                              
 (nazwa działu, rozdziału, zadania, paragrafu)</t>
  </si>
  <si>
    <t>Prazydenta Miasta Lublin</t>
  </si>
  <si>
    <t xml:space="preserve">Podział planowanych dochodów i wydatków budżetu miasta </t>
  </si>
  <si>
    <t>na 2005 rok według jednostek organizacyjnych realizujących budżet</t>
  </si>
  <si>
    <t xml:space="preserve">Treść   </t>
  </si>
  <si>
    <t>Dochody</t>
  </si>
  <si>
    <t>1. Urząd Miasta</t>
  </si>
  <si>
    <t>Zakup usług pozostałych</t>
  </si>
  <si>
    <t xml:space="preserve">Rezerwy </t>
  </si>
  <si>
    <t xml:space="preserve">Gospodarka komunalna i ochrona środowiska </t>
  </si>
  <si>
    <t>inwestycje, w tym:</t>
  </si>
  <si>
    <t>Wydatki inwestycyjne jednostek budżetowych</t>
  </si>
  <si>
    <t>Wynagrodzenia osobowe pracowników</t>
  </si>
  <si>
    <t>Składki na ubezpieczenia społeczne</t>
  </si>
  <si>
    <t>Składki na Fundusz Pracy</t>
  </si>
  <si>
    <t>Wynagrodzenia bezosobowe</t>
  </si>
  <si>
    <t xml:space="preserve">dotacje dla publicznych i niepublicznych gimnazjów </t>
  </si>
  <si>
    <t xml:space="preserve">Społeczne Gimnazjum im. H. Ch. Andersena; Towarzystwo Oświatowe 
im. S. Batorego, ul. Przyjaźni 20, 20-314 Lublin </t>
  </si>
  <si>
    <t>środki w dyspozycji wydziału</t>
  </si>
  <si>
    <t>Dotacja podmiotowa z budżetu dla niepublicznej jednostki systemu oświaty</t>
  </si>
  <si>
    <t>Katolickie Liceum Ogólnokształcące im. św. Teresy; Katolickie Stowarzyszenie Oświatowe im. św. Teresy, ul. Krochmalna 47, 20-401 Lublin</t>
  </si>
  <si>
    <t xml:space="preserve">dotacje dla publicznych i niepublicznych szkół zawodowych </t>
  </si>
  <si>
    <t>Prywatna Policealna Szkoła Ochrony Pracy dla Dorosłych Centrum Ochrony Pracy 
i Biznesu "Consultrix"; Ewa Delmanowicz, ul. Kleniewskich 6/3, 20-093 Lublin</t>
  </si>
  <si>
    <t>inwestycje realizowane przy udziale mieszkańców i innych podmiotów</t>
  </si>
  <si>
    <t>inwestycje - adaptacja klasztoru powizytkowskiego na wielofunkcyjne Centrum Kultury</t>
  </si>
  <si>
    <t>Podróże służbowe krajowe</t>
  </si>
  <si>
    <t>Podróże służbowe zagraniczne</t>
  </si>
  <si>
    <t>2. Zespół Placówek Opiekuńczo-Wychowawczych "Pogodny Dom"</t>
  </si>
  <si>
    <t>Wydatki na zadania realizowane na podstawie porozumień 
i umów</t>
  </si>
  <si>
    <t>Harmonogram realizacji dochodów budżetu miasta w 2005 roku</t>
  </si>
  <si>
    <t xml:space="preserve">Rozdz. </t>
  </si>
  <si>
    <t>Treść                                                                                                                   (Nazwa działu, rozdziału)</t>
  </si>
  <si>
    <t>Plan na 2005 rok
z późn. zm.</t>
  </si>
  <si>
    <t>I kwartał</t>
  </si>
  <si>
    <t>II kwartał</t>
  </si>
  <si>
    <t>III kwartał</t>
  </si>
  <si>
    <t>IV kwartał</t>
  </si>
  <si>
    <t>Dochody ogółem</t>
  </si>
  <si>
    <t>Dochody gminy, w tym:</t>
  </si>
  <si>
    <t>w tym:</t>
  </si>
  <si>
    <t>Plan
na 2005 rok
z późn. zm.</t>
  </si>
  <si>
    <t>Harmonogram realizacji wydatków budżetu miasta w 2005 roku</t>
  </si>
  <si>
    <t>Urząd Miasta Lublin - Wydział Ochrony Środowiska</t>
  </si>
  <si>
    <t>1. Urząd Miasta Lublin</t>
  </si>
  <si>
    <t>1.1 Wydział Ochrony Środowiska</t>
  </si>
  <si>
    <t>1.2 Wydział Strategii i Rozwoju</t>
  </si>
  <si>
    <t>Urząd Miasta - Wydział Strategii i Rozwoju</t>
  </si>
  <si>
    <t>Załącznik nr 5</t>
  </si>
  <si>
    <t>Załącznik nr 6</t>
  </si>
  <si>
    <t>Harmonogram realizacji przychodów i wydatków</t>
  </si>
  <si>
    <t>Gminnego Funduszu Ochrony Środowiska i Gospodarki Wodnej</t>
  </si>
  <si>
    <t xml:space="preserve">Rozdz.    </t>
  </si>
  <si>
    <t>Treść
(nazwa działu, rozdziału)</t>
  </si>
  <si>
    <t>Plan na 
2005 rok
z późn. zm.</t>
  </si>
  <si>
    <t>Przychody ogółem</t>
  </si>
  <si>
    <t>1.2. Wydział Strategii i Rozwoju</t>
  </si>
  <si>
    <t>Powiatowego Funduszu Ochrony Środowiska i Gospodarki Wodnej</t>
  </si>
  <si>
    <t>1. Urząd Miasta - Wydział Strategii i Rozwoju</t>
  </si>
  <si>
    <t>Szkoła Podstawowa nr 39</t>
  </si>
  <si>
    <t>środki z programu Wspólnoty Europejskiej Socrates - Comenius na realizację projektów oświatowych</t>
  </si>
  <si>
    <t>Szkoła Podstawowa nr 51</t>
  </si>
  <si>
    <t>Dochody powiatu, w tym:</t>
  </si>
  <si>
    <t>Zakup pomocy naukowych, dydaktycznych i książek</t>
  </si>
  <si>
    <t>Gimnazjum nr 11</t>
  </si>
  <si>
    <t>II Liceum Ogólnokształcące</t>
  </si>
  <si>
    <t>Zespół Szkół nr 5</t>
  </si>
  <si>
    <t>Lubelskie Centrum Edukacji Zawodowej</t>
  </si>
  <si>
    <t xml:space="preserve">Katolicka Szkoła Podstawowa im. św. Jadwigi Królowej; 
Parafia Rzymsko-Katolicka św. Jadwigi Królowej, 
ul. Koncertowa 15, 20-866 Lublin </t>
  </si>
  <si>
    <t>Społeczna Szkoła Podstawowa im. S. F. Klonowica; 
Stowarzyszenie Oświatowo - Wychowawcze im. S. F. Klonowica, 
ul. Kurantowa 5, 20-836 Lublin</t>
  </si>
  <si>
    <t>Społeczna Terapeutyczna Szkoła Podstawowa im. H. Ch. Andersena; Towarzystwo Oświatowe im. S. Batorego, ul. Przyjaźni 20, 20-314 Lublin</t>
  </si>
  <si>
    <t>Katolickie Gimnazjum im. św. Teresy; Katolickie Stowarzyszenie
Oświatowe im. św. Teresy, ul. Krochmalna 47, 20-401 Lublin</t>
  </si>
  <si>
    <t>Prywatne Gimnazjum im. ks. K. Gostyńskiego;
Michał Bobrzyński, ul. Dulęby 22/2, 20-326 Lublin</t>
  </si>
  <si>
    <t>Prywatne Gimnazjum im. Królowej Jadwigi; Grzegorz Szymczak,
ul. Wokulskiego 7, 20-716 Lublin</t>
  </si>
  <si>
    <t xml:space="preserve">Społeczne Gimnazjum im. S. F. Klonowica;  Stowarzyszenie
Oświatowo-Wychowawcze im. S. F. Klonowica, ul. Kurantowa 5, 20-836 Lublin </t>
  </si>
  <si>
    <t>Pallotyńskie Gimnazjum im. S. Batorego; Stowarzyszenie Apostolstwa Katolickiego Pallotyni, al. Warszawska 31, 20-803 Lublin</t>
  </si>
  <si>
    <t xml:space="preserve">Prywatne Gimnazjum im. I.J. Paderewskiego; CRH "Akademos" Sp. z o.o., 
ul. Symfoniczna 1, 20-853 Lublin </t>
  </si>
  <si>
    <t>Zespół Szkół im. św. St. Kostki; Archidiecezja Lubelska,                                                                        ul. Prymasa Stefana Wyszyńskiego 2, 20-950 Lublin</t>
  </si>
  <si>
    <t>Dotacje podmiotowe z budżetu dla publicznej jednostki systemu oświaty prowadzonej przez osobę prawną inną niż jednostka samorządu terytorialnego oraz przez osobę fizyczną</t>
  </si>
  <si>
    <t>Pallotyńskie Liceum Ogólnokształcące im. S. Batorego;
Stowarzyszenie Apostolstwa Katolickiego Księża Pallotyni, 
al. Warszawska 31, 20-803 Lublin</t>
  </si>
  <si>
    <t>Prywatne Liceum Ogólnokształcące im. S. Wyspiańskiego; 
Sztuka i Rzemiosło Sp. z o.o., ul. Paganiniego 17, 20-850 Lublin</t>
  </si>
  <si>
    <t>Prywatne Liceum Ogólnokształcące im. I.J. Paderewskiego; 
CRH "Akademos" Sp. z o.o., ul. Symfoniczna 1, 20-853 Lublin</t>
  </si>
  <si>
    <t>Społeczne Liceum Ogólnokształcące im. Jana III Sobieskiego;
Lubelskie Stowarzyszenie Oświatowo-Wychowawcze, 
Al. Racławickie 17, 20-059 Lublin</t>
  </si>
  <si>
    <t>Prywatne Liceum Ogólnokształcące im. Królowej Jadwigi;
Grzegorz Szymczak, ul. Wokulskiego 7, 20-716 Lublin</t>
  </si>
  <si>
    <t>Prywatne Liceum Ogólnokształcące im. J. Czapskiego;
Andrzej Niewczas, ul. Medalionów 18/93, 20-468 Lublin</t>
  </si>
  <si>
    <t>Europejskie Liceum Ogólnokształcące dla Dorosłych; 
Ogólnopolski Ośrodek Kształcenia Ustawicznego Sp. z o.o.,
ul. Traugutta 30, 05-825 Grodzisk Mazowiecki</t>
  </si>
  <si>
    <t>Prywatne Katolickie Liceum Ogólnokształcące im. ks. K. Gostyńskiego; 
Michał Bobrzyński, ul. Dulęby 22/2, 20-326 Lublin</t>
  </si>
  <si>
    <t>Społeczne Liceum Ogólnokształcące im. H. Ch. Andersena; 
Towarzystwo Oświatowe im. S. Batorego, ul. Przyjaźni 20, 20-314 Lublin</t>
  </si>
  <si>
    <t>Społeczne Liceum Ogólnokształcące im. A. Asnyka Stowarzyszenia "Szansa"; Stowarzyszenie "Szansa", ul. Kapucyńska 1 a, 20-009 Lublin</t>
  </si>
  <si>
    <t xml:space="preserve">Trzyletnie Liceum Ogólnokształcące dla Dorosłych Centrum Nauki i Biznesu "Żak"; 
Małgorzata Morzyszek, ul. Kościelna 2/4, 95-200 Pabianice </t>
  </si>
  <si>
    <t xml:space="preserve">Uzupełniające Liceum Ogólnokształcące dla Dorosłych Centrum Nauki i Biznesu "Żak"; 
Małgorzata Morzyszek, ul. Kościelna 2/4, 95-200 Pabianice </t>
  </si>
  <si>
    <t>Pokrycie ujemnego wyniku finansowego i przejętych zobowiązań po likwidowanych i przekształcanych jednostkach zaliczanych do sektora finansów publicznych</t>
  </si>
  <si>
    <t>Pokrycie ujemnego wyniku finansowego i przejętych zobowiązań po likwidowanych 
i przekształcanych jednostkach zaliczanych do sektora finansów publicznych</t>
  </si>
  <si>
    <t>Zakup środków żywności</t>
  </si>
  <si>
    <t>budowa domu pomocy społecznej przy ul. Opalowej</t>
  </si>
  <si>
    <t>Dotacja podmiotowa z budżetu dla jednostek niezaliczanych do sektora finansów publicznych</t>
  </si>
  <si>
    <t>Dom Zakonny Zgromadzenia Sióstr Kapucynek Najświętszego Serca Jezusa, 
ul. Romanowskiego 6, 20-707 Lublin; Dom im. Matki Weroniki</t>
  </si>
  <si>
    <t>składowisko odpadów komunalnych w Rokitnie zad. 1</t>
  </si>
  <si>
    <t>wykup gruntów</t>
  </si>
  <si>
    <t>inwestycje realizowane przy udziale mieszkańców 
i innych podmiotów</t>
  </si>
  <si>
    <t>adaptacja klasztoru powizytkowskiego na wielofunkcyjne Centrum Kultury</t>
  </si>
  <si>
    <t>Zakup usług remontowych - renowacja kapliczki przy ul. Hempla</t>
  </si>
  <si>
    <t>Dotacja podmiotowa z budżetu dla samorządowej instytucji kultury</t>
  </si>
  <si>
    <t>Zakup usług remontowych</t>
  </si>
  <si>
    <t>monitoring środowiska i tworzenie baz danych w Miejskim Banku Zanieczyszczeń Środowiska</t>
  </si>
  <si>
    <t xml:space="preserve">odbudowa sterówki jazu, remont przepustu i elewacji </t>
  </si>
  <si>
    <t>remont wylotu kanału burzowego w ciągu ulicy Muzycznej</t>
  </si>
  <si>
    <t>prace interwencyjne na terenach zalewowych rzek Czechówki, Czerniejówki, Bystrzycy</t>
  </si>
  <si>
    <t>Część oświatowa subwencji ogólnej dla jednostek samorządu terytorialnego</t>
  </si>
  <si>
    <t>subwencja oświatowa</t>
  </si>
  <si>
    <t>Subwencje ogólne z budżetu państwa</t>
  </si>
  <si>
    <t>Subwencje</t>
  </si>
  <si>
    <t>1.1. Wydział Finansowy</t>
  </si>
  <si>
    <t>Wynagrodzenia</t>
  </si>
  <si>
    <t>Pochodne 
od wynagrodzeń</t>
  </si>
  <si>
    <t xml:space="preserve">       Nazwa</t>
  </si>
  <si>
    <t>§ 4010</t>
  </si>
  <si>
    <t>§ 4110</t>
  </si>
  <si>
    <t>§ 4120</t>
  </si>
  <si>
    <t xml:space="preserve">           paragrafu</t>
  </si>
  <si>
    <t>Składki na</t>
  </si>
  <si>
    <t>Składki</t>
  </si>
  <si>
    <t>osobowe</t>
  </si>
  <si>
    <t>ubezpiecz.</t>
  </si>
  <si>
    <t xml:space="preserve">na </t>
  </si>
  <si>
    <t>pracowników</t>
  </si>
  <si>
    <t>społeczne</t>
  </si>
  <si>
    <t>Fundusz</t>
  </si>
  <si>
    <t>Razem</t>
  </si>
  <si>
    <t>Pracy</t>
  </si>
  <si>
    <t xml:space="preserve">       szkoły</t>
  </si>
  <si>
    <t>rozdz. 80101 - Szkoły podstawowe</t>
  </si>
  <si>
    <t>Szkoła Podstawowa nr 42</t>
  </si>
  <si>
    <t>rozdz. 80110 - Gimnazja</t>
  </si>
  <si>
    <t>Gimnazjum nr 1</t>
  </si>
  <si>
    <t>Gimnazjum nr 2</t>
  </si>
  <si>
    <t>Gimnazjum nr 7</t>
  </si>
  <si>
    <t>Gimnazjum nr 14</t>
  </si>
  <si>
    <t>Gimnazjum nr 15</t>
  </si>
  <si>
    <t>Gimnazjum nr 18</t>
  </si>
  <si>
    <t>Gimnazjum nr 19</t>
  </si>
  <si>
    <t>D39</t>
  </si>
  <si>
    <t>D42</t>
  </si>
  <si>
    <t>DG1</t>
  </si>
  <si>
    <t>DG2</t>
  </si>
  <si>
    <t>DG3</t>
  </si>
  <si>
    <t>Gimnazjum nr 3</t>
  </si>
  <si>
    <t>DG6</t>
  </si>
  <si>
    <t xml:space="preserve">Zespół Szkół Ogólnokształcących nr 4 </t>
  </si>
  <si>
    <t>DG7</t>
  </si>
  <si>
    <t>DG9</t>
  </si>
  <si>
    <t>Gimnazjum nr 9</t>
  </si>
  <si>
    <t>DG10</t>
  </si>
  <si>
    <t>Gimnazjum nr 10</t>
  </si>
  <si>
    <t>DG11</t>
  </si>
  <si>
    <t>DG13</t>
  </si>
  <si>
    <t>Gimnazjum nr 13</t>
  </si>
  <si>
    <t>DG14</t>
  </si>
  <si>
    <t>DG15</t>
  </si>
  <si>
    <t>DG17</t>
  </si>
  <si>
    <t>Gimnazjum nr 17</t>
  </si>
  <si>
    <t>DG18</t>
  </si>
  <si>
    <t>DG19</t>
  </si>
  <si>
    <t>DO2</t>
  </si>
  <si>
    <t>Specjalny Ośrodek Szkolno-Wychowawczy nr 2</t>
  </si>
  <si>
    <t>Środki w dyspozycji WOIW</t>
  </si>
  <si>
    <t>rozdz. 80120 - Licea ogólnokształcące</t>
  </si>
  <si>
    <t>ILO</t>
  </si>
  <si>
    <t>VILO</t>
  </si>
  <si>
    <t>VI Liceum Ogólnokształcące</t>
  </si>
  <si>
    <t>VII Liceum Ogólnokształcące</t>
  </si>
  <si>
    <t>IXLO</t>
  </si>
  <si>
    <t>IX Liceum Ogólnokształcące</t>
  </si>
  <si>
    <t>XLO</t>
  </si>
  <si>
    <t xml:space="preserve">Zespół Szkół Elektronicznych </t>
  </si>
  <si>
    <t>XIILO</t>
  </si>
  <si>
    <t>XIVLO</t>
  </si>
  <si>
    <t xml:space="preserve">Zespół Szkół Ogólnokształcących nr 1 </t>
  </si>
  <si>
    <t>Zespół Szkół Ekonomicznych</t>
  </si>
  <si>
    <t>budownictwo mieszkaniowe komunalne i socjalne</t>
  </si>
  <si>
    <t xml:space="preserve">1.4 Wydział Strategii i Rozwoju </t>
  </si>
  <si>
    <t>Plan 
po zmianach</t>
  </si>
  <si>
    <t>Przeciwdziałanie alkoholizmowi</t>
  </si>
  <si>
    <t>zadania realizowane w ramach Gminnego Programu Profilaktyki 
i Rozwiązywania Problemów Alkoholowych, z tego:</t>
  </si>
  <si>
    <t>wspieranie zatrudnienia socjalnego poprzez organizowanie 
i finansowanie centrów integracji społecznej</t>
  </si>
  <si>
    <t>Dotacja przedmiotowa z budżetu dla gospodarstwa pomocniczego</t>
  </si>
  <si>
    <t>Drogi wewnętrzne</t>
  </si>
  <si>
    <t>ścieżki rowerowe</t>
  </si>
  <si>
    <t>Centra integracji społecznej</t>
  </si>
  <si>
    <t>w tym remont pomieszczeń</t>
  </si>
  <si>
    <t>Kultura fizyczna i sport</t>
  </si>
  <si>
    <t>Instytucje kultury fizycznej</t>
  </si>
  <si>
    <t>dotacja dla MOSiR "Bystrzyca"</t>
  </si>
  <si>
    <t>remonty budynków Wspólnot Mieszkaniowych</t>
  </si>
  <si>
    <t>remonty budynków o własności mieszanej</t>
  </si>
  <si>
    <t>wspieranie zatrudnienia socjalnego poprzez organizowanie i finansowanie centrów integracji społecznej</t>
  </si>
  <si>
    <t>Dotacje celowe z budżetu na finansowanie lub dofinansowanie kosztów realizacji inwestycji i zakupów inwestycyjnych zakładów budżetowych</t>
  </si>
  <si>
    <t>Treść
(Nazwa działu, rozdziału)</t>
  </si>
  <si>
    <t>remonty budynków o własności prywatnej</t>
  </si>
  <si>
    <t>Wydatki
rzeczowe</t>
  </si>
  <si>
    <t>§ 4240</t>
  </si>
  <si>
    <t>Zakup</t>
  </si>
  <si>
    <t>pomocy</t>
  </si>
  <si>
    <t>dydaktycznych</t>
  </si>
  <si>
    <t>i książek</t>
  </si>
  <si>
    <t>dotacja przedmiotowa do działalności Centrum Integracji Społecznej "Integro"</t>
  </si>
  <si>
    <t>do zarządzenia nr 408/2005</t>
  </si>
  <si>
    <t>z dnia 26 października 2005 roku</t>
  </si>
  <si>
    <t xml:space="preserve">Pierwsza Społeczna Szkoła Podstawowa; Społeczne Stowarzyszenie Edukacyjne, 
ul. Herbowa 18 A, 20-551 Lublin </t>
  </si>
  <si>
    <t>Niepubliczne Policealne Studium Zawodowe Stowarzyszenia Szansa;
Stowarzyszenie "Szansa", ul. Kapucyńska 1 a, 20-009 Lublin</t>
  </si>
  <si>
    <t>Stowarzyszenie SOS Wioski Dziecięce w Polsce, 
al. J. Szucha 2/4 m.25, 00-582 Warszawa; Dom Młodzieży SOS</t>
  </si>
  <si>
    <t>Wydatki na zadania własne, w tym:</t>
  </si>
  <si>
    <t>Placówki oświatowe - zwiększenia</t>
  </si>
  <si>
    <t>naukowych,</t>
  </si>
  <si>
    <t>Dział 801 - Oświata i wychowanie</t>
  </si>
  <si>
    <t>Urząd Miasta - Wydział Ochrony Środowiska</t>
  </si>
  <si>
    <t>Zespół Szkół nr 4</t>
  </si>
  <si>
    <t>Z up. Skarbnika Miasta Lublin</t>
  </si>
  <si>
    <t>mgr Mirosława Puton</t>
  </si>
  <si>
    <t>Z-ca Dyrektora Wydziału Finansowego</t>
  </si>
  <si>
    <t>PREZYDENT</t>
  </si>
  <si>
    <t>Miasta Lublin</t>
  </si>
  <si>
    <t>Andrzej Pruszkowski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</si>
</sst>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3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sz val="16"/>
      <color indexed="10"/>
      <name val="Arial CE"/>
      <family val="2"/>
    </font>
    <font>
      <b/>
      <u val="single"/>
      <sz val="11"/>
      <name val="Arial CE"/>
      <family val="2"/>
    </font>
    <font>
      <i/>
      <sz val="10"/>
      <color indexed="8"/>
      <name val="Arial CE"/>
      <family val="2"/>
    </font>
    <font>
      <i/>
      <sz val="10"/>
      <color indexed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sz val="9"/>
      <color indexed="8"/>
      <name val="Arial CE"/>
      <family val="2"/>
    </font>
    <font>
      <b/>
      <sz val="11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i/>
      <sz val="10"/>
      <color indexed="8"/>
      <name val="Arial CE"/>
      <family val="2"/>
    </font>
    <font>
      <i/>
      <u val="single"/>
      <sz val="10"/>
      <name val="Arial CE"/>
      <family val="2"/>
    </font>
    <font>
      <sz val="8"/>
      <color indexed="8"/>
      <name val="Arial CE"/>
      <family val="2"/>
    </font>
    <font>
      <sz val="12"/>
      <color indexed="8"/>
      <name val="Arial CE"/>
      <family val="2"/>
    </font>
    <font>
      <sz val="14"/>
      <name val="Arial CE"/>
      <family val="2"/>
    </font>
    <font>
      <b/>
      <u val="single"/>
      <sz val="10"/>
      <name val="Arial CE"/>
      <family val="2"/>
    </font>
    <font>
      <b/>
      <i/>
      <sz val="11"/>
      <name val="Arial CE"/>
      <family val="2"/>
    </font>
    <font>
      <sz val="11"/>
      <color indexed="8"/>
      <name val="Arial CE"/>
      <family val="2"/>
    </font>
    <font>
      <b/>
      <i/>
      <u val="single"/>
      <sz val="10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gray125">
        <fgColor indexed="9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tted"/>
      <bottom>
        <color indexed="63"/>
      </bottom>
    </border>
    <border>
      <left style="thin"/>
      <right style="thin"/>
      <top style="hair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dotted"/>
      <bottom style="dashed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3" fontId="1" fillId="2" borderId="4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2" borderId="5" xfId="0" applyFont="1" applyFill="1" applyBorder="1" applyAlignment="1">
      <alignment/>
    </xf>
    <xf numFmtId="3" fontId="0" fillId="2" borderId="5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5" xfId="0" applyFont="1" applyFill="1" applyBorder="1" applyAlignment="1">
      <alignment/>
    </xf>
    <xf numFmtId="3" fontId="4" fillId="2" borderId="6" xfId="0" applyNumberFormat="1" applyFont="1" applyFill="1" applyBorder="1" applyAlignment="1">
      <alignment/>
    </xf>
    <xf numFmtId="0" fontId="0" fillId="2" borderId="7" xfId="0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/>
    </xf>
    <xf numFmtId="0" fontId="5" fillId="2" borderId="0" xfId="0" applyFont="1" applyFill="1" applyAlignment="1">
      <alignment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Alignment="1">
      <alignment/>
    </xf>
    <xf numFmtId="0" fontId="0" fillId="0" borderId="7" xfId="0" applyFont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7" xfId="0" applyFont="1" applyFill="1" applyBorder="1" applyAlignment="1">
      <alignment wrapText="1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10" xfId="0" applyFont="1" applyBorder="1" applyAlignment="1">
      <alignment/>
    </xf>
    <xf numFmtId="3" fontId="1" fillId="3" borderId="7" xfId="0" applyNumberFormat="1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3" fontId="1" fillId="0" borderId="8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12" xfId="0" applyFont="1" applyBorder="1" applyAlignment="1">
      <alignment/>
    </xf>
    <xf numFmtId="0" fontId="7" fillId="0" borderId="7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5" xfId="0" applyFont="1" applyBorder="1" applyAlignment="1">
      <alignment/>
    </xf>
    <xf numFmtId="3" fontId="9" fillId="3" borderId="7" xfId="0" applyNumberFormat="1" applyFont="1" applyFill="1" applyBorder="1" applyAlignment="1">
      <alignment/>
    </xf>
    <xf numFmtId="3" fontId="9" fillId="0" borderId="7" xfId="0" applyNumberFormat="1" applyFont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5" xfId="0" applyFont="1" applyFill="1" applyBorder="1" applyAlignment="1">
      <alignment horizontal="right"/>
    </xf>
    <xf numFmtId="3" fontId="0" fillId="0" borderId="0" xfId="0" applyNumberFormat="1" applyAlignment="1">
      <alignment/>
    </xf>
    <xf numFmtId="0" fontId="0" fillId="2" borderId="10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0" fontId="4" fillId="0" borderId="8" xfId="0" applyFont="1" applyBorder="1" applyAlignment="1">
      <alignment/>
    </xf>
    <xf numFmtId="3" fontId="4" fillId="0" borderId="8" xfId="0" applyNumberFormat="1" applyFont="1" applyBorder="1" applyAlignment="1">
      <alignment/>
    </xf>
    <xf numFmtId="3" fontId="1" fillId="3" borderId="7" xfId="0" applyNumberFormat="1" applyFont="1" applyFill="1" applyBorder="1" applyAlignment="1">
      <alignment/>
    </xf>
    <xf numFmtId="3" fontId="1" fillId="0" borderId="7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2" borderId="8" xfId="0" applyFont="1" applyFill="1" applyBorder="1" applyAlignment="1">
      <alignment wrapText="1"/>
    </xf>
    <xf numFmtId="3" fontId="4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1" fillId="3" borderId="7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1" fillId="0" borderId="6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2" borderId="5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2" borderId="13" xfId="0" applyFont="1" applyFill="1" applyBorder="1" applyAlignment="1">
      <alignment horizontal="left"/>
    </xf>
    <xf numFmtId="3" fontId="1" fillId="0" borderId="13" xfId="0" applyNumberFormat="1" applyFont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4" xfId="0" applyFont="1" applyFill="1" applyBorder="1" applyAlignment="1">
      <alignment wrapText="1"/>
    </xf>
    <xf numFmtId="3" fontId="1" fillId="0" borderId="14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1" fillId="2" borderId="8" xfId="0" applyFont="1" applyFill="1" applyBorder="1" applyAlignment="1">
      <alignment wrapText="1"/>
    </xf>
    <xf numFmtId="0" fontId="6" fillId="0" borderId="0" xfId="0" applyFont="1" applyAlignment="1">
      <alignment horizontal="right"/>
    </xf>
    <xf numFmtId="0" fontId="0" fillId="2" borderId="10" xfId="0" applyFont="1" applyFill="1" applyBorder="1" applyAlignment="1">
      <alignment/>
    </xf>
    <xf numFmtId="0" fontId="1" fillId="3" borderId="15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9" fillId="3" borderId="15" xfId="0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/>
    </xf>
    <xf numFmtId="0" fontId="9" fillId="0" borderId="9" xfId="0" applyFont="1" applyBorder="1" applyAlignment="1">
      <alignment/>
    </xf>
    <xf numFmtId="0" fontId="7" fillId="0" borderId="9" xfId="0" applyFont="1" applyBorder="1" applyAlignment="1">
      <alignment/>
    </xf>
    <xf numFmtId="3" fontId="7" fillId="0" borderId="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4" fillId="2" borderId="7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4" fillId="2" borderId="7" xfId="0" applyFont="1" applyFill="1" applyBorder="1" applyAlignment="1">
      <alignment wrapText="1"/>
    </xf>
    <xf numFmtId="3" fontId="4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 wrapText="1"/>
    </xf>
    <xf numFmtId="3" fontId="1" fillId="3" borderId="20" xfId="0" applyNumberFormat="1" applyFont="1" applyFill="1" applyBorder="1" applyAlignment="1">
      <alignment horizontal="right"/>
    </xf>
    <xf numFmtId="0" fontId="0" fillId="0" borderId="7" xfId="0" applyBorder="1" applyAlignment="1">
      <alignment/>
    </xf>
    <xf numFmtId="0" fontId="1" fillId="0" borderId="10" xfId="0" applyFont="1" applyBorder="1" applyAlignment="1">
      <alignment/>
    </xf>
    <xf numFmtId="0" fontId="0" fillId="0" borderId="7" xfId="0" applyFont="1" applyBorder="1" applyAlignment="1">
      <alignment wrapText="1"/>
    </xf>
    <xf numFmtId="3" fontId="1" fillId="0" borderId="21" xfId="0" applyNumberFormat="1" applyFont="1" applyBorder="1" applyAlignment="1">
      <alignment/>
    </xf>
    <xf numFmtId="0" fontId="0" fillId="0" borderId="21" xfId="0" applyFont="1" applyBorder="1" applyAlignment="1">
      <alignment wrapText="1"/>
    </xf>
    <xf numFmtId="0" fontId="1" fillId="3" borderId="9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3" fontId="0" fillId="0" borderId="21" xfId="0" applyNumberFormat="1" applyFont="1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wrapText="1"/>
    </xf>
    <xf numFmtId="3" fontId="10" fillId="0" borderId="23" xfId="0" applyNumberFormat="1" applyFont="1" applyBorder="1" applyAlignment="1">
      <alignment horizontal="right"/>
    </xf>
    <xf numFmtId="0" fontId="7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left" wrapText="1"/>
    </xf>
    <xf numFmtId="3" fontId="10" fillId="0" borderId="7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1" borderId="7" xfId="0" applyFont="1" applyFill="1" applyBorder="1" applyAlignment="1">
      <alignment vertical="center"/>
    </xf>
    <xf numFmtId="3" fontId="9" fillId="1" borderId="7" xfId="0" applyNumberFormat="1" applyFont="1" applyFill="1" applyBorder="1" applyAlignment="1">
      <alignment/>
    </xf>
    <xf numFmtId="0" fontId="9" fillId="3" borderId="7" xfId="0" applyFont="1" applyFill="1" applyBorder="1" applyAlignment="1">
      <alignment/>
    </xf>
    <xf numFmtId="0" fontId="9" fillId="3" borderId="7" xfId="0" applyFont="1" applyFill="1" applyBorder="1" applyAlignment="1">
      <alignment vertical="center"/>
    </xf>
    <xf numFmtId="0" fontId="9" fillId="3" borderId="7" xfId="0" applyFont="1" applyFill="1" applyBorder="1" applyAlignment="1">
      <alignment wrapText="1"/>
    </xf>
    <xf numFmtId="0" fontId="7" fillId="0" borderId="5" xfId="0" applyFont="1" applyBorder="1" applyAlignment="1">
      <alignment/>
    </xf>
    <xf numFmtId="0" fontId="9" fillId="0" borderId="7" xfId="0" applyFont="1" applyBorder="1" applyAlignment="1">
      <alignment wrapText="1"/>
    </xf>
    <xf numFmtId="3" fontId="9" fillId="0" borderId="7" xfId="0" applyNumberFormat="1" applyFont="1" applyBorder="1" applyAlignment="1">
      <alignment horizontal="right"/>
    </xf>
    <xf numFmtId="0" fontId="7" fillId="0" borderId="24" xfId="0" applyFont="1" applyBorder="1" applyAlignment="1">
      <alignment horizontal="left" wrapText="1"/>
    </xf>
    <xf numFmtId="3" fontId="7" fillId="0" borderId="21" xfId="0" applyNumberFormat="1" applyFont="1" applyBorder="1" applyAlignment="1">
      <alignment horizontal="right"/>
    </xf>
    <xf numFmtId="0" fontId="10" fillId="0" borderId="7" xfId="0" applyFont="1" applyBorder="1" applyAlignment="1">
      <alignment/>
    </xf>
    <xf numFmtId="3" fontId="10" fillId="0" borderId="25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 wrapText="1"/>
    </xf>
    <xf numFmtId="3" fontId="9" fillId="0" borderId="5" xfId="0" applyNumberFormat="1" applyFont="1" applyBorder="1" applyAlignment="1">
      <alignment horizontal="right" wrapText="1"/>
    </xf>
    <xf numFmtId="0" fontId="9" fillId="1" borderId="9" xfId="0" applyFont="1" applyFill="1" applyBorder="1" applyAlignment="1">
      <alignment vertical="center"/>
    </xf>
    <xf numFmtId="3" fontId="9" fillId="1" borderId="9" xfId="0" applyNumberFormat="1" applyFont="1" applyFill="1" applyBorder="1" applyAlignment="1">
      <alignment/>
    </xf>
    <xf numFmtId="0" fontId="7" fillId="0" borderId="26" xfId="0" applyFont="1" applyBorder="1" applyAlignment="1">
      <alignment/>
    </xf>
    <xf numFmtId="3" fontId="7" fillId="0" borderId="21" xfId="0" applyNumberFormat="1" applyFont="1" applyBorder="1" applyAlignment="1">
      <alignment/>
    </xf>
    <xf numFmtId="3" fontId="10" fillId="0" borderId="7" xfId="0" applyNumberFormat="1" applyFont="1" applyBorder="1" applyAlignment="1">
      <alignment/>
    </xf>
    <xf numFmtId="0" fontId="10" fillId="0" borderId="5" xfId="0" applyFont="1" applyBorder="1" applyAlignment="1">
      <alignment/>
    </xf>
    <xf numFmtId="0" fontId="7" fillId="0" borderId="24" xfId="0" applyFont="1" applyBorder="1" applyAlignment="1">
      <alignment wrapText="1"/>
    </xf>
    <xf numFmtId="3" fontId="10" fillId="0" borderId="5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10" fillId="0" borderId="25" xfId="0" applyFont="1" applyBorder="1" applyAlignment="1">
      <alignment wrapText="1"/>
    </xf>
    <xf numFmtId="3" fontId="10" fillId="0" borderId="25" xfId="0" applyNumberFormat="1" applyFont="1" applyBorder="1" applyAlignment="1">
      <alignment horizontal="right" wrapText="1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wrapText="1"/>
    </xf>
    <xf numFmtId="0" fontId="1" fillId="3" borderId="9" xfId="0" applyFont="1" applyFill="1" applyBorder="1" applyAlignment="1">
      <alignment horizontal="right"/>
    </xf>
    <xf numFmtId="3" fontId="0" fillId="2" borderId="10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left" wrapText="1"/>
    </xf>
    <xf numFmtId="0" fontId="6" fillId="0" borderId="5" xfId="0" applyFont="1" applyBorder="1" applyAlignment="1">
      <alignment/>
    </xf>
    <xf numFmtId="0" fontId="7" fillId="0" borderId="7" xfId="0" applyFont="1" applyBorder="1" applyAlignment="1">
      <alignment wrapText="1"/>
    </xf>
    <xf numFmtId="0" fontId="5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0" fillId="0" borderId="12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23" xfId="0" applyFont="1" applyBorder="1" applyAlignment="1">
      <alignment horizontal="left"/>
    </xf>
    <xf numFmtId="3" fontId="6" fillId="0" borderId="23" xfId="0" applyNumberFormat="1" applyFont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left"/>
    </xf>
    <xf numFmtId="3" fontId="6" fillId="0" borderId="7" xfId="0" applyNumberFormat="1" applyFont="1" applyBorder="1" applyAlignment="1">
      <alignment horizontal="right"/>
    </xf>
    <xf numFmtId="0" fontId="1" fillId="1" borderId="7" xfId="0" applyFont="1" applyFill="1" applyBorder="1" applyAlignment="1">
      <alignment/>
    </xf>
    <xf numFmtId="3" fontId="1" fillId="1" borderId="7" xfId="0" applyNumberFormat="1" applyFont="1" applyFill="1" applyBorder="1" applyAlignment="1">
      <alignment/>
    </xf>
    <xf numFmtId="0" fontId="1" fillId="3" borderId="7" xfId="0" applyFont="1" applyFill="1" applyBorder="1" applyAlignment="1">
      <alignment vertical="center"/>
    </xf>
    <xf numFmtId="3" fontId="1" fillId="2" borderId="7" xfId="0" applyNumberFormat="1" applyFont="1" applyFill="1" applyBorder="1" applyAlignment="1">
      <alignment/>
    </xf>
    <xf numFmtId="0" fontId="1" fillId="0" borderId="2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6" xfId="0" applyFont="1" applyBorder="1" applyAlignment="1">
      <alignment/>
    </xf>
    <xf numFmtId="0" fontId="6" fillId="0" borderId="25" xfId="0" applyFont="1" applyBorder="1" applyAlignment="1">
      <alignment/>
    </xf>
    <xf numFmtId="3" fontId="6" fillId="0" borderId="9" xfId="0" applyNumberFormat="1" applyFont="1" applyBorder="1" applyAlignment="1">
      <alignment horizontal="right"/>
    </xf>
    <xf numFmtId="0" fontId="6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9" xfId="0" applyFont="1" applyBorder="1" applyAlignment="1">
      <alignment wrapText="1"/>
    </xf>
    <xf numFmtId="3" fontId="1" fillId="0" borderId="7" xfId="0" applyNumberFormat="1" applyFont="1" applyBorder="1" applyAlignment="1">
      <alignment/>
    </xf>
    <xf numFmtId="3" fontId="1" fillId="3" borderId="9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0" fillId="0" borderId="5" xfId="0" applyFont="1" applyBorder="1" applyAlignment="1">
      <alignment wrapText="1"/>
    </xf>
    <xf numFmtId="3" fontId="0" fillId="0" borderId="5" xfId="0" applyNumberFormat="1" applyFont="1" applyBorder="1" applyAlignment="1">
      <alignment/>
    </xf>
    <xf numFmtId="0" fontId="1" fillId="3" borderId="9" xfId="0" applyFont="1" applyFill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5" xfId="0" applyFont="1" applyBorder="1" applyAlignment="1">
      <alignment/>
    </xf>
    <xf numFmtId="0" fontId="0" fillId="0" borderId="29" xfId="0" applyFont="1" applyBorder="1" applyAlignment="1">
      <alignment wrapText="1"/>
    </xf>
    <xf numFmtId="3" fontId="0" fillId="0" borderId="29" xfId="0" applyNumberFormat="1" applyFont="1" applyBorder="1" applyAlignment="1">
      <alignment/>
    </xf>
    <xf numFmtId="3" fontId="0" fillId="0" borderId="21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2" borderId="7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wrapText="1"/>
    </xf>
    <xf numFmtId="3" fontId="6" fillId="0" borderId="7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5" xfId="0" applyFont="1" applyBorder="1" applyAlignment="1">
      <alignment/>
    </xf>
    <xf numFmtId="0" fontId="6" fillId="0" borderId="25" xfId="0" applyFont="1" applyBorder="1" applyAlignment="1">
      <alignment wrapText="1"/>
    </xf>
    <xf numFmtId="3" fontId="6" fillId="0" borderId="25" xfId="0" applyNumberFormat="1" applyFont="1" applyBorder="1" applyAlignment="1">
      <alignment/>
    </xf>
    <xf numFmtId="3" fontId="0" fillId="2" borderId="7" xfId="0" applyNumberFormat="1" applyFont="1" applyFill="1" applyBorder="1" applyAlignment="1">
      <alignment horizontal="right" wrapText="1"/>
    </xf>
    <xf numFmtId="3" fontId="0" fillId="2" borderId="20" xfId="0" applyNumberFormat="1" applyFont="1" applyFill="1" applyBorder="1" applyAlignment="1">
      <alignment horizontal="right" wrapText="1"/>
    </xf>
    <xf numFmtId="0" fontId="1" fillId="3" borderId="15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31" xfId="0" applyFont="1" applyFill="1" applyBorder="1" applyAlignment="1">
      <alignment horizontal="left" wrapText="1"/>
    </xf>
    <xf numFmtId="3" fontId="0" fillId="2" borderId="21" xfId="0" applyNumberFormat="1" applyFont="1" applyFill="1" applyBorder="1" applyAlignment="1">
      <alignment horizontal="right"/>
    </xf>
    <xf numFmtId="3" fontId="0" fillId="2" borderId="7" xfId="0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/>
    </xf>
    <xf numFmtId="0" fontId="6" fillId="2" borderId="15" xfId="0" applyFont="1" applyFill="1" applyBorder="1" applyAlignment="1">
      <alignment wrapText="1"/>
    </xf>
    <xf numFmtId="3" fontId="0" fillId="2" borderId="10" xfId="0" applyNumberFormat="1" applyFont="1" applyFill="1" applyBorder="1" applyAlignment="1">
      <alignment horizontal="right" wrapText="1"/>
    </xf>
    <xf numFmtId="3" fontId="0" fillId="2" borderId="32" xfId="0" applyNumberFormat="1" applyFont="1" applyFill="1" applyBorder="1" applyAlignment="1">
      <alignment horizontal="right" wrapText="1"/>
    </xf>
    <xf numFmtId="3" fontId="0" fillId="2" borderId="25" xfId="0" applyNumberFormat="1" applyFont="1" applyFill="1" applyBorder="1" applyAlignment="1">
      <alignment horizontal="right" wrapText="1"/>
    </xf>
    <xf numFmtId="3" fontId="0" fillId="2" borderId="33" xfId="0" applyNumberFormat="1" applyFont="1" applyFill="1" applyBorder="1" applyAlignment="1">
      <alignment horizontal="right" wrapText="1"/>
    </xf>
    <xf numFmtId="3" fontId="0" fillId="2" borderId="25" xfId="0" applyNumberFormat="1" applyFont="1" applyFill="1" applyBorder="1" applyAlignment="1">
      <alignment horizontal="right"/>
    </xf>
    <xf numFmtId="3" fontId="0" fillId="2" borderId="21" xfId="0" applyNumberFormat="1" applyFont="1" applyFill="1" applyBorder="1" applyAlignment="1">
      <alignment horizontal="right" wrapText="1"/>
    </xf>
    <xf numFmtId="3" fontId="0" fillId="2" borderId="34" xfId="0" applyNumberFormat="1" applyFont="1" applyFill="1" applyBorder="1" applyAlignment="1">
      <alignment horizontal="right" wrapText="1"/>
    </xf>
    <xf numFmtId="0" fontId="0" fillId="2" borderId="21" xfId="0" applyFont="1" applyFill="1" applyBorder="1" applyAlignment="1">
      <alignment horizontal="left" wrapText="1"/>
    </xf>
    <xf numFmtId="0" fontId="0" fillId="0" borderId="35" xfId="0" applyBorder="1" applyAlignment="1">
      <alignment horizontal="center" vertical="center" wrapText="1"/>
    </xf>
    <xf numFmtId="3" fontId="1" fillId="0" borderId="36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right" vertical="center"/>
    </xf>
    <xf numFmtId="3" fontId="9" fillId="4" borderId="4" xfId="0" applyNumberFormat="1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3" fontId="16" fillId="4" borderId="5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>
      <alignment/>
    </xf>
    <xf numFmtId="0" fontId="6" fillId="4" borderId="5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4" fillId="4" borderId="8" xfId="0" applyFont="1" applyFill="1" applyBorder="1" applyAlignment="1">
      <alignment/>
    </xf>
    <xf numFmtId="3" fontId="4" fillId="4" borderId="8" xfId="0" applyNumberFormat="1" applyFont="1" applyFill="1" applyBorder="1" applyAlignment="1">
      <alignment/>
    </xf>
    <xf numFmtId="3" fontId="1" fillId="0" borderId="9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 wrapText="1"/>
    </xf>
    <xf numFmtId="0" fontId="6" fillId="2" borderId="7" xfId="0" applyFont="1" applyFill="1" applyBorder="1" applyAlignment="1">
      <alignment wrapText="1"/>
    </xf>
    <xf numFmtId="3" fontId="6" fillId="2" borderId="7" xfId="0" applyNumberFormat="1" applyFont="1" applyFill="1" applyBorder="1" applyAlignment="1">
      <alignment horizontal="right" wrapText="1"/>
    </xf>
    <xf numFmtId="3" fontId="0" fillId="2" borderId="21" xfId="0" applyNumberFormat="1" applyFont="1" applyFill="1" applyBorder="1" applyAlignment="1">
      <alignment wrapText="1"/>
    </xf>
    <xf numFmtId="3" fontId="4" fillId="4" borderId="6" xfId="0" applyNumberFormat="1" applyFont="1" applyFill="1" applyBorder="1" applyAlignment="1">
      <alignment/>
    </xf>
    <xf numFmtId="0" fontId="4" fillId="4" borderId="8" xfId="0" applyFont="1" applyFill="1" applyBorder="1" applyAlignment="1">
      <alignment wrapText="1"/>
    </xf>
    <xf numFmtId="0" fontId="1" fillId="3" borderId="15" xfId="0" applyFont="1" applyFill="1" applyBorder="1" applyAlignment="1">
      <alignment wrapText="1"/>
    </xf>
    <xf numFmtId="0" fontId="1" fillId="0" borderId="30" xfId="0" applyFont="1" applyBorder="1" applyAlignment="1">
      <alignment wrapText="1"/>
    </xf>
    <xf numFmtId="3" fontId="1" fillId="3" borderId="15" xfId="0" applyNumberFormat="1" applyFont="1" applyFill="1" applyBorder="1" applyAlignment="1">
      <alignment wrapText="1"/>
    </xf>
    <xf numFmtId="3" fontId="1" fillId="0" borderId="9" xfId="0" applyNumberFormat="1" applyFont="1" applyBorder="1" applyAlignment="1">
      <alignment/>
    </xf>
    <xf numFmtId="3" fontId="6" fillId="0" borderId="7" xfId="0" applyNumberFormat="1" applyFont="1" applyBorder="1" applyAlignment="1">
      <alignment wrapText="1"/>
    </xf>
    <xf numFmtId="3" fontId="1" fillId="3" borderId="7" xfId="0" applyNumberFormat="1" applyFont="1" applyFill="1" applyBorder="1" applyAlignment="1">
      <alignment/>
    </xf>
    <xf numFmtId="3" fontId="6" fillId="0" borderId="7" xfId="0" applyNumberFormat="1" applyFont="1" applyBorder="1" applyAlignment="1">
      <alignment horizontal="right" wrapText="1"/>
    </xf>
    <xf numFmtId="3" fontId="6" fillId="0" borderId="5" xfId="0" applyNumberFormat="1" applyFont="1" applyBorder="1" applyAlignment="1">
      <alignment horizontal="right" wrapText="1"/>
    </xf>
    <xf numFmtId="0" fontId="0" fillId="4" borderId="7" xfId="0" applyFill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3" fontId="6" fillId="0" borderId="38" xfId="0" applyNumberFormat="1" applyFont="1" applyBorder="1" applyAlignment="1">
      <alignment wrapText="1"/>
    </xf>
    <xf numFmtId="3" fontId="6" fillId="0" borderId="38" xfId="0" applyNumberFormat="1" applyFont="1" applyBorder="1" applyAlignment="1">
      <alignment horizontal="right" wrapText="1"/>
    </xf>
    <xf numFmtId="3" fontId="6" fillId="0" borderId="39" xfId="0" applyNumberFormat="1" applyFont="1" applyBorder="1" applyAlignment="1">
      <alignment wrapText="1"/>
    </xf>
    <xf numFmtId="3" fontId="6" fillId="0" borderId="39" xfId="0" applyNumberFormat="1" applyFont="1" applyBorder="1" applyAlignment="1">
      <alignment horizontal="right" wrapText="1"/>
    </xf>
    <xf numFmtId="0" fontId="6" fillId="4" borderId="7" xfId="0" applyFont="1" applyFill="1" applyBorder="1" applyAlignment="1">
      <alignment/>
    </xf>
    <xf numFmtId="3" fontId="6" fillId="4" borderId="7" xfId="0" applyNumberFormat="1" applyFont="1" applyFill="1" applyBorder="1" applyAlignment="1">
      <alignment horizontal="right"/>
    </xf>
    <xf numFmtId="3" fontId="1" fillId="0" borderId="7" xfId="0" applyNumberFormat="1" applyFont="1" applyBorder="1" applyAlignment="1">
      <alignment horizontal="right" wrapText="1"/>
    </xf>
    <xf numFmtId="3" fontId="6" fillId="0" borderId="40" xfId="0" applyNumberFormat="1" applyFont="1" applyBorder="1" applyAlignment="1">
      <alignment wrapText="1"/>
    </xf>
    <xf numFmtId="3" fontId="6" fillId="0" borderId="40" xfId="0" applyNumberFormat="1" applyFont="1" applyBorder="1" applyAlignment="1">
      <alignment horizontal="right" wrapText="1"/>
    </xf>
    <xf numFmtId="3" fontId="6" fillId="2" borderId="25" xfId="0" applyNumberFormat="1" applyFont="1" applyFill="1" applyBorder="1" applyAlignment="1">
      <alignment horizontal="right" wrapText="1"/>
    </xf>
    <xf numFmtId="0" fontId="6" fillId="0" borderId="9" xfId="0" applyFont="1" applyBorder="1" applyAlignment="1">
      <alignment/>
    </xf>
    <xf numFmtId="0" fontId="6" fillId="2" borderId="9" xfId="0" applyFont="1" applyFill="1" applyBorder="1" applyAlignment="1">
      <alignment wrapText="1"/>
    </xf>
    <xf numFmtId="3" fontId="1" fillId="3" borderId="15" xfId="0" applyNumberFormat="1" applyFont="1" applyFill="1" applyBorder="1" applyAlignment="1">
      <alignment horizontal="right" wrapText="1"/>
    </xf>
    <xf numFmtId="0" fontId="1" fillId="5" borderId="9" xfId="0" applyFont="1" applyFill="1" applyBorder="1" applyAlignment="1">
      <alignment/>
    </xf>
    <xf numFmtId="0" fontId="0" fillId="5" borderId="9" xfId="0" applyFont="1" applyFill="1" applyBorder="1" applyAlignment="1">
      <alignment/>
    </xf>
    <xf numFmtId="0" fontId="6" fillId="5" borderId="9" xfId="0" applyFont="1" applyFill="1" applyBorder="1" applyAlignment="1">
      <alignment/>
    </xf>
    <xf numFmtId="3" fontId="1" fillId="5" borderId="9" xfId="0" applyNumberFormat="1" applyFont="1" applyFill="1" applyBorder="1" applyAlignment="1">
      <alignment/>
    </xf>
    <xf numFmtId="0" fontId="6" fillId="0" borderId="38" xfId="0" applyFont="1" applyBorder="1" applyAlignment="1">
      <alignment wrapText="1"/>
    </xf>
    <xf numFmtId="0" fontId="6" fillId="0" borderId="39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6" fillId="0" borderId="5" xfId="0" applyFont="1" applyBorder="1" applyAlignment="1">
      <alignment wrapText="1"/>
    </xf>
    <xf numFmtId="3" fontId="1" fillId="0" borderId="7" xfId="0" applyNumberFormat="1" applyFont="1" applyBorder="1" applyAlignment="1">
      <alignment horizontal="right"/>
    </xf>
    <xf numFmtId="3" fontId="1" fillId="3" borderId="9" xfId="0" applyNumberFormat="1" applyFont="1" applyFill="1" applyBorder="1" applyAlignment="1">
      <alignment horizontal="right" wrapText="1"/>
    </xf>
    <xf numFmtId="0" fontId="4" fillId="0" borderId="8" xfId="0" applyFont="1" applyBorder="1" applyAlignment="1">
      <alignment wrapText="1"/>
    </xf>
    <xf numFmtId="3" fontId="6" fillId="0" borderId="41" xfId="0" applyNumberFormat="1" applyFont="1" applyBorder="1" applyAlignment="1">
      <alignment wrapText="1"/>
    </xf>
    <xf numFmtId="3" fontId="6" fillId="4" borderId="38" xfId="0" applyNumberFormat="1" applyFont="1" applyFill="1" applyBorder="1" applyAlignment="1">
      <alignment horizontal="right"/>
    </xf>
    <xf numFmtId="3" fontId="6" fillId="4" borderId="40" xfId="0" applyNumberFormat="1" applyFont="1" applyFill="1" applyBorder="1" applyAlignment="1">
      <alignment horizontal="right"/>
    </xf>
    <xf numFmtId="3" fontId="6" fillId="4" borderId="42" xfId="0" applyNumberFormat="1" applyFont="1" applyFill="1" applyBorder="1" applyAlignment="1">
      <alignment horizontal="right"/>
    </xf>
    <xf numFmtId="3" fontId="6" fillId="4" borderId="5" xfId="0" applyNumberFormat="1" applyFont="1" applyFill="1" applyBorder="1" applyAlignment="1">
      <alignment horizontal="right"/>
    </xf>
    <xf numFmtId="0" fontId="0" fillId="4" borderId="7" xfId="0" applyFont="1" applyFill="1" applyBorder="1" applyAlignment="1">
      <alignment/>
    </xf>
    <xf numFmtId="3" fontId="4" fillId="0" borderId="8" xfId="0" applyNumberFormat="1" applyFont="1" applyBorder="1" applyAlignment="1">
      <alignment wrapText="1"/>
    </xf>
    <xf numFmtId="3" fontId="1" fillId="2" borderId="7" xfId="0" applyNumberFormat="1" applyFont="1" applyFill="1" applyBorder="1" applyAlignment="1">
      <alignment wrapText="1"/>
    </xf>
    <xf numFmtId="0" fontId="6" fillId="0" borderId="5" xfId="0" applyFont="1" applyBorder="1" applyAlignment="1">
      <alignment vertical="top"/>
    </xf>
    <xf numFmtId="0" fontId="16" fillId="0" borderId="10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3" fontId="16" fillId="0" borderId="5" xfId="0" applyNumberFormat="1" applyFont="1" applyBorder="1" applyAlignment="1">
      <alignment horizontal="center" wrapText="1"/>
    </xf>
    <xf numFmtId="0" fontId="16" fillId="4" borderId="5" xfId="0" applyFont="1" applyFill="1" applyBorder="1" applyAlignment="1">
      <alignment horizontal="center"/>
    </xf>
    <xf numFmtId="3" fontId="16" fillId="4" borderId="5" xfId="0" applyNumberFormat="1" applyFont="1" applyFill="1" applyBorder="1" applyAlignment="1">
      <alignment horizontal="center"/>
    </xf>
    <xf numFmtId="0" fontId="19" fillId="0" borderId="0" xfId="0" applyAlignment="1">
      <alignment/>
    </xf>
    <xf numFmtId="3" fontId="19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Alignment="1">
      <alignment/>
    </xf>
    <xf numFmtId="0" fontId="21" fillId="0" borderId="0" xfId="0" applyFont="1" applyAlignment="1">
      <alignment horizontal="left"/>
    </xf>
    <xf numFmtId="3" fontId="19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20" fillId="0" borderId="43" xfId="0" applyBorder="1" applyAlignment="1">
      <alignment horizontal="center" vertical="center"/>
    </xf>
    <xf numFmtId="0" fontId="20" fillId="0" borderId="43" xfId="0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3" xfId="0" applyFont="1" applyAlignment="1">
      <alignment horizontal="center" vertical="center" wrapText="1"/>
    </xf>
    <xf numFmtId="3" fontId="20" fillId="0" borderId="43" xfId="0" applyAlignment="1">
      <alignment horizontal="center" vertical="center" wrapText="1"/>
    </xf>
    <xf numFmtId="0" fontId="22" fillId="0" borderId="43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43" xfId="0" applyFont="1" applyBorder="1" applyAlignment="1">
      <alignment horizontal="center" vertical="center"/>
    </xf>
    <xf numFmtId="3" fontId="22" fillId="0" borderId="43" xfId="0" applyFont="1" applyAlignment="1">
      <alignment horizontal="center" vertical="center"/>
    </xf>
    <xf numFmtId="0" fontId="23" fillId="6" borderId="46" xfId="0" applyFill="1" applyBorder="1" applyAlignment="1">
      <alignment horizontal="left"/>
    </xf>
    <xf numFmtId="0" fontId="23" fillId="6" borderId="47" xfId="0" applyFill="1" applyBorder="1" applyAlignment="1">
      <alignment/>
    </xf>
    <xf numFmtId="0" fontId="23" fillId="6" borderId="48" xfId="0" applyFill="1" applyBorder="1" applyAlignment="1">
      <alignment horizontal="left"/>
    </xf>
    <xf numFmtId="3" fontId="23" fillId="6" borderId="48" xfId="0" applyNumberFormat="1" applyFill="1" applyAlignment="1">
      <alignment horizontal="right"/>
    </xf>
    <xf numFmtId="3" fontId="23" fillId="6" borderId="48" xfId="0" applyNumberFormat="1" applyFont="1" applyFill="1" applyAlignment="1">
      <alignment horizontal="right"/>
    </xf>
    <xf numFmtId="0" fontId="19" fillId="6" borderId="49" xfId="0" applyFill="1" applyBorder="1" applyAlignment="1">
      <alignment/>
    </xf>
    <xf numFmtId="0" fontId="19" fillId="6" borderId="50" xfId="0" applyFill="1" applyBorder="1" applyAlignment="1">
      <alignment/>
    </xf>
    <xf numFmtId="0" fontId="0" fillId="4" borderId="51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0" fillId="4" borderId="51" xfId="0" applyFont="1" applyFill="1" applyBorder="1" applyAlignment="1">
      <alignment/>
    </xf>
    <xf numFmtId="3" fontId="0" fillId="4" borderId="10" xfId="0" applyNumberFormat="1" applyFont="1" applyFill="1" applyBorder="1" applyAlignment="1">
      <alignment wrapText="1"/>
    </xf>
    <xf numFmtId="3" fontId="1" fillId="0" borderId="0" xfId="0" applyNumberFormat="1" applyFont="1" applyAlignment="1">
      <alignment/>
    </xf>
    <xf numFmtId="0" fontId="6" fillId="4" borderId="51" xfId="0" applyFont="1" applyFill="1" applyBorder="1" applyAlignment="1">
      <alignment/>
    </xf>
    <xf numFmtId="0" fontId="6" fillId="4" borderId="7" xfId="0" applyFont="1" applyFill="1" applyBorder="1" applyAlignment="1">
      <alignment wrapText="1"/>
    </xf>
    <xf numFmtId="3" fontId="6" fillId="4" borderId="7" xfId="0" applyNumberFormat="1" applyFont="1" applyFill="1" applyBorder="1" applyAlignment="1">
      <alignment wrapText="1"/>
    </xf>
    <xf numFmtId="3" fontId="17" fillId="4" borderId="7" xfId="0" applyNumberFormat="1" applyFont="1" applyFill="1" applyBorder="1" applyAlignment="1">
      <alignment wrapText="1"/>
    </xf>
    <xf numFmtId="3" fontId="4" fillId="4" borderId="8" xfId="0" applyNumberFormat="1" applyFont="1" applyFill="1" applyBorder="1" applyAlignment="1">
      <alignment/>
    </xf>
    <xf numFmtId="3" fontId="1" fillId="5" borderId="9" xfId="0" applyNumberFormat="1" applyFont="1" applyFill="1" applyBorder="1" applyAlignment="1">
      <alignment/>
    </xf>
    <xf numFmtId="3" fontId="18" fillId="4" borderId="7" xfId="0" applyNumberFormat="1" applyFont="1" applyFill="1" applyBorder="1" applyAlignment="1">
      <alignment wrapText="1"/>
    </xf>
    <xf numFmtId="0" fontId="6" fillId="4" borderId="52" xfId="0" applyFont="1" applyFill="1" applyBorder="1" applyAlignment="1">
      <alignment/>
    </xf>
    <xf numFmtId="0" fontId="6" fillId="0" borderId="9" xfId="0" applyFont="1" applyBorder="1" applyAlignment="1">
      <alignment/>
    </xf>
    <xf numFmtId="3" fontId="0" fillId="0" borderId="5" xfId="0" applyNumberFormat="1" applyFont="1" applyBorder="1" applyAlignment="1">
      <alignment horizontal="right"/>
    </xf>
    <xf numFmtId="0" fontId="1" fillId="3" borderId="9" xfId="0" applyFont="1" applyFill="1" applyBorder="1" applyAlignment="1">
      <alignment horizontal="center"/>
    </xf>
    <xf numFmtId="3" fontId="4" fillId="0" borderId="8" xfId="0" applyNumberFormat="1" applyFont="1" applyBorder="1" applyAlignment="1">
      <alignment horizontal="right"/>
    </xf>
    <xf numFmtId="3" fontId="6" fillId="4" borderId="53" xfId="0" applyNumberFormat="1" applyFont="1" applyFill="1" applyBorder="1" applyAlignment="1">
      <alignment horizontal="right"/>
    </xf>
    <xf numFmtId="0" fontId="26" fillId="4" borderId="53" xfId="0" applyFont="1" applyFill="1" applyBorder="1" applyAlignment="1">
      <alignment horizontal="right" vertical="center"/>
    </xf>
    <xf numFmtId="0" fontId="6" fillId="4" borderId="53" xfId="0" applyFont="1" applyFill="1" applyBorder="1" applyAlignment="1">
      <alignment horizontal="right" vertical="center"/>
    </xf>
    <xf numFmtId="0" fontId="6" fillId="4" borderId="49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3" fontId="0" fillId="2" borderId="10" xfId="0" applyNumberFormat="1" applyFont="1" applyFill="1" applyBorder="1" applyAlignment="1">
      <alignment/>
    </xf>
    <xf numFmtId="0" fontId="0" fillId="2" borderId="10" xfId="0" applyFont="1" applyFill="1" applyBorder="1" applyAlignment="1">
      <alignment wrapText="1"/>
    </xf>
    <xf numFmtId="0" fontId="0" fillId="2" borderId="1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0" borderId="32" xfId="0" applyFont="1" applyBorder="1" applyAlignment="1">
      <alignment/>
    </xf>
    <xf numFmtId="3" fontId="16" fillId="4" borderId="5" xfId="0" applyNumberFormat="1" applyFont="1" applyFill="1" applyBorder="1" applyAlignment="1">
      <alignment horizontal="right"/>
    </xf>
    <xf numFmtId="3" fontId="1" fillId="3" borderId="9" xfId="0" applyNumberFormat="1" applyFont="1" applyFill="1" applyBorder="1" applyAlignment="1">
      <alignment/>
    </xf>
    <xf numFmtId="3" fontId="4" fillId="0" borderId="8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16" fillId="0" borderId="5" xfId="0" applyNumberFormat="1" applyFont="1" applyBorder="1" applyAlignment="1">
      <alignment/>
    </xf>
    <xf numFmtId="0" fontId="16" fillId="0" borderId="5" xfId="0" applyFont="1" applyBorder="1" applyAlignment="1">
      <alignment horizontal="center"/>
    </xf>
    <xf numFmtId="3" fontId="6" fillId="0" borderId="5" xfId="0" applyNumberFormat="1" applyFont="1" applyBorder="1" applyAlignment="1">
      <alignment/>
    </xf>
    <xf numFmtId="2" fontId="6" fillId="4" borderId="49" xfId="0" applyNumberFormat="1" applyFont="1" applyFill="1" applyBorder="1" applyAlignment="1">
      <alignment horizontal="right" vertical="center"/>
    </xf>
    <xf numFmtId="3" fontId="16" fillId="4" borderId="49" xfId="0" applyNumberFormat="1" applyFont="1" applyFill="1" applyAlignment="1">
      <alignment horizontal="center" vertical="center"/>
    </xf>
    <xf numFmtId="0" fontId="16" fillId="4" borderId="49" xfId="0" applyFont="1" applyFill="1" applyAlignment="1">
      <alignment horizontal="center" vertical="center"/>
    </xf>
    <xf numFmtId="0" fontId="0" fillId="4" borderId="49" xfId="0" applyFont="1" applyFill="1" applyAlignment="1">
      <alignment horizontal="center" vertical="center"/>
    </xf>
    <xf numFmtId="3" fontId="0" fillId="6" borderId="54" xfId="0" applyNumberFormat="1" applyFont="1" applyFill="1" applyAlignment="1">
      <alignment horizontal="center" vertical="center"/>
    </xf>
    <xf numFmtId="0" fontId="0" fillId="6" borderId="49" xfId="0" applyFont="1" applyFill="1" applyAlignment="1">
      <alignment horizontal="left" vertical="center"/>
    </xf>
    <xf numFmtId="0" fontId="0" fillId="6" borderId="49" xfId="0" applyFont="1" applyFill="1" applyAlignment="1">
      <alignment horizontal="center" vertical="center"/>
    </xf>
    <xf numFmtId="3" fontId="9" fillId="6" borderId="55" xfId="0" applyNumberFormat="1" applyFont="1" applyFill="1" applyAlignment="1">
      <alignment horizontal="right"/>
    </xf>
    <xf numFmtId="0" fontId="9" fillId="6" borderId="55" xfId="0" applyFont="1" applyFill="1" applyAlignment="1">
      <alignment horizontal="center" vertical="center"/>
    </xf>
    <xf numFmtId="0" fontId="7" fillId="6" borderId="46" xfId="0" applyFont="1" applyFill="1" applyAlignment="1">
      <alignment horizontal="center" vertical="center"/>
    </xf>
    <xf numFmtId="3" fontId="27" fillId="0" borderId="43" xfId="0" applyAlignment="1">
      <alignment horizontal="center" vertical="center"/>
    </xf>
    <xf numFmtId="0" fontId="27" fillId="0" borderId="43" xfId="0" applyAlignment="1">
      <alignment horizontal="center" vertical="center"/>
    </xf>
    <xf numFmtId="0" fontId="23" fillId="0" borderId="56" xfId="0" applyAlignment="1">
      <alignment horizontal="center" vertical="top" wrapText="1"/>
    </xf>
    <xf numFmtId="0" fontId="23" fillId="0" borderId="57" xfId="0" applyAlignment="1">
      <alignment/>
    </xf>
    <xf numFmtId="3" fontId="19" fillId="0" borderId="0" xfId="0" applyNumberFormat="1" applyAlignment="1">
      <alignment/>
    </xf>
    <xf numFmtId="3" fontId="17" fillId="0" borderId="0" xfId="0" applyFont="1" applyAlignment="1">
      <alignment horizontal="right"/>
    </xf>
    <xf numFmtId="3" fontId="28" fillId="0" borderId="0" xfId="0" applyAlignment="1">
      <alignment/>
    </xf>
    <xf numFmtId="0" fontId="28" fillId="0" borderId="0" xfId="0" applyAlignment="1">
      <alignment/>
    </xf>
    <xf numFmtId="0" fontId="25" fillId="0" borderId="0" xfId="0" applyFont="1" applyFill="1" applyBorder="1" applyAlignment="1">
      <alignment wrapText="1"/>
    </xf>
    <xf numFmtId="0" fontId="21" fillId="0" borderId="0" xfId="0" applyAlignment="1">
      <alignment/>
    </xf>
    <xf numFmtId="0" fontId="21" fillId="0" borderId="0" xfId="0" applyFont="1" applyAlignment="1">
      <alignment/>
    </xf>
    <xf numFmtId="3" fontId="19" fillId="0" borderId="0" xfId="0" applyFont="1" applyAlignment="1">
      <alignment/>
    </xf>
    <xf numFmtId="0" fontId="7" fillId="2" borderId="7" xfId="0" applyFont="1" applyFill="1" applyBorder="1" applyAlignment="1">
      <alignment/>
    </xf>
    <xf numFmtId="3" fontId="9" fillId="2" borderId="7" xfId="0" applyNumberFormat="1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9" fillId="4" borderId="7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3" fontId="9" fillId="2" borderId="7" xfId="0" applyNumberFormat="1" applyFont="1" applyFill="1" applyBorder="1" applyAlignment="1">
      <alignment/>
    </xf>
    <xf numFmtId="0" fontId="7" fillId="0" borderId="27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3" fontId="9" fillId="2" borderId="9" xfId="0" applyNumberFormat="1" applyFont="1" applyFill="1" applyBorder="1" applyAlignment="1">
      <alignment/>
    </xf>
    <xf numFmtId="0" fontId="7" fillId="2" borderId="0" xfId="0" applyFont="1" applyFill="1" applyAlignment="1">
      <alignment/>
    </xf>
    <xf numFmtId="0" fontId="1" fillId="2" borderId="7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Font="1" applyFill="1" applyAlignment="1">
      <alignment horizontal="left"/>
    </xf>
    <xf numFmtId="0" fontId="5" fillId="0" borderId="0" xfId="0" applyFont="1" applyAlignment="1">
      <alignment horizontal="centerContinuous"/>
    </xf>
    <xf numFmtId="0" fontId="29" fillId="0" borderId="0" xfId="0" applyFont="1" applyAlignment="1">
      <alignment horizontal="centerContinuous"/>
    </xf>
    <xf numFmtId="0" fontId="1" fillId="7" borderId="23" xfId="0" applyFont="1" applyFill="1" applyBorder="1" applyAlignment="1">
      <alignment/>
    </xf>
    <xf numFmtId="3" fontId="1" fillId="7" borderId="23" xfId="0" applyNumberFormat="1" applyFont="1" applyFill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/>
    </xf>
    <xf numFmtId="0" fontId="0" fillId="0" borderId="5" xfId="0" applyFont="1" applyBorder="1" applyAlignment="1">
      <alignment vertical="center"/>
    </xf>
    <xf numFmtId="0" fontId="1" fillId="7" borderId="5" xfId="0" applyFont="1" applyFill="1" applyBorder="1" applyAlignment="1">
      <alignment/>
    </xf>
    <xf numFmtId="3" fontId="1" fillId="7" borderId="5" xfId="0" applyNumberFormat="1" applyFont="1" applyFill="1" applyBorder="1" applyAlignment="1">
      <alignment/>
    </xf>
    <xf numFmtId="0" fontId="30" fillId="7" borderId="3" xfId="0" applyFont="1" applyFill="1" applyBorder="1" applyAlignment="1">
      <alignment horizontal="center"/>
    </xf>
    <xf numFmtId="3" fontId="30" fillId="7" borderId="3" xfId="0" applyNumberFormat="1" applyFont="1" applyFill="1" applyBorder="1" applyAlignment="1">
      <alignment horizontal="center"/>
    </xf>
    <xf numFmtId="0" fontId="0" fillId="0" borderId="7" xfId="0" applyFont="1" applyBorder="1" applyAlignment="1">
      <alignment vertical="center"/>
    </xf>
    <xf numFmtId="0" fontId="1" fillId="7" borderId="7" xfId="0" applyFont="1" applyFill="1" applyBorder="1" applyAlignment="1">
      <alignment horizontal="center"/>
    </xf>
    <xf numFmtId="3" fontId="1" fillId="7" borderId="7" xfId="0" applyNumberFormat="1" applyFont="1" applyFill="1" applyBorder="1" applyAlignment="1">
      <alignment horizontal="center"/>
    </xf>
    <xf numFmtId="3" fontId="0" fillId="0" borderId="41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30" fillId="7" borderId="23" xfId="0" applyNumberFormat="1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3" fontId="16" fillId="0" borderId="5" xfId="0" applyNumberFormat="1" applyFont="1" applyBorder="1" applyAlignment="1">
      <alignment horizontal="center"/>
    </xf>
    <xf numFmtId="0" fontId="4" fillId="2" borderId="8" xfId="0" applyFont="1" applyFill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0" fillId="0" borderId="29" xfId="0" applyFont="1" applyBorder="1" applyAlignment="1">
      <alignment/>
    </xf>
    <xf numFmtId="3" fontId="0" fillId="0" borderId="29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6" fillId="2" borderId="39" xfId="0" applyNumberFormat="1" applyFont="1" applyFill="1" applyBorder="1" applyAlignment="1">
      <alignment horizontal="right" wrapText="1"/>
    </xf>
    <xf numFmtId="0" fontId="6" fillId="0" borderId="58" xfId="0" applyFont="1" applyBorder="1" applyAlignment="1">
      <alignment wrapText="1"/>
    </xf>
    <xf numFmtId="3" fontId="6" fillId="0" borderId="58" xfId="0" applyNumberFormat="1" applyFont="1" applyBorder="1" applyAlignment="1">
      <alignment/>
    </xf>
    <xf numFmtId="0" fontId="6" fillId="0" borderId="59" xfId="0" applyFont="1" applyBorder="1" applyAlignment="1">
      <alignment wrapText="1"/>
    </xf>
    <xf numFmtId="3" fontId="6" fillId="0" borderId="40" xfId="0" applyNumberFormat="1" applyFont="1" applyBorder="1" applyAlignment="1">
      <alignment/>
    </xf>
    <xf numFmtId="0" fontId="6" fillId="0" borderId="60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21" xfId="0" applyFont="1" applyBorder="1" applyAlignment="1">
      <alignment/>
    </xf>
    <xf numFmtId="3" fontId="0" fillId="0" borderId="21" xfId="0" applyNumberFormat="1" applyFont="1" applyBorder="1" applyAlignment="1">
      <alignment horizontal="right"/>
    </xf>
    <xf numFmtId="0" fontId="25" fillId="4" borderId="61" xfId="0" applyFont="1" applyFill="1" applyBorder="1" applyAlignment="1">
      <alignment/>
    </xf>
    <xf numFmtId="0" fontId="4" fillId="4" borderId="52" xfId="0" applyFont="1" applyFill="1" applyBorder="1" applyAlignment="1">
      <alignment/>
    </xf>
    <xf numFmtId="3" fontId="0" fillId="0" borderId="24" xfId="0" applyNumberFormat="1" applyFont="1" applyBorder="1" applyAlignment="1">
      <alignment wrapText="1"/>
    </xf>
    <xf numFmtId="0" fontId="4" fillId="4" borderId="7" xfId="0" applyFont="1" applyFill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6" fillId="2" borderId="38" xfId="0" applyNumberFormat="1" applyFont="1" applyFill="1" applyBorder="1" applyAlignment="1">
      <alignment horizontal="right" wrapText="1"/>
    </xf>
    <xf numFmtId="3" fontId="0" fillId="0" borderId="24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1" fillId="3" borderId="7" xfId="0" applyNumberFormat="1" applyFont="1" applyFill="1" applyBorder="1" applyAlignment="1">
      <alignment horizontal="right" wrapText="1"/>
    </xf>
    <xf numFmtId="0" fontId="6" fillId="0" borderId="9" xfId="0" applyFont="1" applyBorder="1" applyAlignment="1">
      <alignment wrapText="1"/>
    </xf>
    <xf numFmtId="3" fontId="1" fillId="3" borderId="23" xfId="0" applyNumberFormat="1" applyFont="1" applyFill="1" applyBorder="1" applyAlignment="1">
      <alignment wrapText="1"/>
    </xf>
    <xf numFmtId="3" fontId="6" fillId="0" borderId="9" xfId="0" applyNumberFormat="1" applyFont="1" applyBorder="1" applyAlignment="1">
      <alignment wrapText="1"/>
    </xf>
    <xf numFmtId="3" fontId="6" fillId="2" borderId="5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3" fontId="6" fillId="0" borderId="40" xfId="0" applyNumberFormat="1" applyFont="1" applyBorder="1" applyAlignment="1">
      <alignment/>
    </xf>
    <xf numFmtId="0" fontId="10" fillId="0" borderId="25" xfId="0" applyFont="1" applyBorder="1" applyAlignment="1">
      <alignment horizontal="left" wrapText="1"/>
    </xf>
    <xf numFmtId="0" fontId="1" fillId="3" borderId="7" xfId="0" applyFont="1" applyFill="1" applyBorder="1" applyAlignment="1">
      <alignment horizontal="right"/>
    </xf>
    <xf numFmtId="0" fontId="1" fillId="2" borderId="15" xfId="0" applyFont="1" applyFill="1" applyBorder="1" applyAlignment="1">
      <alignment/>
    </xf>
    <xf numFmtId="0" fontId="1" fillId="2" borderId="15" xfId="0" applyFont="1" applyFill="1" applyBorder="1" applyAlignment="1">
      <alignment wrapText="1"/>
    </xf>
    <xf numFmtId="3" fontId="1" fillId="2" borderId="7" xfId="0" applyNumberFormat="1" applyFont="1" applyFill="1" applyBorder="1" applyAlignment="1">
      <alignment horizontal="right" wrapText="1"/>
    </xf>
    <xf numFmtId="0" fontId="0" fillId="2" borderId="31" xfId="0" applyFont="1" applyFill="1" applyBorder="1" applyAlignment="1">
      <alignment wrapText="1"/>
    </xf>
    <xf numFmtId="0" fontId="6" fillId="2" borderId="5" xfId="0" applyFont="1" applyFill="1" applyBorder="1" applyAlignment="1">
      <alignment horizontal="right"/>
    </xf>
    <xf numFmtId="0" fontId="6" fillId="2" borderId="5" xfId="0" applyFont="1" applyFill="1" applyBorder="1" applyAlignment="1">
      <alignment/>
    </xf>
    <xf numFmtId="0" fontId="6" fillId="2" borderId="7" xfId="0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wrapText="1"/>
    </xf>
    <xf numFmtId="3" fontId="0" fillId="2" borderId="31" xfId="0" applyNumberFormat="1" applyFont="1" applyFill="1" applyBorder="1" applyAlignment="1">
      <alignment wrapText="1"/>
    </xf>
    <xf numFmtId="3" fontId="6" fillId="2" borderId="15" xfId="0" applyNumberFormat="1" applyFont="1" applyFill="1" applyBorder="1" applyAlignment="1">
      <alignment wrapText="1"/>
    </xf>
    <xf numFmtId="0" fontId="6" fillId="4" borderId="5" xfId="0" applyFont="1" applyFill="1" applyBorder="1" applyAlignment="1">
      <alignment horizontal="left"/>
    </xf>
    <xf numFmtId="3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3" fontId="4" fillId="2" borderId="8" xfId="0" applyNumberFormat="1" applyFont="1" applyFill="1" applyBorder="1" applyAlignment="1">
      <alignment wrapText="1"/>
    </xf>
    <xf numFmtId="0" fontId="31" fillId="4" borderId="6" xfId="0" applyFont="1" applyFill="1" applyBorder="1" applyAlignment="1">
      <alignment horizontal="left" vertical="center"/>
    </xf>
    <xf numFmtId="3" fontId="31" fillId="4" borderId="6" xfId="0" applyNumberFormat="1" applyFont="1" applyFill="1" applyBorder="1" applyAlignment="1">
      <alignment horizontal="left" vertical="center"/>
    </xf>
    <xf numFmtId="3" fontId="31" fillId="4" borderId="6" xfId="0" applyNumberFormat="1" applyFont="1" applyFill="1" applyBorder="1" applyAlignment="1">
      <alignment horizontal="right" vertical="center"/>
    </xf>
    <xf numFmtId="1" fontId="19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Alignment="1">
      <alignment/>
    </xf>
    <xf numFmtId="3" fontId="19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center"/>
    </xf>
    <xf numFmtId="3" fontId="22" fillId="0" borderId="27" xfId="0" applyNumberFormat="1" applyFont="1" applyFill="1" applyBorder="1" applyAlignment="1">
      <alignment horizontal="center"/>
    </xf>
    <xf numFmtId="3" fontId="22" fillId="0" borderId="5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3" fontId="22" fillId="0" borderId="5" xfId="0" applyNumberFormat="1" applyFont="1" applyFill="1" applyBorder="1" applyAlignment="1">
      <alignment horizontal="left"/>
    </xf>
    <xf numFmtId="3" fontId="22" fillId="0" borderId="15" xfId="0" applyNumberFormat="1" applyFont="1" applyFill="1" applyBorder="1" applyAlignment="1">
      <alignment horizontal="center"/>
    </xf>
    <xf numFmtId="3" fontId="22" fillId="0" borderId="7" xfId="0" applyNumberFormat="1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3" fontId="27" fillId="0" borderId="9" xfId="0" applyNumberFormat="1" applyFont="1" applyFill="1" applyBorder="1" applyAlignment="1">
      <alignment horizontal="center"/>
    </xf>
    <xf numFmtId="3" fontId="27" fillId="0" borderId="32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1" fontId="25" fillId="0" borderId="27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left" wrapText="1"/>
    </xf>
    <xf numFmtId="3" fontId="25" fillId="0" borderId="62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1" fontId="32" fillId="0" borderId="30" xfId="0" applyNumberFormat="1" applyFont="1" applyFill="1" applyBorder="1" applyAlignment="1">
      <alignment horizontal="center"/>
    </xf>
    <xf numFmtId="3" fontId="23" fillId="0" borderId="5" xfId="0" applyNumberFormat="1" applyFont="1" applyFill="1" applyBorder="1" applyAlignment="1">
      <alignment horizontal="center" vertical="center"/>
    </xf>
    <xf numFmtId="3" fontId="23" fillId="0" borderId="26" xfId="0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>
      <alignment horizontal="center"/>
    </xf>
    <xf numFmtId="1" fontId="20" fillId="0" borderId="63" xfId="0" applyNumberFormat="1" applyFont="1" applyFill="1" applyBorder="1" applyAlignment="1">
      <alignment horizontal="center"/>
    </xf>
    <xf numFmtId="3" fontId="20" fillId="0" borderId="64" xfId="0" applyNumberFormat="1" applyFont="1" applyFill="1" applyBorder="1" applyAlignment="1">
      <alignment horizontal="left" vertical="center"/>
    </xf>
    <xf numFmtId="3" fontId="20" fillId="0" borderId="64" xfId="0" applyNumberFormat="1" applyFont="1" applyFill="1" applyBorder="1" applyAlignment="1">
      <alignment horizontal="right" wrapText="1"/>
    </xf>
    <xf numFmtId="3" fontId="19" fillId="0" borderId="0" xfId="0" applyNumberFormat="1" applyFont="1" applyFill="1" applyBorder="1" applyAlignment="1">
      <alignment horizontal="center"/>
    </xf>
    <xf numFmtId="1" fontId="19" fillId="0" borderId="28" xfId="0" applyNumberFormat="1" applyFont="1" applyFill="1" applyBorder="1" applyAlignment="1">
      <alignment horizontal="center"/>
    </xf>
    <xf numFmtId="3" fontId="19" fillId="0" borderId="9" xfId="0" applyNumberFormat="1" applyFont="1" applyFill="1" applyBorder="1" applyAlignment="1">
      <alignment vertical="center"/>
    </xf>
    <xf numFmtId="3" fontId="19" fillId="0" borderId="9" xfId="0" applyNumberFormat="1" applyFont="1" applyFill="1" applyBorder="1" applyAlignment="1">
      <alignment/>
    </xf>
    <xf numFmtId="1" fontId="19" fillId="0" borderId="65" xfId="0" applyNumberFormat="1" applyFont="1" applyFill="1" applyBorder="1" applyAlignment="1">
      <alignment horizontal="center" vertical="center"/>
    </xf>
    <xf numFmtId="3" fontId="20" fillId="0" borderId="64" xfId="15" applyNumberFormat="1" applyFont="1" applyFill="1" applyBorder="1" applyAlignment="1">
      <alignment horizontal="right"/>
    </xf>
    <xf numFmtId="3" fontId="19" fillId="0" borderId="7" xfId="15" applyNumberFormat="1" applyFont="1" applyFill="1" applyBorder="1" applyAlignment="1">
      <alignment horizontal="right"/>
    </xf>
    <xf numFmtId="1" fontId="20" fillId="0" borderId="66" xfId="0" applyNumberFormat="1" applyFont="1" applyFill="1" applyBorder="1" applyAlignment="1">
      <alignment horizontal="center" vertical="center"/>
    </xf>
    <xf numFmtId="1" fontId="19" fillId="0" borderId="67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3" fontId="19" fillId="0" borderId="9" xfId="15" applyNumberFormat="1" applyFont="1" applyFill="1" applyBorder="1" applyAlignment="1">
      <alignment horizontal="right"/>
    </xf>
    <xf numFmtId="1" fontId="19" fillId="0" borderId="19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vertical="center"/>
    </xf>
    <xf numFmtId="3" fontId="19" fillId="0" borderId="10" xfId="15" applyNumberFormat="1" applyFont="1" applyFill="1" applyBorder="1" applyAlignment="1">
      <alignment horizontal="right"/>
    </xf>
    <xf numFmtId="1" fontId="25" fillId="0" borderId="19" xfId="0" applyNumberFormat="1" applyFont="1" applyFill="1" applyBorder="1" applyAlignment="1">
      <alignment horizontal="center"/>
    </xf>
    <xf numFmtId="3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/>
    </xf>
    <xf numFmtId="1" fontId="19" fillId="0" borderId="7" xfId="0" applyNumberFormat="1" applyFont="1" applyFill="1" applyBorder="1" applyAlignment="1">
      <alignment vertical="center" wrapText="1"/>
    </xf>
    <xf numFmtId="1" fontId="19" fillId="0" borderId="9" xfId="0" applyNumberFormat="1" applyFont="1" applyFill="1" applyBorder="1" applyAlignment="1">
      <alignment vertical="center" wrapText="1"/>
    </xf>
    <xf numFmtId="3" fontId="25" fillId="0" borderId="32" xfId="0" applyNumberFormat="1" applyFont="1" applyFill="1" applyBorder="1" applyAlignment="1">
      <alignment horizontal="center"/>
    </xf>
    <xf numFmtId="3" fontId="27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/>
    </xf>
    <xf numFmtId="3" fontId="23" fillId="0" borderId="5" xfId="0" applyNumberFormat="1" applyFont="1" applyFill="1" applyBorder="1" applyAlignment="1">
      <alignment horizontal="right"/>
    </xf>
    <xf numFmtId="3" fontId="27" fillId="0" borderId="68" xfId="0" applyNumberFormat="1" applyFont="1" applyFill="1" applyBorder="1" applyAlignment="1">
      <alignment horizontal="center"/>
    </xf>
    <xf numFmtId="3" fontId="20" fillId="0" borderId="69" xfId="0" applyNumberFormat="1" applyFont="1" applyFill="1" applyBorder="1" applyAlignment="1">
      <alignment horizontal="right" wrapText="1"/>
    </xf>
    <xf numFmtId="3" fontId="19" fillId="0" borderId="68" xfId="0" applyNumberFormat="1" applyFont="1" applyFill="1" applyBorder="1" applyAlignment="1">
      <alignment/>
    </xf>
    <xf numFmtId="3" fontId="19" fillId="0" borderId="68" xfId="15" applyNumberFormat="1" applyFont="1" applyFill="1" applyBorder="1" applyAlignment="1">
      <alignment horizontal="right"/>
    </xf>
    <xf numFmtId="3" fontId="19" fillId="0" borderId="32" xfId="15" applyNumberFormat="1" applyFont="1" applyFill="1" applyBorder="1" applyAlignment="1">
      <alignment horizontal="right"/>
    </xf>
    <xf numFmtId="3" fontId="20" fillId="0" borderId="69" xfId="15" applyNumberFormat="1" applyFont="1" applyFill="1" applyBorder="1" applyAlignment="1">
      <alignment horizontal="right"/>
    </xf>
    <xf numFmtId="3" fontId="19" fillId="0" borderId="20" xfId="15" applyNumberFormat="1" applyFont="1" applyFill="1" applyBorder="1" applyAlignment="1">
      <alignment horizontal="right"/>
    </xf>
    <xf numFmtId="0" fontId="0" fillId="4" borderId="9" xfId="0" applyFont="1" applyFill="1" applyBorder="1" applyAlignment="1">
      <alignment/>
    </xf>
    <xf numFmtId="0" fontId="6" fillId="4" borderId="9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24" fillId="8" borderId="49" xfId="0" applyNumberFormat="1" applyFill="1" applyBorder="1" applyAlignment="1">
      <alignment horizontal="center"/>
    </xf>
    <xf numFmtId="0" fontId="16" fillId="4" borderId="70" xfId="0" applyFont="1" applyFill="1" applyBorder="1" applyAlignment="1">
      <alignment horizontal="center"/>
    </xf>
    <xf numFmtId="3" fontId="24" fillId="8" borderId="71" xfId="0" applyNumberFormat="1" applyFont="1" applyFill="1" applyBorder="1" applyAlignment="1">
      <alignment horizontal="center"/>
    </xf>
    <xf numFmtId="0" fontId="0" fillId="0" borderId="72" xfId="0" applyFont="1" applyBorder="1" applyAlignment="1">
      <alignment wrapText="1"/>
    </xf>
    <xf numFmtId="3" fontId="0" fillId="0" borderId="72" xfId="0" applyNumberFormat="1" applyFont="1" applyBorder="1" applyAlignment="1">
      <alignment/>
    </xf>
    <xf numFmtId="0" fontId="4" fillId="0" borderId="7" xfId="0" applyFont="1" applyBorder="1" applyAlignment="1">
      <alignment/>
    </xf>
    <xf numFmtId="3" fontId="6" fillId="0" borderId="42" xfId="0" applyNumberFormat="1" applyFont="1" applyBorder="1" applyAlignment="1">
      <alignment/>
    </xf>
    <xf numFmtId="3" fontId="6" fillId="2" borderId="7" xfId="0" applyNumberFormat="1" applyFont="1" applyFill="1" applyBorder="1" applyAlignment="1">
      <alignment wrapText="1"/>
    </xf>
    <xf numFmtId="0" fontId="31" fillId="4" borderId="6" xfId="0" applyFont="1" applyFill="1" applyBorder="1" applyAlignment="1">
      <alignment horizontal="left"/>
    </xf>
    <xf numFmtId="3" fontId="31" fillId="4" borderId="6" xfId="0" applyNumberFormat="1" applyFont="1" applyFill="1" applyBorder="1" applyAlignment="1">
      <alignment horizontal="right"/>
    </xf>
    <xf numFmtId="3" fontId="31" fillId="4" borderId="6" xfId="0" applyNumberFormat="1" applyFont="1" applyFill="1" applyBorder="1" applyAlignment="1">
      <alignment horizontal="left"/>
    </xf>
    <xf numFmtId="3" fontId="6" fillId="2" borderId="15" xfId="0" applyNumberFormat="1" applyFont="1" applyFill="1" applyBorder="1" applyAlignment="1">
      <alignment horizontal="right" wrapText="1"/>
    </xf>
    <xf numFmtId="3" fontId="0" fillId="0" borderId="5" xfId="0" applyNumberFormat="1" applyFont="1" applyBorder="1" applyAlignment="1">
      <alignment horizontal="right" wrapText="1"/>
    </xf>
    <xf numFmtId="3" fontId="6" fillId="0" borderId="42" xfId="0" applyNumberFormat="1" applyFont="1" applyBorder="1" applyAlignment="1">
      <alignment wrapText="1"/>
    </xf>
    <xf numFmtId="3" fontId="6" fillId="0" borderId="5" xfId="0" applyNumberFormat="1" applyFont="1" applyBorder="1" applyAlignment="1">
      <alignment wrapText="1"/>
    </xf>
    <xf numFmtId="3" fontId="6" fillId="4" borderId="39" xfId="0" applyNumberFormat="1" applyFont="1" applyFill="1" applyBorder="1" applyAlignment="1">
      <alignment horizontal="right"/>
    </xf>
    <xf numFmtId="3" fontId="6" fillId="2" borderId="25" xfId="0" applyNumberFormat="1" applyFont="1" applyFill="1" applyBorder="1" applyAlignment="1">
      <alignment wrapText="1"/>
    </xf>
    <xf numFmtId="3" fontId="17" fillId="0" borderId="0" xfId="0" applyNumberFormat="1" applyFont="1" applyFill="1" applyAlignment="1">
      <alignment horizontal="right"/>
    </xf>
    <xf numFmtId="0" fontId="6" fillId="0" borderId="0" xfId="0" applyFont="1" applyBorder="1" applyAlignment="1">
      <alignment/>
    </xf>
    <xf numFmtId="3" fontId="7" fillId="0" borderId="24" xfId="0" applyNumberFormat="1" applyFont="1" applyBorder="1" applyAlignment="1">
      <alignment/>
    </xf>
    <xf numFmtId="0" fontId="6" fillId="4" borderId="28" xfId="0" applyFont="1" applyFill="1" applyBorder="1" applyAlignment="1">
      <alignment wrapText="1"/>
    </xf>
    <xf numFmtId="3" fontId="6" fillId="4" borderId="9" xfId="0" applyNumberFormat="1" applyFont="1" applyFill="1" applyBorder="1" applyAlignment="1">
      <alignment wrapText="1"/>
    </xf>
    <xf numFmtId="3" fontId="18" fillId="4" borderId="9" xfId="0" applyNumberFormat="1" applyFont="1" applyFill="1" applyBorder="1" applyAlignment="1">
      <alignment wrapText="1"/>
    </xf>
    <xf numFmtId="3" fontId="17" fillId="4" borderId="9" xfId="0" applyNumberFormat="1" applyFont="1" applyFill="1" applyBorder="1" applyAlignment="1">
      <alignment wrapText="1"/>
    </xf>
    <xf numFmtId="0" fontId="6" fillId="2" borderId="9" xfId="0" applyFont="1" applyFill="1" applyBorder="1" applyAlignment="1">
      <alignment/>
    </xf>
    <xf numFmtId="3" fontId="6" fillId="2" borderId="9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5" xfId="0" applyNumberFormat="1" applyFont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/>
    </xf>
    <xf numFmtId="3" fontId="6" fillId="0" borderId="19" xfId="0" applyNumberFormat="1" applyFont="1" applyBorder="1" applyAlignment="1">
      <alignment horizontal="right"/>
    </xf>
    <xf numFmtId="1" fontId="19" fillId="0" borderId="27" xfId="0" applyNumberFormat="1" applyFont="1" applyFill="1" applyBorder="1" applyAlignment="1">
      <alignment horizontal="center"/>
    </xf>
    <xf numFmtId="3" fontId="19" fillId="0" borderId="5" xfId="0" applyNumberFormat="1" applyFont="1" applyFill="1" applyBorder="1" applyAlignment="1">
      <alignment horizontal="right" wrapText="1"/>
    </xf>
    <xf numFmtId="3" fontId="19" fillId="0" borderId="26" xfId="0" applyNumberFormat="1" applyFont="1" applyFill="1" applyBorder="1" applyAlignment="1">
      <alignment horizontal="right" wrapText="1"/>
    </xf>
    <xf numFmtId="3" fontId="22" fillId="0" borderId="26" xfId="0" applyNumberFormat="1" applyFont="1" applyFill="1" applyBorder="1" applyAlignment="1">
      <alignment horizontal="center"/>
    </xf>
    <xf numFmtId="3" fontId="22" fillId="0" borderId="20" xfId="0" applyNumberFormat="1" applyFont="1" applyFill="1" applyBorder="1" applyAlignment="1">
      <alignment horizontal="center"/>
    </xf>
    <xf numFmtId="1" fontId="20" fillId="0" borderId="67" xfId="0" applyNumberFormat="1" applyFont="1" applyFill="1" applyBorder="1" applyAlignment="1">
      <alignment horizontal="center"/>
    </xf>
    <xf numFmtId="3" fontId="19" fillId="0" borderId="73" xfId="0" applyNumberFormat="1" applyFont="1" applyFill="1" applyBorder="1" applyAlignment="1">
      <alignment horizontal="left"/>
    </xf>
    <xf numFmtId="3" fontId="19" fillId="0" borderId="74" xfId="15" applyNumberFormat="1" applyFont="1" applyFill="1" applyBorder="1" applyAlignment="1">
      <alignment horizontal="center" vertical="center"/>
    </xf>
    <xf numFmtId="3" fontId="19" fillId="0" borderId="75" xfId="0" applyNumberFormat="1" applyFont="1" applyFill="1" applyBorder="1" applyAlignment="1">
      <alignment/>
    </xf>
    <xf numFmtId="0" fontId="0" fillId="0" borderId="23" xfId="0" applyFont="1" applyBorder="1" applyAlignment="1">
      <alignment horizontal="center" wrapText="1"/>
    </xf>
    <xf numFmtId="3" fontId="25" fillId="0" borderId="32" xfId="0" applyNumberFormat="1" applyFont="1" applyFill="1" applyBorder="1" applyAlignment="1">
      <alignment/>
    </xf>
    <xf numFmtId="3" fontId="25" fillId="0" borderId="76" xfId="0" applyNumberFormat="1" applyFont="1" applyFill="1" applyBorder="1" applyAlignment="1">
      <alignment/>
    </xf>
    <xf numFmtId="3" fontId="25" fillId="0" borderId="64" xfId="0" applyNumberFormat="1" applyFont="1" applyFill="1" applyBorder="1" applyAlignment="1">
      <alignment/>
    </xf>
    <xf numFmtId="3" fontId="25" fillId="0" borderId="26" xfId="0" applyNumberFormat="1" applyFont="1" applyFill="1" applyBorder="1" applyAlignment="1">
      <alignment/>
    </xf>
    <xf numFmtId="3" fontId="25" fillId="0" borderId="4" xfId="0" applyNumberFormat="1" applyFont="1" applyFill="1" applyBorder="1" applyAlignment="1">
      <alignment/>
    </xf>
    <xf numFmtId="0" fontId="6" fillId="0" borderId="19" xfId="0" applyFont="1" applyBorder="1" applyAlignment="1">
      <alignment wrapText="1"/>
    </xf>
    <xf numFmtId="3" fontId="6" fillId="0" borderId="19" xfId="0" applyNumberFormat="1" applyFont="1" applyBorder="1" applyAlignment="1">
      <alignment/>
    </xf>
    <xf numFmtId="0" fontId="6" fillId="0" borderId="42" xfId="0" applyFont="1" applyBorder="1" applyAlignment="1">
      <alignment wrapText="1"/>
    </xf>
    <xf numFmtId="3" fontId="6" fillId="0" borderId="42" xfId="0" applyNumberFormat="1" applyFont="1" applyBorder="1" applyAlignment="1">
      <alignment horizontal="right" wrapText="1"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 wrapText="1"/>
    </xf>
    <xf numFmtId="3" fontId="0" fillId="0" borderId="9" xfId="0" applyNumberFormat="1" applyFont="1" applyBorder="1" applyAlignment="1">
      <alignment horizontal="right" wrapText="1"/>
    </xf>
    <xf numFmtId="3" fontId="6" fillId="2" borderId="41" xfId="0" applyNumberFormat="1" applyFont="1" applyFill="1" applyBorder="1" applyAlignment="1">
      <alignment horizontal="right" wrapText="1"/>
    </xf>
    <xf numFmtId="3" fontId="6" fillId="2" borderId="19" xfId="0" applyNumberFormat="1" applyFont="1" applyFill="1" applyBorder="1" applyAlignment="1">
      <alignment horizontal="right" wrapText="1"/>
    </xf>
    <xf numFmtId="3" fontId="6" fillId="0" borderId="19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3" fontId="6" fillId="0" borderId="41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3" fontId="6" fillId="0" borderId="19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3" fontId="1" fillId="5" borderId="53" xfId="0" applyNumberFormat="1" applyFont="1" applyFill="1" applyBorder="1" applyAlignment="1">
      <alignment horizontal="right"/>
    </xf>
    <xf numFmtId="3" fontId="0" fillId="4" borderId="10" xfId="0" applyNumberFormat="1" applyFont="1" applyFill="1" applyBorder="1" applyAlignment="1">
      <alignment horizontal="right"/>
    </xf>
    <xf numFmtId="3" fontId="30" fillId="4" borderId="10" xfId="0" applyNumberFormat="1" applyFont="1" applyFill="1" applyBorder="1" applyAlignment="1">
      <alignment horizontal="right"/>
    </xf>
    <xf numFmtId="3" fontId="6" fillId="4" borderId="49" xfId="0" applyNumberFormat="1" applyFont="1" applyFill="1" applyBorder="1" applyAlignment="1">
      <alignment horizontal="right"/>
    </xf>
    <xf numFmtId="3" fontId="0" fillId="4" borderId="49" xfId="0" applyNumberFormat="1" applyFont="1" applyFill="1" applyBorder="1" applyAlignment="1">
      <alignment horizontal="right"/>
    </xf>
    <xf numFmtId="3" fontId="0" fillId="4" borderId="5" xfId="0" applyNumberFormat="1" applyFont="1" applyFill="1" applyBorder="1" applyAlignment="1">
      <alignment horizontal="right"/>
    </xf>
    <xf numFmtId="3" fontId="1" fillId="5" borderId="7" xfId="0" applyNumberFormat="1" applyFont="1" applyFill="1" applyBorder="1" applyAlignment="1">
      <alignment horizontal="right"/>
    </xf>
    <xf numFmtId="3" fontId="4" fillId="4" borderId="8" xfId="0" applyNumberFormat="1" applyFont="1" applyFill="1" applyBorder="1" applyAlignment="1">
      <alignment horizontal="right"/>
    </xf>
    <xf numFmtId="3" fontId="33" fillId="4" borderId="5" xfId="0" applyNumberFormat="1" applyFont="1" applyFill="1" applyBorder="1" applyAlignment="1">
      <alignment horizontal="right"/>
    </xf>
    <xf numFmtId="3" fontId="33" fillId="4" borderId="10" xfId="0" applyNumberFormat="1" applyFont="1" applyFill="1" applyBorder="1" applyAlignment="1">
      <alignment horizontal="right"/>
    </xf>
    <xf numFmtId="3" fontId="30" fillId="4" borderId="5" xfId="0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17" fillId="0" borderId="77" xfId="0" applyNumberFormat="1" applyFont="1" applyFill="1" applyBorder="1" applyAlignment="1">
      <alignment/>
    </xf>
    <xf numFmtId="3" fontId="17" fillId="0" borderId="78" xfId="0" applyNumberFormat="1" applyFont="1" applyFill="1" applyBorder="1" applyAlignment="1">
      <alignment/>
    </xf>
    <xf numFmtId="3" fontId="17" fillId="0" borderId="26" xfId="0" applyNumberFormat="1" applyFont="1" applyFill="1" applyBorder="1" applyAlignment="1">
      <alignment/>
    </xf>
    <xf numFmtId="3" fontId="17" fillId="0" borderId="9" xfId="0" applyNumberFormat="1" applyFont="1" applyFill="1" applyBorder="1" applyAlignment="1">
      <alignment/>
    </xf>
    <xf numFmtId="3" fontId="1" fillId="2" borderId="79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3" fontId="19" fillId="0" borderId="74" xfId="15" applyNumberFormat="1" applyFont="1" applyFill="1" applyBorder="1" applyAlignment="1">
      <alignment horizontal="center" wrapText="1"/>
    </xf>
    <xf numFmtId="0" fontId="0" fillId="0" borderId="80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23" fillId="0" borderId="57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/>
    </xf>
    <xf numFmtId="0" fontId="23" fillId="0" borderId="57" xfId="0" applyFont="1" applyAlignment="1">
      <alignment horizontal="center" vertical="center" wrapText="1"/>
    </xf>
    <xf numFmtId="3" fontId="23" fillId="0" borderId="5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5" name="Line 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6" name="Line 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" name="Line 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8" name="Line 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9" name="Line 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0" name="Line 1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" name="Line 1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" name="Line 1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" name="Line 1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" name="Line 1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" name="Line 1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" name="Line 1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" name="Line 1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" name="Line 1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" name="Line 1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" name="Line 2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" name="Line 2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2" name="Line 22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3" name="Line 2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" name="Line 2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5" name="Line 2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6" name="Line 2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7" name="Line 2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" name="Line 2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9" name="Line 2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0" name="Line 3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1" name="Line 3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2" name="Line 3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3" name="Line 3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4" name="Line 3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5" name="Line 3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6" name="Line 3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7" name="Line 3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8" name="Line 3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9" name="Line 3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0" name="Line 4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1" name="Line 4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2" name="Line 4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43" name="Line 43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4" name="Line 4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5" name="Line 4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6" name="Line 4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7" name="Line 4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8" name="Line 4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9" name="Line 4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0" name="Line 5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1" name="Line 5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2" name="Line 5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3" name="Line 5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4" name="Line 5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5" name="Line 5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6" name="Line 5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7" name="Line 5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8" name="Line 5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9" name="Line 5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0" name="Line 6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1" name="Line 6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2" name="Line 6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3" name="Line 6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64" name="Line 64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65" name="Line 6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66" name="Line 6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67" name="Line 6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68" name="Line 6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0" name="Line 7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1" name="Line 7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2" name="Line 7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3" name="Line 7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4" name="Line 7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5" name="Line 7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6" name="Line 7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7" name="Line 7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8" name="Line 7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9" name="Line 7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0" name="Line 8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1" name="Line 8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2" name="Line 8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3" name="Line 8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4" name="Line 8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85" name="Line 85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86" name="Line 8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87" name="Line 8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88" name="Line 8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89" name="Line 8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90" name="Line 9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1" name="Line 9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92" name="Line 9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93" name="Line 9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5" name="Line 9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6" name="Line 9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7" name="Line 9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8" name="Line 9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9" name="Line 9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0" name="Line 10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1" name="Line 10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2" name="Line 10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3" name="Line 10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4" name="Line 10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5" name="Line 10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06" name="Line 106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07" name="Line 10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08" name="Line 10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09" name="Line 10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10" name="Line 11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11" name="Line 11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2" name="Line 11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13" name="Line 11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14" name="Line 11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15" name="Line 11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6" name="Line 11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7" name="Line 11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8" name="Line 11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9" name="Line 11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0" name="Line 12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1" name="Line 12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2" name="Line 12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3" name="Line 12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4" name="Line 12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5" name="Line 12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6" name="Line 12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27" name="Line 127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28" name="Line 12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29" name="Line 12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30" name="Line 13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31" name="Line 13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32" name="Line 13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3" name="Line 13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34" name="Line 13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35" name="Line 13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36" name="Line 13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7" name="Line 13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8" name="Line 13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9" name="Line 13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0" name="Line 14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1" name="Line 14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2" name="Line 14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3" name="Line 14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4" name="Line 14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5" name="Line 14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6" name="Line 14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7" name="Line 14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48" name="Line 148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49" name="Line 14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50" name="Line 15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51" name="Line 15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2" name="Line 15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53" name="Line 15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55" name="Line 15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6" name="Line 15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7" name="Line 15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8" name="Line 15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9" name="Line 15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0" name="Line 16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1" name="Line 16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3" name="Line 16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4" name="Line 16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5" name="Line 16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6" name="Line 16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7" name="Line 16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8" name="Line 16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69" name="Line 169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70" name="Line 17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71" name="Line 17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72" name="Line 17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3" name="Line 17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74" name="Line 17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5" name="Line 17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76" name="Line 17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7" name="Line 17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8" name="Line 17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9" name="Line 17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1" name="Line 18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2" name="Line 18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3" name="Line 18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4" name="Line 18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5" name="Line 18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6" name="Line 18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7" name="Line 18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8" name="Line 18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9" name="Line 18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90" name="Line 190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91" name="Line 19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92" name="Line 19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93" name="Line 19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4" name="Line 19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95" name="Line 19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6" name="Line 19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97" name="Line 19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8" name="Line 19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9" name="Line 19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0" name="Line 20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1" name="Line 20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2" name="Line 20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3" name="Line 20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4" name="Line 20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5" name="Line 20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6" name="Line 20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7" name="Line 20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8" name="Line 20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9" name="Line 20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0" name="Line 21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11" name="Line 211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2" name="Line 21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3" name="Line 21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4" name="Line 21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5" name="Line 21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6" name="Line 21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7" name="Line 21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8" name="Line 21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9" name="Line 21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0" name="Line 22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1" name="Line 22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2" name="Line 22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3" name="Line 22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4" name="Line 22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5" name="Line 22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6" name="Line 22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7" name="Line 22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8" name="Line 22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9" name="Line 22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0" name="Line 23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1" name="Line 23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32" name="Line 232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33" name="Line 23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34" name="Line 23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35" name="Line 23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6" name="Line 23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37" name="Line 23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8" name="Line 23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39" name="Line 23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0" name="Line 24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1" name="Line 24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2" name="Line 24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3" name="Line 24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4" name="Line 24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5" name="Line 24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7" name="Line 24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8" name="Line 24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9" name="Line 24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0" name="Line 25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1" name="Line 25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2" name="Line 25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3" name="Line 25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4" name="Line 25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5" name="Line 25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6" name="Line 25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7" name="Line 25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8" name="Line 25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9" name="Line 25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0" name="Line 26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1" name="Line 26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2" name="Line 26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3" name="Line 26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4" name="Line 26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5" name="Line 26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6" name="Line 26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7" name="Line 26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8" name="Line 26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9" name="Line 26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0" name="Line 27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1" name="Line 27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2" name="Line 27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3" name="Line 27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4" name="Line 27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5" name="Line 27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6" name="Line 27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7" name="Line 27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8" name="Line 27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9" name="Line 27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0" name="Line 28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1" name="Line 28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2" name="Line 28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3" name="Line 28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4" name="Line 28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5" name="Line 28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6" name="Line 28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7" name="Line 28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8" name="Line 28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9" name="Line 28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0" name="Line 29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1" name="Line 29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2" name="Line 29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3" name="Line 29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5" name="Line 29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6" name="Line 29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7" name="Line 29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8" name="Line 29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9" name="Line 29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0" name="Line 30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1" name="Line 30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2" name="Line 30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3" name="Line 30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4" name="Line 30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5" name="Line 30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6" name="Line 30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7" name="Line 30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8" name="Line 30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9" name="Line 30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10" name="Line 31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11" name="Line 31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12" name="Line 31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13" name="Line 31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14" name="Line 31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15" name="Line 31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16" name="Line 31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17" name="Line 31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18" name="Line 31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19" name="Line 31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20" name="Line 32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21" name="Line 32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22" name="Line 32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23" name="Line 32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24" name="Line 32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25" name="Line 32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26" name="Line 32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27" name="Line 32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28" name="Line 32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29" name="Line 32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30" name="Line 33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31" name="Line 33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32" name="Line 33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33" name="Line 33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34" name="Line 33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35" name="Line 33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36" name="Line 33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37" name="Line 33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38" name="Line 33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39" name="Line 33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40" name="Line 34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41" name="Line 34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42" name="Line 34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43" name="Line 34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344" name="Line 344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45" name="Line 34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46" name="Line 34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47" name="Line 34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49" name="Line 34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50" name="Line 35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51" name="Line 35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54" name="Line 35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55" name="Line 35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56" name="Line 35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57" name="Line 35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58" name="Line 35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59" name="Line 35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60" name="Line 36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61" name="Line 36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62" name="Line 36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63" name="Line 36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64" name="Line 36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365" name="Line 365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66" name="Line 36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67" name="Line 36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68" name="Line 36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70" name="Line 37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71" name="Line 37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72" name="Line 37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76" name="Line 37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77" name="Line 37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78" name="Line 37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79" name="Line 37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80" name="Line 38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81" name="Line 38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82" name="Line 38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83" name="Line 38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84" name="Line 38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87" name="Line 38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88" name="Line 38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89" name="Line 38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90" name="Line 39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91" name="Line 39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92" name="Line 39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93" name="Line 39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94" name="Line 39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95" name="Line 39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96" name="Line 39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97" name="Line 39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98" name="Line 39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99" name="Line 39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00" name="Line 40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01" name="Line 40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02" name="Line 40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03" name="Line 40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04" name="Line 40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05" name="Line 40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06" name="Line 40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407" name="Line 407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08" name="Line 40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09" name="Line 40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10" name="Line 41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11" name="Line 41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12" name="Line 41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13" name="Line 41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14" name="Line 41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15" name="Line 41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16" name="Line 41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17" name="Line 41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18" name="Line 41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19" name="Line 41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20" name="Line 42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21" name="Line 42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22" name="Line 42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23" name="Line 42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24" name="Line 42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25" name="Line 42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26" name="Line 42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27" name="Line 42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428" name="Line 428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29" name="Line 42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30" name="Line 43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31" name="Line 43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32" name="Line 43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33" name="Line 43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34" name="Line 43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35" name="Line 43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36" name="Line 43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37" name="Line 43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38" name="Line 43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39" name="Line 43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40" name="Line 44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41" name="Line 44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42" name="Line 44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43" name="Line 44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44" name="Line 44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45" name="Line 44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46" name="Line 44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47" name="Line 44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48" name="Line 44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449" name="Line 449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50" name="Line 45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51" name="Line 45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52" name="Line 45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53" name="Line 45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54" name="Line 45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55" name="Line 45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56" name="Line 45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57" name="Line 45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58" name="Line 45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59" name="Line 45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60" name="Line 46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61" name="Line 46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62" name="Line 46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63" name="Line 46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64" name="Line 46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65" name="Line 46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66" name="Line 46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67" name="Line 46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68" name="Line 46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69" name="Line 46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470" name="Line 470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71" name="Line 47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72" name="Line 47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73" name="Line 47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74" name="Line 47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75" name="Line 47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76" name="Line 47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77" name="Line 47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78" name="Line 47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79" name="Line 47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80" name="Line 48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81" name="Line 48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82" name="Line 48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83" name="Line 48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84" name="Line 48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85" name="Line 48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86" name="Line 48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87" name="Line 48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88" name="Line 48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89" name="Line 48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90" name="Line 49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491" name="Line 491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92" name="Line 49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93" name="Line 49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94" name="Line 49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95" name="Line 49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96" name="Line 49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97" name="Line 49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98" name="Line 49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99" name="Line 49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00" name="Line 50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01" name="Line 50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02" name="Line 50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03" name="Line 50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04" name="Line 50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05" name="Line 50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06" name="Line 50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07" name="Line 50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08" name="Line 50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09" name="Line 50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10" name="Line 51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11" name="Line 51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512" name="Line 512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13" name="Line 51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14" name="Line 51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15" name="Line 51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16" name="Line 51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17" name="Line 51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18" name="Line 51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19" name="Line 51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20" name="Line 52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21" name="Line 52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22" name="Line 52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23" name="Line 52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24" name="Line 52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25" name="Line 52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26" name="Line 52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27" name="Line 52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28" name="Line 52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29" name="Line 52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30" name="Line 53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31" name="Line 53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32" name="Line 53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533" name="Line 533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34" name="Line 53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35" name="Line 53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36" name="Line 53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37" name="Line 53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38" name="Line 53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39" name="Line 53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40" name="Line 54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41" name="Line 54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42" name="Line 54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43" name="Line 54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44" name="Line 54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45" name="Line 54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46" name="Line 54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47" name="Line 54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48" name="Line 54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49" name="Line 54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50" name="Line 55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51" name="Line 55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52" name="Line 55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53" name="Line 55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554" name="Line 554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55" name="Line 55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56" name="Line 55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57" name="Line 55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58" name="Line 55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59" name="Line 55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60" name="Line 56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61" name="Line 56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62" name="Line 56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63" name="Line 56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64" name="Line 56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65" name="Line 56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66" name="Line 56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67" name="Line 56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68" name="Line 56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69" name="Line 56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70" name="Line 57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71" name="Line 57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72" name="Line 57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73" name="Line 57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74" name="Line 57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575" name="Line 575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76" name="Line 57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77" name="Line 57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78" name="Line 57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79" name="Line 57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80" name="Line 58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81" name="Line 58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82" name="Line 58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83" name="Line 58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84" name="Line 58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85" name="Line 58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86" name="Line 58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87" name="Line 58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88" name="Line 58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89" name="Line 58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90" name="Line 59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91" name="Line 59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92" name="Line 59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93" name="Line 59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94" name="Line 59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95" name="Line 59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96" name="Line 59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97" name="Line 59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98" name="Line 59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99" name="Line 59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00" name="Line 60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01" name="Line 60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02" name="Line 60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03" name="Line 60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04" name="Line 60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05" name="Line 60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06" name="Line 60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07" name="Line 60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08" name="Line 60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09" name="Line 60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10" name="Line 61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11" name="Line 61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12" name="Line 61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13" name="Line 61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14" name="Line 61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15" name="Line 61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16" name="Line 61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17" name="Line 61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18" name="Line 61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19" name="Line 61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20" name="Line 62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21" name="Line 62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22" name="Line 62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23" name="Line 62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24" name="Line 62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25" name="Line 62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26" name="Line 62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27" name="Line 62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28" name="Line 62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29" name="Line 62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30" name="Line 63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31" name="Line 63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32" name="Line 63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33" name="Line 63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34" name="Line 63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35" name="Line 63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36" name="Line 63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37" name="Line 63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38" name="Line 63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39" name="Line 63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40" name="Line 64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41" name="Line 64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42" name="Line 64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43" name="Line 64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44" name="Line 64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45" name="Line 64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46" name="Line 64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47" name="Line 64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48" name="Line 64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49" name="Line 64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50" name="Line 65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51" name="Line 65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52" name="Line 65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53" name="Line 65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54" name="Line 65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55" name="Line 65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56" name="Line 65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57" name="Line 65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58" name="Line 65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59" name="Line 65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60" name="Line 66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61" name="Line 66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62" name="Line 66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63" name="Line 66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64" name="Line 66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65" name="Line 66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66" name="Line 66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67" name="Line 66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68" name="Line 66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69" name="Line 66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70" name="Line 67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71" name="Line 67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72" name="Line 67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73" name="Line 67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74" name="Line 67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75" name="Line 67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76" name="Line 67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77" name="Line 67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78" name="Line 67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79" name="Line 67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80" name="Line 68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81" name="Line 68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82" name="Line 68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83" name="Line 68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84" name="Line 68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85" name="Line 68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86" name="Line 68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687" name="Line 687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688" name="Line 68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689" name="Line 68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690" name="Line 69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91" name="Line 69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692" name="Line 69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93" name="Line 69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694" name="Line 69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95" name="Line 69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96" name="Line 69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97" name="Line 69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98" name="Line 69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699" name="Line 69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00" name="Line 70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01" name="Line 70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02" name="Line 70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03" name="Line 70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04" name="Line 70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05" name="Line 70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06" name="Line 70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07" name="Line 70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708" name="Line 708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09" name="Line 70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10" name="Line 71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11" name="Line 71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12" name="Line 71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13" name="Line 71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14" name="Line 71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15" name="Line 71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16" name="Line 71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17" name="Line 71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18" name="Line 71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19" name="Line 71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20" name="Line 72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21" name="Line 72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22" name="Line 72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23" name="Line 72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24" name="Line 72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25" name="Line 72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26" name="Line 72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27" name="Line 72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28" name="Line 72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729" name="Line 729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30" name="Line 73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31" name="Line 73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32" name="Line 73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33" name="Line 73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34" name="Line 73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35" name="Line 73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36" name="Line 73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37" name="Line 73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38" name="Line 73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39" name="Line 73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40" name="Line 74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41" name="Line 74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42" name="Line 74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43" name="Line 74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44" name="Line 74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45" name="Line 74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46" name="Line 74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47" name="Line 74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48" name="Line 74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49" name="Line 74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750" name="Line 750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51" name="Line 75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52" name="Line 75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53" name="Line 75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54" name="Line 75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55" name="Line 75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56" name="Line 75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57" name="Line 75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58" name="Line 75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59" name="Line 75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60" name="Line 76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61" name="Line 76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62" name="Line 76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63" name="Line 76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64" name="Line 76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65" name="Line 76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66" name="Line 76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67" name="Line 76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68" name="Line 76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69" name="Line 76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70" name="Line 77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771" name="Line 771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72" name="Line 77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73" name="Line 77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74" name="Line 77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75" name="Line 77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76" name="Line 77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77" name="Line 77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78" name="Line 77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79" name="Line 77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80" name="Line 78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81" name="Line 78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82" name="Line 78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83" name="Line 78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84" name="Line 78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85" name="Line 78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86" name="Line 78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87" name="Line 78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88" name="Line 78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89" name="Line 78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90" name="Line 79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91" name="Line 79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792" name="Line 792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93" name="Line 79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94" name="Line 79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95" name="Line 79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96" name="Line 79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97" name="Line 79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98" name="Line 79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99" name="Line 79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800" name="Line 80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801" name="Line 80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02" name="Line 80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03" name="Line 80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04" name="Line 80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05" name="Line 80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06" name="Line 80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07" name="Line 80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08" name="Line 80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09" name="Line 80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10" name="Line 81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11" name="Line 81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12" name="Line 81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813" name="Line 813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814" name="Line 81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815" name="Line 81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816" name="Line 81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817" name="Line 81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818" name="Line 81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19" name="Line 81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820" name="Line 82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821" name="Line 82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822" name="Line 82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23" name="Line 82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24" name="Line 82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25" name="Line 82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26" name="Line 82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27" name="Line 82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28" name="Line 82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29" name="Line 82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30" name="Line 83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31" name="Line 83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32" name="Line 83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33" name="Line 83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834" name="Line 834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835" name="Line 83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836" name="Line 83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837" name="Line 83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38" name="Line 83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839" name="Line 83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40" name="Line 84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841" name="Line 84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42" name="Line 84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43" name="Line 84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44" name="Line 84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45" name="Line 84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46" name="Line 84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47" name="Line 84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48" name="Line 84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49" name="Line 84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50" name="Line 85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51" name="Line 85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52" name="Line 85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53" name="Line 85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54" name="Line 85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855" name="Line 855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856" name="Line 85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857" name="Line 85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858" name="Line 85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59" name="Line 85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860" name="Line 86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61" name="Line 86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862" name="Line 86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63" name="Line 86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64" name="Line 86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65" name="Line 86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66" name="Line 86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67" name="Line 86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68" name="Line 86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69" name="Line 86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70" name="Line 87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71" name="Line 87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72" name="Line 87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73" name="Line 87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74" name="Line 87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75" name="Line 87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876" name="Line 876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877" name="Line 87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878" name="Line 87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879" name="Line 87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80" name="Line 88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881" name="Line 88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82" name="Line 88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883" name="Line 88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84" name="Line 88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85" name="Line 88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86" name="Line 88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87" name="Line 88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88" name="Line 88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89" name="Line 88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90" name="Line 89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91" name="Line 89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92" name="Line 89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93" name="Line 89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94" name="Line 89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95" name="Line 89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896" name="Line 89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897" name="Line 897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898" name="Line 89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899" name="Line 89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900" name="Line 90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01" name="Line 90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902" name="Line 90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03" name="Line 90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904" name="Line 90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05" name="Line 90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06" name="Line 90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07" name="Line 90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08" name="Line 90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09" name="Line 90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10" name="Line 91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11" name="Line 91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12" name="Line 91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13" name="Line 91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14" name="Line 91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15" name="Line 91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16" name="Line 91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17" name="Line 91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918" name="Line 918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919" name="Line 91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920" name="Line 92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921" name="Line 92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22" name="Line 92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923" name="Line 92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24" name="Line 92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925" name="Line 92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26" name="Line 92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27" name="Line 92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28" name="Line 92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29" name="Line 92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30" name="Line 93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31" name="Line 93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32" name="Line 93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33" name="Line 93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34" name="Line 93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35" name="Line 93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36" name="Line 93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37" name="Line 93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38" name="Line 93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39" name="Line 93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40" name="Line 94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41" name="Line 94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42" name="Line 94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43" name="Line 94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44" name="Line 94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45" name="Line 94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46" name="Line 94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47" name="Line 94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48" name="Line 94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49" name="Line 94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50" name="Line 95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51" name="Line 95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52" name="Line 95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53" name="Line 95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54" name="Line 95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55" name="Line 95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56" name="Line 95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57" name="Line 95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58" name="Line 95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59" name="Line 95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60" name="Line 96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61" name="Line 96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62" name="Line 96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63" name="Line 96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64" name="Line 96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65" name="Line 96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66" name="Line 96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67" name="Line 96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68" name="Line 96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69" name="Line 96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70" name="Line 97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71" name="Line 97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72" name="Line 97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73" name="Line 97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74" name="Line 97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75" name="Line 97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76" name="Line 97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77" name="Line 97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78" name="Line 97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79" name="Line 97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80" name="Line 98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81" name="Line 98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82" name="Line 98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83" name="Line 98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84" name="Line 98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85" name="Line 98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86" name="Line 98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87" name="Line 98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88" name="Line 98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89" name="Line 98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90" name="Line 99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91" name="Line 99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92" name="Line 99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93" name="Line 99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94" name="Line 99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95" name="Line 99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96" name="Line 99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97" name="Line 99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98" name="Line 99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999" name="Line 99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24" name="Line 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25" name="Line 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26" name="Line 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27" name="Line 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28" name="Line 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29" name="Line 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030" name="Line 6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031" name="Line 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032" name="Line 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033" name="Line 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034" name="Line 1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035" name="Line 1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36" name="Line 1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037" name="Line 1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038" name="Line 1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039" name="Line 1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40" name="Line 1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41" name="Line 1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42" name="Line 1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43" name="Line 1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44" name="Line 2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45" name="Line 2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46" name="Line 2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47" name="Line 2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48" name="Line 2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49" name="Line 2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50" name="Line 2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051" name="Line 27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052" name="Line 2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053" name="Line 2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054" name="Line 3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055" name="Line 3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056" name="Line 3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57" name="Line 3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058" name="Line 3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059" name="Line 3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060" name="Line 3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61" name="Line 3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62" name="Line 3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63" name="Line 3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64" name="Line 4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65" name="Line 4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66" name="Line 4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67" name="Line 4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68" name="Line 4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69" name="Line 4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70" name="Line 4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71" name="Line 4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072" name="Line 48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073" name="Line 4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074" name="Line 5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075" name="Line 5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076" name="Line 5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077" name="Line 5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78" name="Line 5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079" name="Line 5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080" name="Line 5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081" name="Line 5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82" name="Line 5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83" name="Line 5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84" name="Line 6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85" name="Line 6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86" name="Line 6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87" name="Line 6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88" name="Line 6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89" name="Line 6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90" name="Line 6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91" name="Line 6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92" name="Line 6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093" name="Line 69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094" name="Line 7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095" name="Line 7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096" name="Line 7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097" name="Line 7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098" name="Line 7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099" name="Line 7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100" name="Line 7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101" name="Line 7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102" name="Line 7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03" name="Line 7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04" name="Line 8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05" name="Line 8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06" name="Line 8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07" name="Line 8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08" name="Line 8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09" name="Line 8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10" name="Line 8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11" name="Line 8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12" name="Line 8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13" name="Line 8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114" name="Line 90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115" name="Line 9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116" name="Line 9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117" name="Line 9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118" name="Line 9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119" name="Line 9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20" name="Line 9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121" name="Line 9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122" name="Line 9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123" name="Line 9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24" name="Line 10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25" name="Line 10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26" name="Line 10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27" name="Line 10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28" name="Line 10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29" name="Line 10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30" name="Line 10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31" name="Line 10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32" name="Line 10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33" name="Line 10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34" name="Line 11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135" name="Line 111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136" name="Line 11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137" name="Line 11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138" name="Line 11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139" name="Line 11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140" name="Line 11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41" name="Line 11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142" name="Line 11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143" name="Line 11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144" name="Line 12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45" name="Line 12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46" name="Line 12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47" name="Line 12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48" name="Line 12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49" name="Line 12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50" name="Line 12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51" name="Line 12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52" name="Line 12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53" name="Line 12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54" name="Line 13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55" name="Line 13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156" name="Line 132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157" name="Line 13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158" name="Line 13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159" name="Line 13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160" name="Line 13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161" name="Line 13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62" name="Line 13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163" name="Line 13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164" name="Line 14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165" name="Line 14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66" name="Line 14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67" name="Line 14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68" name="Line 14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69" name="Line 14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70" name="Line 14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71" name="Line 14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72" name="Line 14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73" name="Line 14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74" name="Line 15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75" name="Line 15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76" name="Line 15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177" name="Line 153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178" name="Line 15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179" name="Line 15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180" name="Line 15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81" name="Line 15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182" name="Line 15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83" name="Line 15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184" name="Line 16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85" name="Line 16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86" name="Line 16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87" name="Line 16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88" name="Line 16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89" name="Line 16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90" name="Line 16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91" name="Line 16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92" name="Line 16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93" name="Line 16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94" name="Line 17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95" name="Line 17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96" name="Line 17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197" name="Line 17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198" name="Line 174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199" name="Line 17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200" name="Line 17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201" name="Line 17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02" name="Line 17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203" name="Line 17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04" name="Line 18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205" name="Line 18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06" name="Line 18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07" name="Line 18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08" name="Line 18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09" name="Line 18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10" name="Line 18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11" name="Line 18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12" name="Line 18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13" name="Line 18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14" name="Line 19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15" name="Line 19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16" name="Line 19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17" name="Line 19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18" name="Line 19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219" name="Line 195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220" name="Line 19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221" name="Line 19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222" name="Line 19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23" name="Line 19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224" name="Line 20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25" name="Line 20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226" name="Line 20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27" name="Line 20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28" name="Line 20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29" name="Line 20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30" name="Line 20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31" name="Line 20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32" name="Line 20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33" name="Line 20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34" name="Line 21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35" name="Line 21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36" name="Line 21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37" name="Line 21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38" name="Line 21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39" name="Line 21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240" name="Line 216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241" name="Line 21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242" name="Line 21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243" name="Line 21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44" name="Line 22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245" name="Line 22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46" name="Line 22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247" name="Line 22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48" name="Line 22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49" name="Line 22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50" name="Line 22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51" name="Line 22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52" name="Line 22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53" name="Line 22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54" name="Line 23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55" name="Line 23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56" name="Line 23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57" name="Line 23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58" name="Line 23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59" name="Line 23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60" name="Line 23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261" name="Line 237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262" name="Line 23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263" name="Line 23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264" name="Line 24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65" name="Line 24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266" name="Line 24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67" name="Line 24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268" name="Line 24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69" name="Line 24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70" name="Line 24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71" name="Line 24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72" name="Line 24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73" name="Line 24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74" name="Line 25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75" name="Line 25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76" name="Line 25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77" name="Line 25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78" name="Line 25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79" name="Line 25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80" name="Line 25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81" name="Line 25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82" name="Line 25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83" name="Line 25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84" name="Line 26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85" name="Line 26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86" name="Line 26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87" name="Line 26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88" name="Line 26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89" name="Line 26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90" name="Line 26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91" name="Line 26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92" name="Line 26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93" name="Line 26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94" name="Line 27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95" name="Line 27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96" name="Line 27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97" name="Line 27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98" name="Line 27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299" name="Line 27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00" name="Line 27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01" name="Line 27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02" name="Line 27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03" name="Line 27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04" name="Line 28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05" name="Line 28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06" name="Line 28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07" name="Line 28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08" name="Line 28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09" name="Line 28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10" name="Line 28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11" name="Line 28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12" name="Line 28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13" name="Line 28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14" name="Line 29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15" name="Line 29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16" name="Line 29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17" name="Line 29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18" name="Line 29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19" name="Line 29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20" name="Line 29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21" name="Line 29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22" name="Line 29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23" name="Line 29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24" name="Line 30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25" name="Line 30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26" name="Line 30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27" name="Line 30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28" name="Line 30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29" name="Line 30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30" name="Line 30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31" name="Line 30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32" name="Line 30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33" name="Line 30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34" name="Line 31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35" name="Line 31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36" name="Line 31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37" name="Line 31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38" name="Line 31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39" name="Line 31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40" name="Line 31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41" name="Line 31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42" name="Line 31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43" name="Line 31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44" name="Line 32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45" name="Line 32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46" name="Line 32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47" name="Line 32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48" name="Line 32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49" name="Line 32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50" name="Line 32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51" name="Line 32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52" name="Line 32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53" name="Line 32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54" name="Line 33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55" name="Line 33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56" name="Line 33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57" name="Line 33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58" name="Line 33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59" name="Line 33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60" name="Line 33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61" name="Line 33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62" name="Line 33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63" name="Line 33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64" name="Line 34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65" name="Line 34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66" name="Line 34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67" name="Line 34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68" name="Line 34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69" name="Line 34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70" name="Line 34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71" name="Line 34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72" name="Line 34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373" name="Line 349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374" name="Line 35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375" name="Line 35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376" name="Line 35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378" name="Line 35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79" name="Line 35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380" name="Line 35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83" name="Line 35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84" name="Line 36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85" name="Line 36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86" name="Line 36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87" name="Line 36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88" name="Line 36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89" name="Line 36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90" name="Line 36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91" name="Line 36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92" name="Line 36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393" name="Line 36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394" name="Line 370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395" name="Line 37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396" name="Line 37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397" name="Line 37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399" name="Line 37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00" name="Line 37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401" name="Line 37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04" name="Line 38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05" name="Line 38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06" name="Line 38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07" name="Line 38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08" name="Line 38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09" name="Line 38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10" name="Line 38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11" name="Line 38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12" name="Line 38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13" name="Line 38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14" name="Line 39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415" name="Line 391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416" name="Line 39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417" name="Line 39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418" name="Line 39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419" name="Line 39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420" name="Line 39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21" name="Line 39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422" name="Line 39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423" name="Line 39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424" name="Line 40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25" name="Line 40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26" name="Line 40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27" name="Line 40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28" name="Line 40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29" name="Line 40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30" name="Line 40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31" name="Line 40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32" name="Line 40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33" name="Line 40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34" name="Line 41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35" name="Line 41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436" name="Line 412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437" name="Line 41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438" name="Line 41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439" name="Line 41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440" name="Line 41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441" name="Line 41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42" name="Line 41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443" name="Line 41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444" name="Line 42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445" name="Line 42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46" name="Line 42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47" name="Line 42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48" name="Line 42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49" name="Line 42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50" name="Line 42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51" name="Line 42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52" name="Line 42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53" name="Line 42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54" name="Line 43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55" name="Line 43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56" name="Line 43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457" name="Line 433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458" name="Line 43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459" name="Line 43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460" name="Line 43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461" name="Line 43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462" name="Line 43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63" name="Line 43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464" name="Line 44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465" name="Line 44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466" name="Line 44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67" name="Line 44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68" name="Line 44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69" name="Line 44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70" name="Line 44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71" name="Line 44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72" name="Line 44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73" name="Line 44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74" name="Line 45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75" name="Line 45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76" name="Line 45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77" name="Line 45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478" name="Line 454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479" name="Line 45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480" name="Line 45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481" name="Line 45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482" name="Line 45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483" name="Line 45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84" name="Line 46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485" name="Line 46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486" name="Line 46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487" name="Line 46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88" name="Line 46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89" name="Line 46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90" name="Line 46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91" name="Line 46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92" name="Line 46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93" name="Line 46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94" name="Line 47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95" name="Line 47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96" name="Line 47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97" name="Line 47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98" name="Line 47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499" name="Line 475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500" name="Line 47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501" name="Line 47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502" name="Line 47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503" name="Line 47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504" name="Line 48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05" name="Line 48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506" name="Line 48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507" name="Line 48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508" name="Line 48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09" name="Line 48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10" name="Line 48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11" name="Line 48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12" name="Line 48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13" name="Line 48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14" name="Line 49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15" name="Line 49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32" name="Line 70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35" name="Line 71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737" name="Line 713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740" name="Line 71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742" name="Line 71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47" name="Line 72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48" name="Line 72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50" name="Line 72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53" name="Line 72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55" name="Line 73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758" name="Line 734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760" name="Line 73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763" name="Line 73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64" name="Line 74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765" name="Line 74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766" name="Line 74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68" name="Line 74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71" name="Line 74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73" name="Line 74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76" name="Line 75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78" name="Line 75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781" name="Line 75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782" name="Line 75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783" name="Line 75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784" name="Line 76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786" name="Line 76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89" name="Line 76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91" name="Line 76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94" name="Line 77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96" name="Line 77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99" name="Line 77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800" name="Line 776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01" name="Line 77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02" name="Line 77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04" name="Line 78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05" name="Line 78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06" name="Line 78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07" name="Line 78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08" name="Line 78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09" name="Line 78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10" name="Line 78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11" name="Line 78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12" name="Line 78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13" name="Line 78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14" name="Line 79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15" name="Line 79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16" name="Line 79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17" name="Line 79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18" name="Line 79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19" name="Line 79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20" name="Line 79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821" name="Line 797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22" name="Line 79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23" name="Line 79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24" name="Line 80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25" name="Line 80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26" name="Line 80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27" name="Line 80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28" name="Line 80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29" name="Line 80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30" name="Line 80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31" name="Line 80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32" name="Line 80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33" name="Line 80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34" name="Line 81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35" name="Line 81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36" name="Line 81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37" name="Line 81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38" name="Line 81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39" name="Line 81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40" name="Line 81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41" name="Line 81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842" name="Line 818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43" name="Line 81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44" name="Line 82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45" name="Line 82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46" name="Line 82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47" name="Line 82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48" name="Line 82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49" name="Line 82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50" name="Line 82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51" name="Line 82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52" name="Line 82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53" name="Line 82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54" name="Line 83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55" name="Line 83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56" name="Line 83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57" name="Line 83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58" name="Line 83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59" name="Line 83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60" name="Line 83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61" name="Line 83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62" name="Line 83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863" name="Line 839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64" name="Line 84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65" name="Line 84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66" name="Line 84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67" name="Line 84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68" name="Line 84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69" name="Line 84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70" name="Line 84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71" name="Line 84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72" name="Line 84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73" name="Line 84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74" name="Line 85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75" name="Line 85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76" name="Line 85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77" name="Line 85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78" name="Line 85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79" name="Line 85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80" name="Line 85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81" name="Line 85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82" name="Line 85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83" name="Line 85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884" name="Line 860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85" name="Line 86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86" name="Line 86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87" name="Line 86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88" name="Line 86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89" name="Line 86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90" name="Line 86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91" name="Line 86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92" name="Line 86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93" name="Line 86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94" name="Line 87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95" name="Line 87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96" name="Line 87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97" name="Line 87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98" name="Line 87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899" name="Line 87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00" name="Line 87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01" name="Line 87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02" name="Line 87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03" name="Line 87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04" name="Line 88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905" name="Line 881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906" name="Line 88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907" name="Line 88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908" name="Line 88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09" name="Line 88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910" name="Line 88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11" name="Line 88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912" name="Line 88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13" name="Line 88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14" name="Line 89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15" name="Line 89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16" name="Line 89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17" name="Line 89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18" name="Line 89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19" name="Line 89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20" name="Line 89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21" name="Line 89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22" name="Line 89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23" name="Line 89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24" name="Line 90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25" name="Line 90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926" name="Line 902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927" name="Line 90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928" name="Line 90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929" name="Line 90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30" name="Line 90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931" name="Line 90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32" name="Line 90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933" name="Line 90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34" name="Line 91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35" name="Line 91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36" name="Line 91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37" name="Line 91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38" name="Line 91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39" name="Line 91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40" name="Line 91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41" name="Line 91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42" name="Line 91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43" name="Line 91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44" name="Line 92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45" name="Line 92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46" name="Line 92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947" name="Line 923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948" name="Line 92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949" name="Line 92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950" name="Line 92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51" name="Line 92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952" name="Line 92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53" name="Line 92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954" name="Line 93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55" name="Line 93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56" name="Line 93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57" name="Line 93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58" name="Line 93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59" name="Line 93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60" name="Line 93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61" name="Line 93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62" name="Line 93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63" name="Line 93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64" name="Line 94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65" name="Line 94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66" name="Line 94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67" name="Line 94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68" name="Line 94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69" name="Line 94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70" name="Line 94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71" name="Line 94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72" name="Line 94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73" name="Line 94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74" name="Line 95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75" name="Line 95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76" name="Line 95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77" name="Line 95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78" name="Line 95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79" name="Line 95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80" name="Line 95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81" name="Line 95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82" name="Line 95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83" name="Line 95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84" name="Line 96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85" name="Line 96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86" name="Line 96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87" name="Line 96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88" name="Line 96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89" name="Line 96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90" name="Line 96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91" name="Line 96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92" name="Line 96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93" name="Line 96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94" name="Line 97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95" name="Line 97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96" name="Line 97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97" name="Line 97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98" name="Line 97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999" name="Line 97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00" name="Line 97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01" name="Line 97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02" name="Line 97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03" name="Line 97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04" name="Line 98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05" name="Line 98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06" name="Line 98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07" name="Line 98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08" name="Line 98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09" name="Line 98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10" name="Line 98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11" name="Line 98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12" name="Line 98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13" name="Line 98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14" name="Line 99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15" name="Line 99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16" name="Line 99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17" name="Line 99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18" name="Line 99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19" name="Line 99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20" name="Line 99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21" name="Line 99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22" name="Line 99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23" name="Line 99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48" name="Line 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49" name="Line 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50" name="Line 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51" name="Line 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52" name="Line 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53" name="Line 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54" name="Line 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55" name="Line 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56" name="Line 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57" name="Line 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58" name="Line 1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059" name="Line 11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060" name="Line 1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061" name="Line 1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062" name="Line 1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063" name="Line 1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064" name="Line 1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65" name="Line 1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066" name="Line 1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067" name="Line 1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068" name="Line 2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69" name="Line 2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70" name="Line 2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71" name="Line 2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72" name="Line 2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73" name="Line 2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74" name="Line 2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75" name="Line 2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76" name="Line 2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77" name="Line 2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78" name="Line 3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79" name="Line 3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080" name="Line 32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081" name="Line 3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082" name="Line 3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083" name="Line 3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084" name="Line 3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085" name="Line 3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86" name="Line 3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087" name="Line 3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088" name="Line 4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089" name="Line 4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90" name="Line 4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91" name="Line 4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92" name="Line 4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93" name="Line 4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94" name="Line 4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95" name="Line 4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96" name="Line 4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97" name="Line 4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98" name="Line 5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099" name="Line 5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00" name="Line 5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101" name="Line 53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02" name="Line 5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03" name="Line 5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04" name="Line 5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05" name="Line 5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06" name="Line 5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07" name="Line 5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08" name="Line 6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09" name="Line 6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10" name="Line 6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11" name="Line 6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12" name="Line 6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13" name="Line 6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14" name="Line 6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15" name="Line 6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16" name="Line 6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17" name="Line 6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18" name="Line 7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19" name="Line 7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20" name="Line 7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21" name="Line 7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122" name="Line 74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23" name="Line 7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24" name="Line 7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25" name="Line 7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26" name="Line 7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27" name="Line 7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28" name="Line 8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29" name="Line 8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30" name="Line 8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31" name="Line 8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32" name="Line 8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33" name="Line 8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34" name="Line 8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35" name="Line 8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36" name="Line 8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37" name="Line 8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38" name="Line 9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39" name="Line 9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40" name="Line 9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41" name="Line 9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42" name="Line 9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143" name="Line 95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44" name="Line 9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45" name="Line 9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46" name="Line 9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47" name="Line 9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48" name="Line 10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49" name="Line 10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50" name="Line 10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51" name="Line 10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52" name="Line 10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53" name="Line 10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54" name="Line 10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55" name="Line 10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56" name="Line 10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57" name="Line 10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58" name="Line 11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59" name="Line 11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60" name="Line 11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61" name="Line 11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62" name="Line 11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63" name="Line 11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164" name="Line 116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65" name="Line 11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66" name="Line 11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67" name="Line 11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68" name="Line 12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69" name="Line 12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70" name="Line 12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71" name="Line 12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72" name="Line 12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73" name="Line 12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74" name="Line 12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75" name="Line 12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76" name="Line 12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77" name="Line 12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78" name="Line 13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79" name="Line 13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80" name="Line 13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81" name="Line 13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82" name="Line 13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83" name="Line 13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84" name="Line 13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185" name="Line 137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86" name="Line 13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87" name="Line 13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88" name="Line 14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89" name="Line 14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90" name="Line 14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91" name="Line 14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92" name="Line 14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93" name="Line 14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94" name="Line 14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95" name="Line 14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96" name="Line 14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97" name="Line 14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98" name="Line 15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99" name="Line 15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00" name="Line 15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01" name="Line 15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02" name="Line 15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03" name="Line 15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04" name="Line 15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05" name="Line 15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206" name="Line 158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207" name="Line 15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208" name="Line 16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209" name="Line 16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10" name="Line 16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211" name="Line 16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12" name="Line 16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213" name="Line 16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14" name="Line 16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15" name="Line 16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16" name="Line 16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17" name="Line 16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18" name="Line 17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19" name="Line 17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20" name="Line 17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21" name="Line 17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22" name="Line 17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23" name="Line 17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24" name="Line 17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25" name="Line 17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26" name="Line 17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227" name="Line 179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228" name="Line 18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229" name="Line 18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230" name="Line 18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31" name="Line 18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232" name="Line 18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33" name="Line 18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234" name="Line 18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35" name="Line 18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36" name="Line 18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37" name="Line 18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38" name="Line 19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39" name="Line 19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40" name="Line 19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41" name="Line 19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42" name="Line 19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43" name="Line 19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44" name="Line 19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45" name="Line 19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46" name="Line 19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47" name="Line 19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248" name="Line 200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249" name="Line 20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250" name="Line 20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251" name="Line 20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52" name="Line 20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253" name="Line 20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54" name="Line 20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255" name="Line 20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56" name="Line 20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57" name="Line 20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58" name="Line 21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59" name="Line 21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60" name="Line 21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61" name="Line 21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62" name="Line 21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63" name="Line 21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64" name="Line 21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65" name="Line 21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66" name="Line 21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67" name="Line 21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68" name="Line 22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269" name="Line 221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270" name="Line 22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271" name="Line 22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272" name="Line 22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73" name="Line 22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274" name="Line 22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75" name="Line 22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276" name="Line 22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77" name="Line 22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78" name="Line 23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79" name="Line 23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80" name="Line 23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81" name="Line 23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82" name="Line 23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83" name="Line 23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84" name="Line 23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85" name="Line 23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86" name="Line 23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87" name="Line 23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88" name="Line 24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89" name="Line 24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290" name="Line 242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291" name="Line 24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292" name="Line 24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293" name="Line 24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94" name="Line 24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295" name="Line 24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96" name="Line 24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297" name="Line 24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98" name="Line 25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299" name="Line 25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00" name="Line 25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01" name="Line 25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02" name="Line 25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03" name="Line 25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04" name="Line 25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05" name="Line 25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06" name="Line 25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07" name="Line 25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08" name="Line 26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09" name="Line 26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10" name="Line 26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11" name="Line 26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12" name="Line 26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13" name="Line 26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14" name="Line 26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15" name="Line 26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16" name="Line 26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17" name="Line 26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18" name="Line 27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19" name="Line 27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20" name="Line 27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21" name="Line 27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22" name="Line 27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23" name="Line 27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24" name="Line 27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25" name="Line 27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26" name="Line 27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27" name="Line 27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28" name="Line 28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29" name="Line 28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30" name="Line 28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31" name="Line 28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32" name="Line 28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33" name="Line 28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34" name="Line 28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35" name="Line 28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36" name="Line 28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37" name="Line 28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38" name="Line 29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39" name="Line 29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40" name="Line 29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41" name="Line 29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42" name="Line 29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43" name="Line 29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44" name="Line 29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45" name="Line 29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46" name="Line 29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47" name="Line 29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48" name="Line 30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49" name="Line 30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50" name="Line 30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51" name="Line 30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52" name="Line 30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53" name="Line 30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54" name="Line 30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55" name="Line 30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56" name="Line 30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57" name="Line 30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58" name="Line 31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59" name="Line 31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60" name="Line 31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61" name="Line 31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62" name="Line 31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63" name="Line 31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64" name="Line 31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65" name="Line 31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66" name="Line 31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67" name="Line 31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68" name="Line 32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69" name="Line 32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70" name="Line 32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71" name="Line 32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72" name="Line 32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73" name="Line 32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74" name="Line 32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75" name="Line 32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76" name="Line 32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77" name="Line 32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78" name="Line 33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79" name="Line 33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80" name="Line 33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81" name="Line 33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82" name="Line 33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83" name="Line 33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84" name="Line 33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85" name="Line 33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86" name="Line 33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87" name="Line 33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88" name="Line 34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89" name="Line 34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90" name="Line 34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91" name="Line 34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92" name="Line 34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93" name="Line 34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94" name="Line 34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95" name="Line 34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96" name="Line 34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97" name="Line 34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98" name="Line 35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399" name="Line 35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00" name="Line 35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01" name="Line 35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402" name="Line 354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03" name="Line 35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04" name="Line 35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05" name="Line 35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07" name="Line 35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08" name="Line 36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09" name="Line 36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12" name="Line 36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13" name="Line 36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14" name="Line 36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15" name="Line 36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16" name="Line 36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17" name="Line 36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18" name="Line 37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19" name="Line 37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20" name="Line 37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21" name="Line 37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22" name="Line 37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423" name="Line 375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24" name="Line 37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25" name="Line 37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26" name="Line 37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28" name="Line 38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29" name="Line 38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30" name="Line 38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33" name="Line 38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34" name="Line 38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35" name="Line 38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36" name="Line 38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37" name="Line 38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38" name="Line 39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39" name="Line 39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40" name="Line 39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41" name="Line 39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42" name="Line 39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43" name="Line 39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444" name="Line 396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45" name="Line 39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46" name="Line 39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47" name="Line 39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48" name="Line 40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49" name="Line 40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50" name="Line 40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51" name="Line 40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52" name="Line 40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53" name="Line 40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54" name="Line 40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55" name="Line 40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56" name="Line 40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57" name="Line 40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58" name="Line 41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59" name="Line 41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60" name="Line 41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61" name="Line 41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62" name="Line 41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63" name="Line 41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64" name="Line 41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465" name="Line 417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66" name="Line 41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67" name="Line 41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68" name="Line 42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69" name="Line 42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70" name="Line 42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71" name="Line 42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72" name="Line 42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73" name="Line 42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74" name="Line 42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75" name="Line 42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76" name="Line 42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77" name="Line 42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78" name="Line 43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79" name="Line 43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80" name="Line 43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81" name="Line 43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82" name="Line 43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83" name="Line 43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84" name="Line 43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85" name="Line 43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486" name="Line 438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87" name="Line 43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88" name="Line 44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89" name="Line 44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90" name="Line 44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91" name="Line 44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92" name="Line 44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93" name="Line 44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94" name="Line 44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95" name="Line 44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96" name="Line 44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97" name="Line 44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98" name="Line 45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499" name="Line 45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00" name="Line 45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01" name="Line 45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02" name="Line 45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03" name="Line 45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04" name="Line 45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05" name="Line 45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06" name="Line 45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507" name="Line 459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508" name="Line 46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509" name="Line 46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510" name="Line 46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511" name="Line 46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512" name="Line 46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13" name="Line 46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514" name="Line 46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515" name="Line 46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516" name="Line 46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17" name="Line 46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18" name="Line 47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19" name="Line 47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20" name="Line 47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21" name="Line 47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22" name="Line 47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23" name="Line 47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24" name="Line 47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25" name="Line 47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26" name="Line 47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27" name="Line 47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528" name="Line 480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529" name="Line 48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530" name="Line 48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531" name="Line 48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532" name="Line 48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533" name="Line 48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34" name="Line 48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535" name="Line 48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536" name="Line 48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537" name="Line 48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38" name="Line 49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39" name="Line 49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40" name="Line 49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41" name="Line 49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42" name="Line 49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43" name="Line 49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44" name="Line 49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45" name="Line 49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46" name="Line 49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47" name="Line 49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48" name="Line 50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549" name="Line 501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550" name="Line 50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551" name="Line 50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552" name="Line 50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53" name="Line 50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554" name="Line 50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55" name="Line 50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556" name="Line 50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57" name="Line 50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58" name="Line 51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59" name="Line 51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60" name="Line 51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61" name="Line 51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62" name="Line 51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63" name="Line 51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64" name="Line 51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65" name="Line 51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66" name="Line 51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67" name="Line 51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68" name="Line 52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69" name="Line 52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570" name="Line 522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571" name="Line 52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572" name="Line 52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573" name="Line 52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74" name="Line 52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575" name="Line 52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76" name="Line 52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577" name="Line 52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78" name="Line 53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79" name="Line 53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80" name="Line 53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81" name="Line 53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82" name="Line 53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83" name="Line 53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84" name="Line 53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85" name="Line 53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86" name="Line 53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87" name="Line 53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88" name="Line 54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89" name="Line 54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90" name="Line 54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591" name="Line 543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592" name="Line 54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593" name="Line 54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594" name="Line 54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95" name="Line 54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596" name="Line 54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97" name="Line 54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598" name="Line 55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599" name="Line 55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00" name="Line 55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01" name="Line 55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02" name="Line 55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03" name="Line 55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04" name="Line 55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05" name="Line 55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06" name="Line 55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07" name="Line 55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08" name="Line 56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09" name="Line 56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10" name="Line 56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11" name="Line 56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612" name="Line 564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613" name="Line 56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614" name="Line 56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615" name="Line 56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16" name="Line 56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617" name="Line 56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18" name="Line 57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619" name="Line 57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20" name="Line 57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21" name="Line 57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22" name="Line 57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23" name="Line 57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24" name="Line 57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25" name="Line 57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26" name="Line 57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27" name="Line 57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28" name="Line 58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29" name="Line 58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30" name="Line 58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31" name="Line 58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32" name="Line 58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633" name="Line 585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634" name="Line 58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635" name="Line 58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636" name="Line 58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37" name="Line 58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638" name="Line 59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39" name="Line 59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640" name="Line 59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41" name="Line 59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42" name="Line 59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43" name="Line 59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44" name="Line 59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45" name="Line 59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46" name="Line 59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47" name="Line 59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48" name="Line 60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49" name="Line 60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50" name="Line 60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51" name="Line 60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52" name="Line 60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53" name="Line 60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54" name="Line 60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55" name="Line 60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56" name="Line 60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57" name="Line 60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58" name="Line 61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59" name="Line 61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60" name="Line 61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61" name="Line 61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62" name="Line 61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63" name="Line 61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64" name="Line 61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65" name="Line 61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66" name="Line 61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67" name="Line 61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69" name="Line 62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70" name="Line 62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71" name="Line 62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72" name="Line 62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73" name="Line 62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74" name="Line 62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75" name="Line 62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76" name="Line 62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77" name="Line 62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78" name="Line 63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79" name="Line 63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80" name="Line 63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81" name="Line 63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82" name="Line 63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83" name="Line 63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84" name="Line 63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85" name="Line 63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86" name="Line 63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87" name="Line 63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88" name="Line 64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89" name="Line 64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90" name="Line 64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91" name="Line 64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92" name="Line 64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93" name="Line 64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94" name="Line 64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95" name="Line 64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96" name="Line 64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97" name="Line 64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98" name="Line 65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699" name="Line 65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00" name="Line 65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01" name="Line 65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02" name="Line 65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03" name="Line 65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04" name="Line 65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05" name="Line 65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06" name="Line 65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07" name="Line 65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08" name="Line 66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09" name="Line 66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10" name="Line 66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11" name="Line 66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12" name="Line 66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13" name="Line 66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14" name="Line 66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15" name="Line 66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16" name="Line 66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17" name="Line 66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18" name="Line 67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19" name="Line 67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20" name="Line 67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21" name="Line 67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22" name="Line 67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23" name="Line 67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24" name="Line 67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25" name="Line 67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26" name="Line 67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27" name="Line 67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28" name="Line 68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29" name="Line 68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30" name="Line 68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31" name="Line 68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32" name="Line 68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33" name="Line 68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34" name="Line 68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35" name="Line 68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36" name="Line 68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37" name="Line 68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38" name="Line 69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39" name="Line 69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40" name="Line 69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41" name="Line 69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42" name="Line 69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43" name="Line 69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44" name="Line 69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745" name="Line 697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746" name="Line 69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747" name="Line 69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748" name="Line 70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749" name="Line 70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750" name="Line 70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51" name="Line 70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752" name="Line 70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753" name="Line 70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754" name="Line 70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55" name="Line 70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56" name="Line 70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57" name="Line 70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58" name="Line 71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59" name="Line 71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60" name="Line 71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61" name="Line 71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62" name="Line 71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63" name="Line 71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64" name="Line 71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65" name="Line 71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766" name="Line 718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767" name="Line 71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768" name="Line 72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769" name="Line 72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770" name="Line 72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771" name="Line 72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72" name="Line 72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773" name="Line 72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774" name="Line 72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775" name="Line 72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76" name="Line 72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77" name="Line 72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78" name="Line 73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79" name="Line 73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80" name="Line 73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81" name="Line 73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82" name="Line 73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83" name="Line 73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84" name="Line 73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85" name="Line 73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86" name="Line 73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787" name="Line 739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788" name="Line 74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789" name="Line 74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790" name="Line 74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791" name="Line 74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792" name="Line 74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93" name="Line 74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794" name="Line 74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795" name="Line 74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796" name="Line 74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97" name="Line 74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98" name="Line 75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799" name="Line 75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00" name="Line 75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01" name="Line 75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02" name="Line 75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03" name="Line 75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04" name="Line 75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05" name="Line 75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06" name="Line 75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07" name="Line 75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808" name="Line 760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809" name="Line 76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810" name="Line 76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811" name="Line 76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812" name="Line 76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813" name="Line 76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14" name="Line 76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815" name="Line 76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816" name="Line 76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817" name="Line 76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18" name="Line 77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19" name="Line 77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20" name="Line 77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21" name="Line 77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22" name="Line 77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23" name="Line 77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24" name="Line 77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25" name="Line 77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26" name="Line 77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27" name="Line 77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28" name="Line 78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829" name="Line 781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830" name="Line 78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831" name="Line 78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832" name="Line 78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833" name="Line 78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834" name="Line 78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35" name="Line 78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836" name="Line 78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837" name="Line 78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838" name="Line 79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39" name="Line 79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40" name="Line 79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41" name="Line 79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42" name="Line 79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43" name="Line 79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44" name="Line 79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45" name="Line 79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46" name="Line 79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47" name="Line 79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48" name="Line 80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49" name="Line 80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850" name="Line 802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851" name="Line 80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852" name="Line 80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853" name="Line 80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854" name="Line 80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855" name="Line 80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56" name="Line 80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857" name="Line 80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858" name="Line 81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859" name="Line 81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60" name="Line 81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61" name="Line 81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62" name="Line 81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63" name="Line 81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64" name="Line 81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65" name="Line 81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66" name="Line 81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67" name="Line 81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68" name="Line 82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69" name="Line 82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70" name="Line 82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871" name="Line 823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872" name="Line 82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873" name="Line 82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874" name="Line 82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875" name="Line 82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876" name="Line 82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77" name="Line 82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878" name="Line 83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879" name="Line 83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880" name="Line 83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81" name="Line 83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82" name="Line 83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83" name="Line 83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84" name="Line 83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85" name="Line 83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86" name="Line 83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87" name="Line 83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88" name="Line 84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89" name="Line 84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90" name="Line 84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91" name="Line 84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892" name="Line 844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893" name="Line 84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894" name="Line 84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895" name="Line 84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96" name="Line 84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897" name="Line 84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898" name="Line 85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899" name="Line 85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00" name="Line 85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01" name="Line 85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02" name="Line 85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03" name="Line 85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04" name="Line 85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05" name="Line 85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06" name="Line 85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07" name="Line 85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08" name="Line 86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09" name="Line 86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10" name="Line 86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11" name="Line 86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12" name="Line 86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913" name="Line 865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914" name="Line 86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915" name="Line 86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916" name="Line 86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17" name="Line 86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918" name="Line 87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19" name="Line 87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920" name="Line 87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21" name="Line 87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22" name="Line 87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23" name="Line 87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24" name="Line 87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25" name="Line 87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26" name="Line 87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27" name="Line 87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28" name="Line 88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29" name="Line 88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30" name="Line 88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31" name="Line 88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32" name="Line 88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33" name="Line 88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934" name="Line 886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935" name="Line 88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936" name="Line 88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937" name="Line 88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38" name="Line 89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939" name="Line 89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40" name="Line 89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941" name="Line 89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42" name="Line 89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43" name="Line 89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44" name="Line 89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45" name="Line 89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46" name="Line 89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47" name="Line 89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48" name="Line 90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49" name="Line 90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50" name="Line 90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51" name="Line 90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52" name="Line 90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53" name="Line 90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54" name="Line 90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955" name="Line 907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956" name="Line 90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957" name="Line 90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958" name="Line 91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59" name="Line 91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960" name="Line 91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61" name="Line 91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962" name="Line 91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63" name="Line 91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64" name="Line 91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65" name="Line 91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66" name="Line 91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67" name="Line 91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68" name="Line 92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69" name="Line 92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70" name="Line 92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71" name="Line 92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72" name="Line 92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73" name="Line 92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74" name="Line 92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75" name="Line 92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976" name="Line 928"/>
        <xdr:cNvSpPr>
          <a:spLocks/>
        </xdr:cNvSpPr>
      </xdr:nvSpPr>
      <xdr:spPr>
        <a:xfrm>
          <a:off x="38100" y="733425"/>
          <a:ext cx="38481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977" name="Line 92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978" name="Line 93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979" name="Line 93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80" name="Line 93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981" name="Line 93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82" name="Line 93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983" name="Line 93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84" name="Line 93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85" name="Line 93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86" name="Line 93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87" name="Line 93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88" name="Line 94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89" name="Line 94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90" name="Line 94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91" name="Line 94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92" name="Line 94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93" name="Line 94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94" name="Line 94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95" name="Line 94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96" name="Line 94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97" name="Line 94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98" name="Line 95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999" name="Line 95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00" name="Line 95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01" name="Line 95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02" name="Line 95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03" name="Line 95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04" name="Line 95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05" name="Line 95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06" name="Line 95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07" name="Line 95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08" name="Line 96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09" name="Line 96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10" name="Line 96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11" name="Line 96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12" name="Line 96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13" name="Line 96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14" name="Line 96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15" name="Line 96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16" name="Line 96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17" name="Line 96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18" name="Line 97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19" name="Line 97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20" name="Line 97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21" name="Line 97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22" name="Line 97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23" name="Line 97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24" name="Line 97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25" name="Line 97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26" name="Line 97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27" name="Line 97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28" name="Line 98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29" name="Line 98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30" name="Line 98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31" name="Line 98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32" name="Line 98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33" name="Line 98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34" name="Line 98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35" name="Line 98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36" name="Line 98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37" name="Line 98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38" name="Line 99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39" name="Line 99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40" name="Line 99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41" name="Line 99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42" name="Line 99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43" name="Line 99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44" name="Line 99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45" name="Line 99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46" name="Line 99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47" name="Line 99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48" name="Line 100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49" name="Line 100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50" name="Line 100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51" name="Line 100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52" name="Line 100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53" name="Line 100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54" name="Line 100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55" name="Line 100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56" name="Line 100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57" name="Line 100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58" name="Line 101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59" name="Line 101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60" name="Line 101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61" name="Line 101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62" name="Line 101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63" name="Line 101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64" name="Line 101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65" name="Line 101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66" name="Line 101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67" name="Line 101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68" name="Line 102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69" name="Line 102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70" name="Line 102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71" name="Line 102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72" name="Line 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73" name="Line 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74" name="Line 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75" name="Line 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76" name="Line 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77" name="Line 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78" name="Line 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79" name="Line 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80" name="Line 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81" name="Line 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82" name="Line 1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83" name="Line 1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84" name="Line 12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85" name="Line 13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86" name="Line 14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087" name="Line 15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088" name="Line 1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089" name="Line 1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090" name="Line 1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091" name="Line 1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092" name="Line 2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093" name="Line 2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094" name="Line 2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095" name="Line 2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096" name="Line 2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097" name="Line 2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098" name="Line 2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099" name="Line 2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00" name="Line 2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01" name="Line 2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02" name="Line 3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03" name="Line 3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04" name="Line 3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05" name="Line 3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06" name="Line 3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07" name="Line 3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08" name="Line 3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09" name="Line 3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10" name="Line 3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11" name="Line 3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12" name="Line 4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13" name="Line 4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14" name="Line 4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15" name="Line 4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16" name="Line 4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17" name="Line 4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18" name="Line 4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19" name="Line 4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20" name="Line 4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21" name="Line 4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22" name="Line 5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23" name="Line 5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24" name="Line 5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25" name="Line 5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26" name="Line 5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27" name="Line 5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28" name="Line 5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29" name="Line 5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30" name="Line 5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31" name="Line 5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32" name="Line 6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33" name="Line 6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34" name="Line 6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35" name="Line 6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36" name="Line 6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37" name="Line 6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38" name="Line 6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39" name="Line 6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40" name="Line 6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41" name="Line 6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42" name="Line 7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43" name="Line 7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44" name="Line 7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45" name="Line 7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46" name="Line 7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47" name="Line 7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48" name="Line 7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49" name="Line 7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50" name="Line 7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51" name="Line 7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52" name="Line 8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53" name="Line 8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54" name="Line 8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55" name="Line 8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56" name="Line 8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57" name="Line 8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58" name="Line 8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59" name="Line 8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60" name="Line 8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61" name="Line 8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62" name="Line 9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63" name="Line 9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64" name="Line 9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65" name="Line 9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66" name="Line 9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67" name="Line 9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68" name="Line 96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69" name="Line 97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70" name="Line 98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71" name="Line 99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72" name="Line 100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73" name="Line 101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74" name="Line 102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75" name="Line 103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76" name="Line 104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77" name="Line 105"/>
        <xdr:cNvSpPr>
          <a:spLocks/>
        </xdr:cNvSpPr>
      </xdr:nvSpPr>
      <xdr:spPr>
        <a:xfrm>
          <a:off x="38100" y="29241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178" name="Line 106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179" name="Line 107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180" name="Line 108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181" name="Line 109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182" name="Line 110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183" name="Line 111"/>
        <xdr:cNvSpPr>
          <a:spLocks/>
        </xdr:cNvSpPr>
      </xdr:nvSpPr>
      <xdr:spPr>
        <a:xfrm>
          <a:off x="38100" y="519112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" name="Rysowanie 11"/>
        <xdr:cNvSpPr>
          <a:spLocks/>
        </xdr:cNvSpPr>
      </xdr:nvSpPr>
      <xdr:spPr>
        <a:xfrm>
          <a:off x="1104900" y="238125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3" name="AutoShape 3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4" name="AutoShape 4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6" name="AutoShape 6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7" name="AutoShape 7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8" name="AutoShape 8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0" name="AutoShape 10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1" name="AutoShape 11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2" name="AutoShape 12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4" name="AutoShape 14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5" name="AutoShape 15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6" name="AutoShape 16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8" name="AutoShape 18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9" name="AutoShape 19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20" name="AutoShape 20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22" name="AutoShape 22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23" name="AutoShape 23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24" name="AutoShape 24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26" name="AutoShape 26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27" name="AutoShape 27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28" name="AutoShape 28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30" name="AutoShape 30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31" name="AutoShape 31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32" name="AutoShape 32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34" name="AutoShape 34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35" name="AutoShape 35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36" name="AutoShape 36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38" name="AutoShape 38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39" name="AutoShape 39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40" name="AutoShape 40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42" name="AutoShape 42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43" name="AutoShape 43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44" name="AutoShape 44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46" name="AutoShape 46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47" name="AutoShape 47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48" name="AutoShape 48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50" name="AutoShape 50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51" name="AutoShape 51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52" name="AutoShape 52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54" name="AutoShape 54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55" name="AutoShape 55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56" name="AutoShape 56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58" name="AutoShape 58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59" name="AutoShape 59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60" name="AutoShape 60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62" name="AutoShape 62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63" name="AutoShape 63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64" name="AutoShape 64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66" name="AutoShape 66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67" name="AutoShape 67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68" name="AutoShape 68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70" name="AutoShape 70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71" name="AutoShape 71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72" name="AutoShape 72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74" name="AutoShape 74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75" name="AutoShape 75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76" name="AutoShape 76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78" name="AutoShape 78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79" name="AutoShape 79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80" name="AutoShape 80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82" name="AutoShape 82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83" name="AutoShape 83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84" name="AutoShape 84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86" name="AutoShape 86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87" name="AutoShape 87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88" name="AutoShape 88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90" name="AutoShape 90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91" name="AutoShape 91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92" name="AutoShape 92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94" name="AutoShape 94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95" name="AutoShape 95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96" name="AutoShape 96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98" name="AutoShape 98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99" name="AutoShape 99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00" name="AutoShape 100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02" name="AutoShape 102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03" name="AutoShape 103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04" name="AutoShape 104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06" name="AutoShape 106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07" name="AutoShape 107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08" name="AutoShape 108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10" name="AutoShape 110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11" name="AutoShape 111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12" name="AutoShape 112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14" name="AutoShape 114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15" name="AutoShape 115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16" name="AutoShape 116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18" name="AutoShape 118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19" name="AutoShape 119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20" name="AutoShape 120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22" name="AutoShape 122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23" name="AutoShape 123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24" name="AutoShape 124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25" name="AutoShape 125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98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26" name="Rysowanie 11"/>
        <xdr:cNvSpPr>
          <a:spLocks/>
        </xdr:cNvSpPr>
      </xdr:nvSpPr>
      <xdr:spPr>
        <a:xfrm>
          <a:off x="1104900" y="26193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27" name="Rysowanie 11"/>
        <xdr:cNvSpPr>
          <a:spLocks/>
        </xdr:cNvSpPr>
      </xdr:nvSpPr>
      <xdr:spPr>
        <a:xfrm>
          <a:off x="1104900" y="26193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28" name="Rysowanie 11"/>
        <xdr:cNvSpPr>
          <a:spLocks/>
        </xdr:cNvSpPr>
      </xdr:nvSpPr>
      <xdr:spPr>
        <a:xfrm>
          <a:off x="1104900" y="26193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3"/>
  <sheetViews>
    <sheetView tabSelected="1" workbookViewId="0" topLeftCell="E43">
      <selection activeCell="E57" sqref="E57"/>
    </sheetView>
  </sheetViews>
  <sheetFormatPr defaultColWidth="9.00390625" defaultRowHeight="12.75"/>
  <cols>
    <col min="1" max="1" width="6.25390625" style="0" customWidth="1"/>
    <col min="2" max="3" width="7.75390625" style="0" customWidth="1"/>
    <col min="4" max="4" width="69.25390625" style="0" customWidth="1"/>
    <col min="5" max="5" width="20.25390625" style="0" customWidth="1"/>
    <col min="6" max="6" width="15.75390625" style="0" customWidth="1"/>
    <col min="7" max="7" width="16.75390625" style="0" customWidth="1"/>
    <col min="8" max="8" width="7.625" style="0" customWidth="1"/>
    <col min="9" max="9" width="3.875" style="0" customWidth="1"/>
  </cols>
  <sheetData>
    <row r="1" ht="12.75">
      <c r="F1" t="s">
        <v>63</v>
      </c>
    </row>
    <row r="2" ht="12.75">
      <c r="F2" t="s">
        <v>401</v>
      </c>
    </row>
    <row r="3" spans="1:6" ht="15.75">
      <c r="A3" s="16" t="s">
        <v>65</v>
      </c>
      <c r="F3" t="s">
        <v>193</v>
      </c>
    </row>
    <row r="4" ht="12.75">
      <c r="F4" t="s">
        <v>402</v>
      </c>
    </row>
    <row r="5" ht="7.5" customHeight="1"/>
    <row r="6" ht="13.5" thickBot="1">
      <c r="G6" s="90" t="s">
        <v>64</v>
      </c>
    </row>
    <row r="7" spans="1:7" ht="66" customHeight="1" thickBot="1" thickTop="1">
      <c r="A7" s="76" t="s">
        <v>57</v>
      </c>
      <c r="B7" s="77" t="s">
        <v>58</v>
      </c>
      <c r="C7" s="78" t="s">
        <v>105</v>
      </c>
      <c r="D7" s="78" t="s">
        <v>195</v>
      </c>
      <c r="E7" s="17" t="s">
        <v>92</v>
      </c>
      <c r="F7" s="17" t="s">
        <v>83</v>
      </c>
      <c r="G7" s="17" t="s">
        <v>376</v>
      </c>
    </row>
    <row r="8" spans="1:7" ht="13.5" customHeight="1" thickBot="1" thickTop="1">
      <c r="A8" s="1">
        <v>1</v>
      </c>
      <c r="B8" s="1">
        <v>2</v>
      </c>
      <c r="C8" s="2">
        <v>3</v>
      </c>
      <c r="D8" s="2">
        <v>4</v>
      </c>
      <c r="E8" s="3">
        <v>5</v>
      </c>
      <c r="F8" s="3">
        <v>6</v>
      </c>
      <c r="G8" s="3">
        <v>7</v>
      </c>
    </row>
    <row r="9" spans="1:10" ht="17.25" customHeight="1" thickBot="1" thickTop="1">
      <c r="A9" s="4"/>
      <c r="B9" s="5"/>
      <c r="C9" s="5"/>
      <c r="D9" s="49" t="s">
        <v>59</v>
      </c>
      <c r="E9" s="6">
        <v>777165419</v>
      </c>
      <c r="F9" s="6">
        <f>F11+F24</f>
        <v>559210</v>
      </c>
      <c r="G9" s="6">
        <f>E9+F9</f>
        <v>777724629</v>
      </c>
      <c r="J9" s="47"/>
    </row>
    <row r="10" spans="1:7" ht="12" customHeight="1">
      <c r="A10" s="7"/>
      <c r="B10" s="8"/>
      <c r="C10" s="8"/>
      <c r="D10" s="8" t="s">
        <v>60</v>
      </c>
      <c r="E10" s="9"/>
      <c r="F10" s="9"/>
      <c r="G10" s="9"/>
    </row>
    <row r="11" spans="1:7" ht="13.5" customHeight="1" thickBot="1">
      <c r="A11" s="10"/>
      <c r="B11" s="11"/>
      <c r="C11" s="11"/>
      <c r="D11" s="50" t="s">
        <v>66</v>
      </c>
      <c r="E11" s="12">
        <v>546855669</v>
      </c>
      <c r="F11" s="12">
        <f>F12+F13+F14+F22+F23</f>
        <v>58400</v>
      </c>
      <c r="G11" s="12">
        <f aca="true" t="shared" si="0" ref="G11:G47">E11+F11</f>
        <v>546914069</v>
      </c>
    </row>
    <row r="12" spans="1:7" ht="17.25" customHeight="1" thickBot="1">
      <c r="A12" s="7"/>
      <c r="B12" s="8"/>
      <c r="C12" s="8"/>
      <c r="D12" s="51" t="s">
        <v>61</v>
      </c>
      <c r="E12" s="14">
        <v>375445074</v>
      </c>
      <c r="F12" s="14"/>
      <c r="G12" s="14">
        <f t="shared" si="0"/>
        <v>375445074</v>
      </c>
    </row>
    <row r="13" spans="1:7" ht="18" customHeight="1" thickBot="1" thickTop="1">
      <c r="A13" s="46"/>
      <c r="B13" s="81"/>
      <c r="C13" s="81"/>
      <c r="D13" s="85" t="s">
        <v>98</v>
      </c>
      <c r="E13" s="37">
        <v>101029188</v>
      </c>
      <c r="F13" s="37"/>
      <c r="G13" s="37">
        <f t="shared" si="0"/>
        <v>101029188</v>
      </c>
    </row>
    <row r="14" spans="1:7" ht="18" customHeight="1" thickBot="1" thickTop="1">
      <c r="A14" s="7"/>
      <c r="B14" s="8"/>
      <c r="C14" s="234"/>
      <c r="D14" s="86" t="s">
        <v>77</v>
      </c>
      <c r="E14" s="87">
        <v>11423043</v>
      </c>
      <c r="F14" s="87">
        <f>F15</f>
        <v>58400</v>
      </c>
      <c r="G14" s="87">
        <f t="shared" si="0"/>
        <v>11481443</v>
      </c>
    </row>
    <row r="15" spans="1:7" ht="18" customHeight="1" thickTop="1">
      <c r="A15" s="170">
        <v>801</v>
      </c>
      <c r="B15" s="122"/>
      <c r="C15" s="231"/>
      <c r="D15" s="92" t="s">
        <v>69</v>
      </c>
      <c r="E15" s="70">
        <v>66513</v>
      </c>
      <c r="F15" s="70">
        <f>F16+F19</f>
        <v>58400</v>
      </c>
      <c r="G15" s="70">
        <f t="shared" si="0"/>
        <v>124913</v>
      </c>
    </row>
    <row r="16" spans="1:7" ht="18" customHeight="1">
      <c r="A16" s="48"/>
      <c r="B16" s="45">
        <v>80101</v>
      </c>
      <c r="C16" s="45"/>
      <c r="D16" s="45" t="s">
        <v>173</v>
      </c>
      <c r="E16" s="71">
        <v>65813</v>
      </c>
      <c r="F16" s="71">
        <f>F17</f>
        <v>39200</v>
      </c>
      <c r="G16" s="71">
        <f t="shared" si="0"/>
        <v>105013</v>
      </c>
    </row>
    <row r="17" spans="1:7" ht="26.25" customHeight="1">
      <c r="A17" s="7"/>
      <c r="B17" s="91"/>
      <c r="C17" s="91"/>
      <c r="D17" s="235" t="s">
        <v>177</v>
      </c>
      <c r="E17" s="236">
        <v>12000</v>
      </c>
      <c r="F17" s="236">
        <f>F18</f>
        <v>39200</v>
      </c>
      <c r="G17" s="236">
        <f t="shared" si="0"/>
        <v>51200</v>
      </c>
    </row>
    <row r="18" spans="1:7" ht="26.25" customHeight="1">
      <c r="A18" s="7"/>
      <c r="B18" s="8"/>
      <c r="C18" s="238">
        <v>2701</v>
      </c>
      <c r="D18" s="239" t="s">
        <v>194</v>
      </c>
      <c r="E18" s="9">
        <v>12000</v>
      </c>
      <c r="F18" s="9">
        <v>39200</v>
      </c>
      <c r="G18" s="9">
        <f t="shared" si="0"/>
        <v>51200</v>
      </c>
    </row>
    <row r="19" spans="1:7" ht="18" customHeight="1">
      <c r="A19" s="7"/>
      <c r="B19" s="45">
        <v>80110</v>
      </c>
      <c r="C19" s="45"/>
      <c r="D19" s="45" t="s">
        <v>166</v>
      </c>
      <c r="E19" s="71"/>
      <c r="F19" s="71">
        <f>F20</f>
        <v>19200</v>
      </c>
      <c r="G19" s="71">
        <f t="shared" si="0"/>
        <v>19200</v>
      </c>
    </row>
    <row r="20" spans="1:7" ht="26.25" customHeight="1">
      <c r="A20" s="7"/>
      <c r="B20" s="91"/>
      <c r="C20" s="232"/>
      <c r="D20" s="235" t="s">
        <v>177</v>
      </c>
      <c r="E20" s="236"/>
      <c r="F20" s="236">
        <f>F21</f>
        <v>19200</v>
      </c>
      <c r="G20" s="236">
        <f t="shared" si="0"/>
        <v>19200</v>
      </c>
    </row>
    <row r="21" spans="1:7" ht="26.25" customHeight="1">
      <c r="A21" s="7"/>
      <c r="B21" s="8"/>
      <c r="C21" s="238">
        <v>2701</v>
      </c>
      <c r="D21" s="239" t="s">
        <v>194</v>
      </c>
      <c r="E21" s="237"/>
      <c r="F21" s="237">
        <v>19200</v>
      </c>
      <c r="G21" s="237">
        <f>E21+F21</f>
        <v>19200</v>
      </c>
    </row>
    <row r="22" spans="1:7" ht="20.25" customHeight="1" thickBot="1">
      <c r="A22" s="52"/>
      <c r="B22" s="52"/>
      <c r="C22" s="52"/>
      <c r="D22" s="172" t="s">
        <v>79</v>
      </c>
      <c r="E22" s="37">
        <v>539300</v>
      </c>
      <c r="F22" s="37"/>
      <c r="G22" s="37">
        <f t="shared" si="0"/>
        <v>539300</v>
      </c>
    </row>
    <row r="23" spans="1:7" ht="31.5" customHeight="1" thickBot="1" thickTop="1">
      <c r="A23" s="52"/>
      <c r="B23" s="52"/>
      <c r="C23" s="52"/>
      <c r="D23" s="89" t="s">
        <v>80</v>
      </c>
      <c r="E23" s="36">
        <v>58419064</v>
      </c>
      <c r="F23" s="36"/>
      <c r="G23" s="36">
        <f t="shared" si="0"/>
        <v>58419064</v>
      </c>
    </row>
    <row r="24" spans="1:7" ht="18" customHeight="1" thickBot="1" thickTop="1">
      <c r="A24" s="7"/>
      <c r="B24" s="8"/>
      <c r="C24" s="8"/>
      <c r="D24" s="50" t="s">
        <v>99</v>
      </c>
      <c r="E24" s="79">
        <v>230309750</v>
      </c>
      <c r="F24" s="79">
        <f>F25+F26+F31+F46+F47</f>
        <v>500810</v>
      </c>
      <c r="G24" s="79">
        <f t="shared" si="0"/>
        <v>230810560</v>
      </c>
    </row>
    <row r="25" spans="1:7" ht="18" customHeight="1" thickBot="1">
      <c r="A25" s="7"/>
      <c r="B25" s="8"/>
      <c r="C25" s="8"/>
      <c r="D25" s="83" t="s">
        <v>78</v>
      </c>
      <c r="E25" s="84">
        <v>63095330</v>
      </c>
      <c r="F25" s="84"/>
      <c r="G25" s="84">
        <f t="shared" si="0"/>
        <v>63095330</v>
      </c>
    </row>
    <row r="26" spans="1:7" ht="18" customHeight="1" thickBot="1" thickTop="1">
      <c r="A26" s="13"/>
      <c r="B26" s="234"/>
      <c r="C26" s="234"/>
      <c r="D26" s="86" t="s">
        <v>76</v>
      </c>
      <c r="E26" s="87">
        <v>132195238</v>
      </c>
      <c r="F26" s="87">
        <f>F27</f>
        <v>444060</v>
      </c>
      <c r="G26" s="87">
        <f t="shared" si="0"/>
        <v>132639298</v>
      </c>
    </row>
    <row r="27" spans="1:7" ht="18" customHeight="1" thickTop="1">
      <c r="A27" s="476">
        <v>758</v>
      </c>
      <c r="B27" s="15"/>
      <c r="C27" s="231"/>
      <c r="D27" s="271" t="s">
        <v>94</v>
      </c>
      <c r="E27" s="468">
        <v>132195238</v>
      </c>
      <c r="F27" s="116">
        <f>F28</f>
        <v>444060</v>
      </c>
      <c r="G27" s="70">
        <f>E27+F27</f>
        <v>132639298</v>
      </c>
    </row>
    <row r="28" spans="1:7" ht="18.75" customHeight="1">
      <c r="A28" s="46"/>
      <c r="B28" s="233">
        <v>75801</v>
      </c>
      <c r="C28" s="477"/>
      <c r="D28" s="478" t="s">
        <v>303</v>
      </c>
      <c r="E28" s="479">
        <v>128122960</v>
      </c>
      <c r="F28" s="71">
        <f>F29</f>
        <v>444060</v>
      </c>
      <c r="G28" s="71">
        <f>E28+F28</f>
        <v>128567020</v>
      </c>
    </row>
    <row r="29" spans="1:7" ht="19.5" customHeight="1">
      <c r="A29" s="7"/>
      <c r="B29" s="91"/>
      <c r="C29" s="91"/>
      <c r="D29" s="480" t="s">
        <v>304</v>
      </c>
      <c r="E29" s="245">
        <v>128122960</v>
      </c>
      <c r="F29" s="241">
        <f>F30</f>
        <v>444060</v>
      </c>
      <c r="G29" s="171">
        <f>E29+F29</f>
        <v>128567020</v>
      </c>
    </row>
    <row r="30" spans="1:7" ht="19.5" customHeight="1">
      <c r="A30" s="483"/>
      <c r="B30" s="112"/>
      <c r="C30" s="483">
        <v>2920</v>
      </c>
      <c r="D30" s="239" t="s">
        <v>305</v>
      </c>
      <c r="E30" s="267">
        <v>128122960</v>
      </c>
      <c r="F30" s="243">
        <v>444060</v>
      </c>
      <c r="G30" s="244">
        <f>E30+F30</f>
        <v>128567020</v>
      </c>
    </row>
    <row r="31" spans="1:7" ht="18" customHeight="1" thickBot="1">
      <c r="A31" s="217"/>
      <c r="B31" s="189"/>
      <c r="C31" s="189"/>
      <c r="D31" s="115" t="s">
        <v>77</v>
      </c>
      <c r="E31" s="36">
        <v>9121251</v>
      </c>
      <c r="F31" s="36">
        <f>F32+F42</f>
        <v>56750</v>
      </c>
      <c r="G31" s="36">
        <f t="shared" si="0"/>
        <v>9178001</v>
      </c>
    </row>
    <row r="32" spans="1:7" ht="18" customHeight="1" thickTop="1">
      <c r="A32" s="170">
        <v>801</v>
      </c>
      <c r="B32" s="122"/>
      <c r="C32" s="231"/>
      <c r="D32" s="92" t="s">
        <v>69</v>
      </c>
      <c r="E32" s="70">
        <v>900</v>
      </c>
      <c r="F32" s="116">
        <f>F33+F36+F39</f>
        <v>36250</v>
      </c>
      <c r="G32" s="70">
        <f t="shared" si="0"/>
        <v>37150</v>
      </c>
    </row>
    <row r="33" spans="1:7" ht="18.75" customHeight="1">
      <c r="A33" s="48"/>
      <c r="B33" s="45">
        <v>80120</v>
      </c>
      <c r="C33" s="45"/>
      <c r="D33" s="45" t="s">
        <v>100</v>
      </c>
      <c r="E33" s="71"/>
      <c r="F33" s="71">
        <f>F34</f>
        <v>4480</v>
      </c>
      <c r="G33" s="71">
        <f t="shared" si="0"/>
        <v>4480</v>
      </c>
    </row>
    <row r="34" spans="1:7" ht="25.5" customHeight="1">
      <c r="A34" s="7"/>
      <c r="B34" s="91"/>
      <c r="C34" s="91"/>
      <c r="D34" s="247" t="s">
        <v>177</v>
      </c>
      <c r="E34" s="240"/>
      <c r="F34" s="241">
        <f>F35</f>
        <v>4480</v>
      </c>
      <c r="G34" s="171">
        <f t="shared" si="0"/>
        <v>4480</v>
      </c>
    </row>
    <row r="35" spans="1:7" ht="25.5" customHeight="1">
      <c r="A35" s="7"/>
      <c r="B35" s="8"/>
      <c r="C35" s="238">
        <v>2701</v>
      </c>
      <c r="D35" s="239" t="s">
        <v>194</v>
      </c>
      <c r="E35" s="242"/>
      <c r="F35" s="243">
        <v>4480</v>
      </c>
      <c r="G35" s="244">
        <f t="shared" si="0"/>
        <v>4480</v>
      </c>
    </row>
    <row r="36" spans="1:7" ht="18.75" customHeight="1">
      <c r="A36" s="7"/>
      <c r="B36" s="45">
        <v>80130</v>
      </c>
      <c r="C36" s="45"/>
      <c r="D36" s="45" t="s">
        <v>170</v>
      </c>
      <c r="E36" s="71"/>
      <c r="F36" s="71">
        <f>F37</f>
        <v>15240</v>
      </c>
      <c r="G36" s="71">
        <f t="shared" si="0"/>
        <v>15240</v>
      </c>
    </row>
    <row r="37" spans="1:7" ht="25.5" customHeight="1">
      <c r="A37" s="7"/>
      <c r="B37" s="91"/>
      <c r="C37" s="91"/>
      <c r="D37" s="235" t="s">
        <v>177</v>
      </c>
      <c r="E37" s="245"/>
      <c r="F37" s="246">
        <f>F38</f>
        <v>15240</v>
      </c>
      <c r="G37" s="236">
        <f t="shared" si="0"/>
        <v>15240</v>
      </c>
    </row>
    <row r="38" spans="1:7" ht="25.5" customHeight="1">
      <c r="A38" s="7"/>
      <c r="B38" s="8"/>
      <c r="C38" s="238">
        <v>2701</v>
      </c>
      <c r="D38" s="239" t="s">
        <v>194</v>
      </c>
      <c r="E38" s="229"/>
      <c r="F38" s="230">
        <v>15240</v>
      </c>
      <c r="G38" s="237">
        <f t="shared" si="0"/>
        <v>15240</v>
      </c>
    </row>
    <row r="39" spans="1:7" ht="25.5" customHeight="1">
      <c r="A39" s="7"/>
      <c r="B39" s="45">
        <v>80140</v>
      </c>
      <c r="C39" s="233"/>
      <c r="D39" s="32" t="s">
        <v>175</v>
      </c>
      <c r="E39" s="71"/>
      <c r="F39" s="71">
        <f>F40</f>
        <v>16530</v>
      </c>
      <c r="G39" s="71">
        <f t="shared" si="0"/>
        <v>16530</v>
      </c>
    </row>
    <row r="40" spans="1:7" ht="25.5" customHeight="1">
      <c r="A40" s="7"/>
      <c r="B40" s="91"/>
      <c r="C40" s="91"/>
      <c r="D40" s="247" t="s">
        <v>177</v>
      </c>
      <c r="E40" s="240"/>
      <c r="F40" s="241">
        <f>F41</f>
        <v>16530</v>
      </c>
      <c r="G40" s="171">
        <f t="shared" si="0"/>
        <v>16530</v>
      </c>
    </row>
    <row r="41" spans="1:7" ht="25.5" customHeight="1">
      <c r="A41" s="13"/>
      <c r="B41" s="234"/>
      <c r="C41" s="238">
        <v>2701</v>
      </c>
      <c r="D41" s="239" t="s">
        <v>194</v>
      </c>
      <c r="E41" s="242"/>
      <c r="F41" s="243">
        <v>16530</v>
      </c>
      <c r="G41" s="244">
        <f t="shared" si="0"/>
        <v>16530</v>
      </c>
    </row>
    <row r="42" spans="1:7" ht="18" customHeight="1">
      <c r="A42" s="170">
        <v>854</v>
      </c>
      <c r="B42" s="122"/>
      <c r="C42" s="231"/>
      <c r="D42" s="92" t="s">
        <v>71</v>
      </c>
      <c r="E42" s="70">
        <v>5400</v>
      </c>
      <c r="F42" s="116">
        <f>F43</f>
        <v>20500</v>
      </c>
      <c r="G42" s="70">
        <f t="shared" si="0"/>
        <v>25900</v>
      </c>
    </row>
    <row r="43" spans="1:7" ht="18.75" customHeight="1">
      <c r="A43" s="48"/>
      <c r="B43" s="45">
        <v>85403</v>
      </c>
      <c r="C43" s="45"/>
      <c r="D43" s="45" t="s">
        <v>178</v>
      </c>
      <c r="E43" s="71">
        <v>5400</v>
      </c>
      <c r="F43" s="71">
        <f>F44</f>
        <v>20500</v>
      </c>
      <c r="G43" s="71">
        <f t="shared" si="0"/>
        <v>25900</v>
      </c>
    </row>
    <row r="44" spans="1:7" ht="30" customHeight="1">
      <c r="A44" s="7"/>
      <c r="B44" s="91"/>
      <c r="C44" s="232"/>
      <c r="D44" s="235" t="s">
        <v>177</v>
      </c>
      <c r="E44" s="245">
        <v>5400</v>
      </c>
      <c r="F44" s="246">
        <f>F45</f>
        <v>20500</v>
      </c>
      <c r="G44" s="236">
        <f t="shared" si="0"/>
        <v>25900</v>
      </c>
    </row>
    <row r="45" spans="1:7" ht="30" customHeight="1">
      <c r="A45" s="7"/>
      <c r="B45" s="8"/>
      <c r="C45" s="238">
        <v>2701</v>
      </c>
      <c r="D45" s="239" t="s">
        <v>194</v>
      </c>
      <c r="E45" s="229">
        <v>5400</v>
      </c>
      <c r="F45" s="230">
        <v>20500</v>
      </c>
      <c r="G45" s="237">
        <f t="shared" si="0"/>
        <v>25900</v>
      </c>
    </row>
    <row r="46" spans="1:7" ht="18" customHeight="1" thickBot="1">
      <c r="A46" s="52"/>
      <c r="B46" s="52"/>
      <c r="C46" s="52"/>
      <c r="D46" s="35" t="s">
        <v>79</v>
      </c>
      <c r="E46" s="36">
        <v>4614613</v>
      </c>
      <c r="F46" s="36"/>
      <c r="G46" s="36">
        <f t="shared" si="0"/>
        <v>4614613</v>
      </c>
    </row>
    <row r="47" spans="1:7" ht="30" customHeight="1" thickTop="1">
      <c r="A47" s="117"/>
      <c r="B47" s="117"/>
      <c r="C47" s="117"/>
      <c r="D47" s="32" t="s">
        <v>110</v>
      </c>
      <c r="E47" s="200">
        <v>21283318</v>
      </c>
      <c r="F47" s="200"/>
      <c r="G47" s="200">
        <f t="shared" si="0"/>
        <v>21283318</v>
      </c>
    </row>
    <row r="48" spans="5:7" ht="12.75">
      <c r="E48" s="47"/>
      <c r="F48" s="47"/>
      <c r="G48" s="47"/>
    </row>
    <row r="49" spans="5:7" ht="12.75">
      <c r="E49" s="47"/>
      <c r="F49" s="47"/>
      <c r="G49" s="47"/>
    </row>
    <row r="50" spans="5:7" ht="12.75">
      <c r="E50" s="47"/>
      <c r="F50" s="47"/>
      <c r="G50" s="47"/>
    </row>
    <row r="51" spans="2:7" ht="12.75">
      <c r="B51" t="s">
        <v>412</v>
      </c>
      <c r="E51" t="s">
        <v>415</v>
      </c>
      <c r="F51" s="47"/>
      <c r="G51" s="47"/>
    </row>
    <row r="52" spans="2:7" ht="12.75">
      <c r="B52" t="s">
        <v>413</v>
      </c>
      <c r="E52" s="47" t="s">
        <v>416</v>
      </c>
      <c r="F52" s="47"/>
      <c r="G52" s="47"/>
    </row>
    <row r="53" spans="2:7" ht="12.75">
      <c r="B53" t="s">
        <v>414</v>
      </c>
      <c r="E53" s="47" t="s">
        <v>417</v>
      </c>
      <c r="F53" s="47"/>
      <c r="G53" s="47"/>
    </row>
    <row r="54" spans="5:7" ht="12.75">
      <c r="E54" s="47"/>
      <c r="F54" s="47"/>
      <c r="G54" s="47"/>
    </row>
    <row r="55" spans="5:7" ht="12.75">
      <c r="E55" s="47"/>
      <c r="F55" s="47"/>
      <c r="G55" s="47"/>
    </row>
    <row r="56" spans="5:7" ht="12.75">
      <c r="E56" s="47"/>
      <c r="F56" s="47"/>
      <c r="G56" s="47"/>
    </row>
    <row r="57" spans="5:7" ht="12.75">
      <c r="E57" s="47"/>
      <c r="F57" s="47"/>
      <c r="G57" s="47"/>
    </row>
    <row r="58" spans="5:7" ht="12.75">
      <c r="E58" s="47"/>
      <c r="F58" s="47"/>
      <c r="G58" s="47"/>
    </row>
    <row r="59" spans="5:7" ht="12.75">
      <c r="E59" s="47"/>
      <c r="F59" s="47"/>
      <c r="G59" s="47"/>
    </row>
    <row r="60" spans="5:7" ht="12.75">
      <c r="E60" s="47"/>
      <c r="F60" s="47"/>
      <c r="G60" s="47"/>
    </row>
    <row r="61" spans="5:7" ht="12.75">
      <c r="E61" s="47"/>
      <c r="F61" s="47"/>
      <c r="G61" s="47"/>
    </row>
    <row r="62" spans="5:7" ht="12.75">
      <c r="E62" s="47"/>
      <c r="F62" s="47"/>
      <c r="G62" s="47"/>
    </row>
    <row r="63" spans="5:7" ht="12.75">
      <c r="E63" s="47"/>
      <c r="F63" s="47"/>
      <c r="G63" s="47"/>
    </row>
    <row r="64" spans="5:7" ht="12.75">
      <c r="E64" s="47"/>
      <c r="F64" s="47"/>
      <c r="G64" s="47"/>
    </row>
    <row r="65" spans="5:7" ht="12.75">
      <c r="E65" s="47"/>
      <c r="F65" s="47"/>
      <c r="G65" s="47"/>
    </row>
    <row r="66" spans="5:7" ht="12.75">
      <c r="E66" s="47"/>
      <c r="F66" s="47"/>
      <c r="G66" s="47"/>
    </row>
    <row r="67" spans="5:7" ht="12.75">
      <c r="E67" s="47"/>
      <c r="F67" s="47"/>
      <c r="G67" s="47"/>
    </row>
    <row r="68" ht="12.75">
      <c r="F68" s="47"/>
    </row>
    <row r="69" ht="12.75">
      <c r="F69" s="47"/>
    </row>
    <row r="70" ht="12.75">
      <c r="F70" s="47"/>
    </row>
    <row r="71" ht="12.75">
      <c r="F71" s="47"/>
    </row>
    <row r="72" ht="12.75">
      <c r="F72" s="47"/>
    </row>
    <row r="73" ht="12.75">
      <c r="F73" s="47"/>
    </row>
    <row r="74" ht="12.75">
      <c r="F74" s="47"/>
    </row>
    <row r="75" ht="12.75">
      <c r="F75" s="47"/>
    </row>
    <row r="76" ht="12.75">
      <c r="F76" s="47"/>
    </row>
    <row r="77" ht="12.75">
      <c r="F77" s="47"/>
    </row>
    <row r="78" ht="12.75">
      <c r="F78" s="47"/>
    </row>
    <row r="79" ht="12.75">
      <c r="F79" s="47"/>
    </row>
    <row r="80" ht="12.75">
      <c r="F80" s="47"/>
    </row>
    <row r="81" ht="12.75">
      <c r="F81" s="47"/>
    </row>
    <row r="82" ht="12.75">
      <c r="F82" s="47"/>
    </row>
    <row r="83" ht="12.75">
      <c r="F83" s="47"/>
    </row>
    <row r="84" ht="12.75">
      <c r="F84" s="47"/>
    </row>
    <row r="85" ht="12.75">
      <c r="F85" s="47"/>
    </row>
    <row r="86" ht="12.75">
      <c r="F86" s="47"/>
    </row>
    <row r="87" ht="12.75">
      <c r="F87" s="47"/>
    </row>
    <row r="88" ht="12.75">
      <c r="F88" s="47"/>
    </row>
    <row r="89" ht="12.75">
      <c r="F89" s="47"/>
    </row>
    <row r="90" ht="12.75">
      <c r="F90" s="47"/>
    </row>
    <row r="91" ht="12.75">
      <c r="F91" s="47"/>
    </row>
    <row r="92" ht="12.75">
      <c r="F92" s="47"/>
    </row>
    <row r="93" ht="12.75">
      <c r="F93" s="47"/>
    </row>
    <row r="94" ht="12.75">
      <c r="F94" s="47"/>
    </row>
    <row r="95" ht="12.75">
      <c r="F95" s="47"/>
    </row>
    <row r="96" ht="12.75">
      <c r="F96" s="47"/>
    </row>
    <row r="97" ht="12.75">
      <c r="F97" s="47"/>
    </row>
    <row r="98" ht="12.75">
      <c r="F98" s="47"/>
    </row>
    <row r="99" ht="12.75">
      <c r="F99" s="47"/>
    </row>
    <row r="100" ht="12.75">
      <c r="F100" s="47"/>
    </row>
    <row r="101" ht="12.75">
      <c r="F101" s="47"/>
    </row>
    <row r="102" ht="12.75">
      <c r="F102" s="47"/>
    </row>
    <row r="103" ht="12.75">
      <c r="F103" s="47"/>
    </row>
    <row r="104" ht="12.75">
      <c r="F104" s="47"/>
    </row>
    <row r="105" ht="12.75">
      <c r="F105" s="47"/>
    </row>
    <row r="106" ht="12.75">
      <c r="F106" s="47"/>
    </row>
    <row r="107" ht="12.75">
      <c r="F107" s="47"/>
    </row>
    <row r="108" ht="12.75">
      <c r="F108" s="47"/>
    </row>
    <row r="109" ht="12.75">
      <c r="F109" s="47"/>
    </row>
    <row r="110" ht="12.75">
      <c r="F110" s="47"/>
    </row>
    <row r="111" ht="12.75">
      <c r="F111" s="47"/>
    </row>
    <row r="112" ht="12.75">
      <c r="F112" s="47"/>
    </row>
    <row r="113" ht="12.75">
      <c r="F113" s="47"/>
    </row>
    <row r="114" ht="12.75">
      <c r="F114" s="47"/>
    </row>
    <row r="115" ht="12.75">
      <c r="F115" s="47"/>
    </row>
    <row r="116" ht="12.75">
      <c r="F116" s="47"/>
    </row>
    <row r="117" ht="12.75">
      <c r="F117" s="47"/>
    </row>
    <row r="118" ht="12.75">
      <c r="F118" s="47"/>
    </row>
    <row r="119" ht="12.75">
      <c r="F119" s="47"/>
    </row>
    <row r="120" ht="12.75">
      <c r="F120" s="47"/>
    </row>
    <row r="121" ht="12.75">
      <c r="F121" s="47"/>
    </row>
    <row r="122" ht="12.75">
      <c r="F122" s="47"/>
    </row>
    <row r="123" ht="12.75">
      <c r="F123" s="47"/>
    </row>
    <row r="124" ht="12.75">
      <c r="F124" s="47"/>
    </row>
    <row r="125" ht="12.75">
      <c r="F125" s="47"/>
    </row>
    <row r="126" ht="12.75">
      <c r="F126" s="47"/>
    </row>
    <row r="127" ht="12.75">
      <c r="F127" s="47"/>
    </row>
    <row r="128" ht="12.75">
      <c r="F128" s="47"/>
    </row>
    <row r="129" ht="12.75">
      <c r="F129" s="47"/>
    </row>
    <row r="130" ht="12.75">
      <c r="F130" s="47"/>
    </row>
    <row r="131" ht="12.75">
      <c r="F131" s="47"/>
    </row>
    <row r="132" ht="12.75">
      <c r="F132" s="47"/>
    </row>
    <row r="133" ht="12.75">
      <c r="F133" s="47"/>
    </row>
    <row r="134" ht="12.75">
      <c r="F134" s="47"/>
    </row>
    <row r="135" ht="12.75">
      <c r="F135" s="47"/>
    </row>
    <row r="136" ht="12.75">
      <c r="F136" s="47"/>
    </row>
    <row r="137" ht="12.75">
      <c r="F137" s="47"/>
    </row>
    <row r="138" ht="12.75">
      <c r="F138" s="47"/>
    </row>
    <row r="139" ht="12.75">
      <c r="F139" s="47"/>
    </row>
    <row r="140" ht="12.75">
      <c r="F140" s="47"/>
    </row>
    <row r="141" ht="12.75">
      <c r="F141" s="47"/>
    </row>
    <row r="142" ht="12.75">
      <c r="F142" s="47"/>
    </row>
    <row r="143" ht="12.75">
      <c r="F143" s="47"/>
    </row>
    <row r="144" ht="12.75">
      <c r="F144" s="47"/>
    </row>
    <row r="145" ht="12.75">
      <c r="F145" s="47"/>
    </row>
    <row r="146" ht="12.75">
      <c r="F146" s="47"/>
    </row>
    <row r="147" ht="12.75">
      <c r="F147" s="47"/>
    </row>
    <row r="148" ht="12.75">
      <c r="F148" s="47"/>
    </row>
    <row r="149" ht="12.75">
      <c r="F149" s="47"/>
    </row>
    <row r="150" ht="12.75">
      <c r="F150" s="47"/>
    </row>
    <row r="151" ht="12.75">
      <c r="F151" s="47"/>
    </row>
    <row r="152" ht="12.75">
      <c r="F152" s="47"/>
    </row>
    <row r="153" ht="12.75">
      <c r="F153" s="47"/>
    </row>
    <row r="154" ht="12.75">
      <c r="F154" s="47"/>
    </row>
    <row r="155" ht="12.75">
      <c r="F155" s="47"/>
    </row>
    <row r="156" ht="12.75">
      <c r="F156" s="47"/>
    </row>
    <row r="157" ht="12.75">
      <c r="F157" s="47"/>
    </row>
    <row r="158" ht="12.75">
      <c r="F158" s="47"/>
    </row>
    <row r="159" ht="12.75">
      <c r="F159" s="47"/>
    </row>
    <row r="160" ht="12.75">
      <c r="F160" s="47"/>
    </row>
    <row r="161" ht="12.75">
      <c r="F161" s="47"/>
    </row>
    <row r="162" ht="12.75">
      <c r="F162" s="47"/>
    </row>
    <row r="163" ht="12.75">
      <c r="F163" s="47"/>
    </row>
    <row r="164" ht="12.75">
      <c r="F164" s="47"/>
    </row>
    <row r="165" ht="12.75">
      <c r="F165" s="47"/>
    </row>
    <row r="166" ht="12.75">
      <c r="F166" s="47"/>
    </row>
    <row r="167" ht="12.75">
      <c r="F167" s="47"/>
    </row>
    <row r="168" ht="12.75">
      <c r="F168" s="47"/>
    </row>
    <row r="169" ht="12.75">
      <c r="F169" s="47"/>
    </row>
    <row r="170" ht="12.75">
      <c r="F170" s="47"/>
    </row>
    <row r="171" ht="12.75">
      <c r="F171" s="47"/>
    </row>
    <row r="172" ht="12.75">
      <c r="F172" s="47"/>
    </row>
    <row r="173" ht="12.75">
      <c r="F173" s="47"/>
    </row>
    <row r="174" ht="12.75">
      <c r="F174" s="47"/>
    </row>
    <row r="175" ht="12.75">
      <c r="F175" s="47"/>
    </row>
    <row r="176" ht="12.75">
      <c r="F176" s="47"/>
    </row>
    <row r="177" ht="12.75">
      <c r="F177" s="47"/>
    </row>
    <row r="178" ht="12.75">
      <c r="F178" s="47"/>
    </row>
    <row r="179" ht="12.75">
      <c r="F179" s="47"/>
    </row>
    <row r="180" ht="12.75">
      <c r="F180" s="47"/>
    </row>
    <row r="181" ht="12.75">
      <c r="F181" s="47"/>
    </row>
    <row r="182" ht="12.75">
      <c r="F182" s="47"/>
    </row>
    <row r="183" ht="12.75">
      <c r="F183" s="47"/>
    </row>
    <row r="184" ht="12.75">
      <c r="F184" s="47"/>
    </row>
    <row r="185" ht="12.75">
      <c r="F185" s="47"/>
    </row>
    <row r="186" ht="12.75">
      <c r="F186" s="47"/>
    </row>
    <row r="187" ht="12.75">
      <c r="F187" s="47"/>
    </row>
    <row r="188" ht="12.75">
      <c r="F188" s="47"/>
    </row>
    <row r="189" ht="12.75">
      <c r="F189" s="47"/>
    </row>
    <row r="190" ht="12.75">
      <c r="F190" s="47"/>
    </row>
    <row r="191" ht="12.75">
      <c r="F191" s="47"/>
    </row>
    <row r="192" ht="12.75">
      <c r="F192" s="47"/>
    </row>
    <row r="193" ht="12.75">
      <c r="F193" s="47"/>
    </row>
    <row r="194" ht="12.75">
      <c r="F194" s="47"/>
    </row>
    <row r="195" ht="12.75">
      <c r="F195" s="47"/>
    </row>
    <row r="196" ht="12.75">
      <c r="F196" s="47"/>
    </row>
    <row r="197" ht="12.75">
      <c r="F197" s="47"/>
    </row>
    <row r="198" ht="12.75">
      <c r="F198" s="47"/>
    </row>
    <row r="199" ht="12.75">
      <c r="F199" s="47"/>
    </row>
    <row r="200" ht="12.75">
      <c r="F200" s="47"/>
    </row>
    <row r="201" ht="12.75">
      <c r="F201" s="47"/>
    </row>
    <row r="202" ht="12.75">
      <c r="F202" s="47"/>
    </row>
    <row r="203" ht="12.75">
      <c r="F203" s="47"/>
    </row>
    <row r="204" ht="12.75">
      <c r="F204" s="47"/>
    </row>
    <row r="205" ht="12.75">
      <c r="F205" s="47"/>
    </row>
    <row r="206" ht="12.75">
      <c r="F206" s="47"/>
    </row>
    <row r="207" ht="12.75">
      <c r="F207" s="47"/>
    </row>
    <row r="208" ht="12.75">
      <c r="F208" s="47"/>
    </row>
    <row r="209" ht="12.75">
      <c r="F209" s="47"/>
    </row>
    <row r="210" ht="12.75">
      <c r="F210" s="47"/>
    </row>
    <row r="211" ht="12.75">
      <c r="F211" s="47"/>
    </row>
    <row r="212" ht="12.75">
      <c r="F212" s="47"/>
    </row>
    <row r="213" ht="12.75">
      <c r="F213" s="47"/>
    </row>
    <row r="214" ht="12.75">
      <c r="F214" s="47"/>
    </row>
    <row r="215" ht="12.75">
      <c r="F215" s="47"/>
    </row>
    <row r="216" ht="12.75">
      <c r="F216" s="47"/>
    </row>
    <row r="217" ht="12.75">
      <c r="F217" s="47"/>
    </row>
    <row r="218" ht="12.75">
      <c r="F218" s="47"/>
    </row>
    <row r="219" ht="12.75">
      <c r="F219" s="47"/>
    </row>
    <row r="220" ht="12.75">
      <c r="F220" s="47"/>
    </row>
    <row r="221" ht="12.75">
      <c r="F221" s="47"/>
    </row>
    <row r="222" ht="12.75">
      <c r="F222" s="47"/>
    </row>
    <row r="223" ht="12.75">
      <c r="F223" s="47"/>
    </row>
    <row r="224" ht="12.75">
      <c r="F224" s="47"/>
    </row>
    <row r="225" ht="12.75">
      <c r="F225" s="47"/>
    </row>
    <row r="226" ht="12.75">
      <c r="F226" s="47"/>
    </row>
    <row r="227" ht="12.75">
      <c r="F227" s="47"/>
    </row>
    <row r="228" ht="12.75">
      <c r="F228" s="47"/>
    </row>
    <row r="229" ht="12.75">
      <c r="F229" s="47"/>
    </row>
    <row r="230" ht="12.75">
      <c r="F230" s="47"/>
    </row>
    <row r="231" ht="12.75">
      <c r="F231" s="47"/>
    </row>
    <row r="232" ht="12.75">
      <c r="F232" s="47"/>
    </row>
    <row r="233" ht="12.75">
      <c r="F233" s="47"/>
    </row>
    <row r="234" ht="12.75">
      <c r="F234" s="47"/>
    </row>
    <row r="235" ht="12.75">
      <c r="F235" s="47"/>
    </row>
    <row r="236" ht="12.75">
      <c r="F236" s="47"/>
    </row>
    <row r="237" ht="12.75">
      <c r="F237" s="47"/>
    </row>
    <row r="238" ht="12.75">
      <c r="F238" s="47"/>
    </row>
    <row r="239" ht="12.75">
      <c r="F239" s="47"/>
    </row>
    <row r="240" ht="12.75">
      <c r="F240" s="47"/>
    </row>
    <row r="241" ht="12.75">
      <c r="F241" s="47"/>
    </row>
    <row r="242" ht="12.75">
      <c r="F242" s="47"/>
    </row>
    <row r="243" ht="12.75">
      <c r="F243" s="47"/>
    </row>
    <row r="244" ht="12.75">
      <c r="F244" s="47"/>
    </row>
    <row r="245" ht="12.75">
      <c r="F245" s="47"/>
    </row>
    <row r="246" ht="12.75">
      <c r="F246" s="47"/>
    </row>
    <row r="247" ht="12.75">
      <c r="F247" s="47"/>
    </row>
    <row r="248" ht="12.75">
      <c r="F248" s="47"/>
    </row>
    <row r="249" ht="12.75">
      <c r="F249" s="47"/>
    </row>
    <row r="250" ht="12.75">
      <c r="F250" s="47"/>
    </row>
    <row r="251" ht="12.75">
      <c r="F251" s="47"/>
    </row>
    <row r="252" ht="12.75">
      <c r="F252" s="47"/>
    </row>
    <row r="253" ht="12.75">
      <c r="F253" s="47"/>
    </row>
    <row r="254" ht="12.75">
      <c r="F254" s="47"/>
    </row>
    <row r="255" ht="12.75">
      <c r="F255" s="47"/>
    </row>
    <row r="256" ht="12.75">
      <c r="F256" s="47"/>
    </row>
    <row r="257" ht="12.75">
      <c r="F257" s="47"/>
    </row>
    <row r="258" ht="12.75">
      <c r="F258" s="47"/>
    </row>
    <row r="259" ht="12.75">
      <c r="F259" s="47"/>
    </row>
    <row r="260" ht="12.75">
      <c r="F260" s="47"/>
    </row>
    <row r="261" ht="12.75">
      <c r="F261" s="47"/>
    </row>
    <row r="262" ht="12.75">
      <c r="F262" s="47"/>
    </row>
    <row r="263" ht="12.75">
      <c r="F263" s="47"/>
    </row>
    <row r="264" ht="12.75">
      <c r="F264" s="47"/>
    </row>
    <row r="265" ht="12.75">
      <c r="F265" s="47"/>
    </row>
    <row r="266" ht="12.75">
      <c r="F266" s="47"/>
    </row>
    <row r="267" ht="12.75">
      <c r="F267" s="47"/>
    </row>
    <row r="268" ht="12.75">
      <c r="F268" s="47"/>
    </row>
    <row r="269" ht="12.75">
      <c r="F269" s="47"/>
    </row>
    <row r="270" ht="12.75">
      <c r="F270" s="47"/>
    </row>
    <row r="271" ht="12.75">
      <c r="F271" s="47"/>
    </row>
    <row r="272" ht="12.75">
      <c r="F272" s="47"/>
    </row>
    <row r="273" ht="12.75">
      <c r="F273" s="47"/>
    </row>
    <row r="274" ht="12.75">
      <c r="F274" s="47"/>
    </row>
    <row r="275" ht="12.75">
      <c r="F275" s="47"/>
    </row>
    <row r="276" ht="12.75">
      <c r="F276" s="47"/>
    </row>
    <row r="277" ht="12.75">
      <c r="F277" s="47"/>
    </row>
    <row r="278" ht="12.75">
      <c r="F278" s="47"/>
    </row>
    <row r="279" ht="12.75">
      <c r="F279" s="47"/>
    </row>
    <row r="280" ht="12.75">
      <c r="F280" s="47"/>
    </row>
    <row r="281" ht="12.75">
      <c r="F281" s="47"/>
    </row>
    <row r="282" ht="12.75">
      <c r="F282" s="47"/>
    </row>
    <row r="283" ht="12.75">
      <c r="F283" s="47"/>
    </row>
    <row r="284" ht="12.75">
      <c r="F284" s="47"/>
    </row>
    <row r="285" ht="12.75">
      <c r="F285" s="47"/>
    </row>
    <row r="286" ht="12.75">
      <c r="F286" s="47"/>
    </row>
    <row r="287" ht="12.75">
      <c r="F287" s="47"/>
    </row>
    <row r="288" ht="12.75">
      <c r="F288" s="47"/>
    </row>
    <row r="289" ht="12.75">
      <c r="F289" s="47"/>
    </row>
    <row r="290" ht="12.75">
      <c r="F290" s="47"/>
    </row>
    <row r="291" ht="12.75">
      <c r="F291" s="47"/>
    </row>
    <row r="292" ht="12.75">
      <c r="F292" s="47"/>
    </row>
    <row r="293" ht="12.75">
      <c r="F293" s="47"/>
    </row>
    <row r="294" ht="12.75">
      <c r="F294" s="47"/>
    </row>
    <row r="295" ht="12.75">
      <c r="F295" s="47"/>
    </row>
    <row r="296" ht="12.75">
      <c r="F296" s="47"/>
    </row>
    <row r="297" ht="12.75">
      <c r="F297" s="47"/>
    </row>
    <row r="298" ht="12.75">
      <c r="F298" s="47"/>
    </row>
    <row r="299" ht="12.75">
      <c r="F299" s="47"/>
    </row>
    <row r="300" ht="12.75">
      <c r="F300" s="47"/>
    </row>
    <row r="301" ht="12.75">
      <c r="F301" s="47"/>
    </row>
    <row r="302" ht="12.75">
      <c r="F302" s="47"/>
    </row>
    <row r="303" ht="12.75">
      <c r="F303" s="47"/>
    </row>
    <row r="304" ht="12.75">
      <c r="F304" s="47"/>
    </row>
    <row r="305" ht="12.75">
      <c r="F305" s="47"/>
    </row>
    <row r="306" ht="12.75">
      <c r="F306" s="47"/>
    </row>
    <row r="307" ht="12.75">
      <c r="F307" s="47"/>
    </row>
    <row r="308" ht="12.75">
      <c r="F308" s="47"/>
    </row>
    <row r="309" ht="12.75">
      <c r="F309" s="47"/>
    </row>
    <row r="310" ht="12.75">
      <c r="F310" s="47"/>
    </row>
    <row r="311" ht="12.75">
      <c r="F311" s="47"/>
    </row>
    <row r="312" ht="12.75">
      <c r="F312" s="47"/>
    </row>
    <row r="313" ht="12.75">
      <c r="F313" s="47"/>
    </row>
    <row r="314" ht="12.75">
      <c r="F314" s="47"/>
    </row>
    <row r="315" ht="12.75">
      <c r="F315" s="47"/>
    </row>
    <row r="316" ht="12.75">
      <c r="F316" s="47"/>
    </row>
    <row r="317" ht="12.75">
      <c r="F317" s="47"/>
    </row>
    <row r="318" ht="12.75">
      <c r="F318" s="47"/>
    </row>
    <row r="319" ht="12.75">
      <c r="F319" s="47"/>
    </row>
    <row r="320" ht="12.75">
      <c r="F320" s="47"/>
    </row>
    <row r="321" ht="12.75">
      <c r="F321" s="47"/>
    </row>
    <row r="322" ht="12.75">
      <c r="F322" s="47"/>
    </row>
    <row r="323" ht="12.75">
      <c r="F323" s="47"/>
    </row>
    <row r="324" ht="12.75">
      <c r="F324" s="47"/>
    </row>
    <row r="325" ht="12.75">
      <c r="F325" s="47"/>
    </row>
    <row r="326" ht="12.75">
      <c r="F326" s="47"/>
    </row>
    <row r="327" ht="12.75">
      <c r="F327" s="47"/>
    </row>
    <row r="328" ht="12.75">
      <c r="F328" s="47"/>
    </row>
    <row r="329" ht="12.75">
      <c r="F329" s="47"/>
    </row>
    <row r="330" ht="12.75">
      <c r="F330" s="47"/>
    </row>
    <row r="331" ht="12.75">
      <c r="F331" s="47"/>
    </row>
    <row r="332" ht="12.75">
      <c r="F332" s="47"/>
    </row>
    <row r="333" ht="12.75">
      <c r="F333" s="47"/>
    </row>
    <row r="334" ht="12.75">
      <c r="F334" s="47"/>
    </row>
    <row r="335" ht="12.75">
      <c r="F335" s="47"/>
    </row>
    <row r="336" ht="12.75">
      <c r="F336" s="47"/>
    </row>
    <row r="337" ht="12.75">
      <c r="F337" s="47"/>
    </row>
    <row r="338" ht="12.75">
      <c r="F338" s="47"/>
    </row>
    <row r="339" ht="12.75">
      <c r="F339" s="47"/>
    </row>
    <row r="340" ht="12.75">
      <c r="F340" s="47"/>
    </row>
    <row r="341" ht="12.75">
      <c r="F341" s="47"/>
    </row>
    <row r="342" ht="12.75">
      <c r="F342" s="47"/>
    </row>
    <row r="343" ht="12.75">
      <c r="F343" s="47"/>
    </row>
    <row r="344" ht="12.75">
      <c r="F344" s="47"/>
    </row>
    <row r="345" ht="12.75">
      <c r="F345" s="47"/>
    </row>
    <row r="346" ht="12.75">
      <c r="F346" s="47"/>
    </row>
    <row r="347" ht="12.75">
      <c r="F347" s="47"/>
    </row>
    <row r="348" ht="12.75">
      <c r="F348" s="47"/>
    </row>
    <row r="349" ht="12.75">
      <c r="F349" s="47"/>
    </row>
    <row r="350" ht="12.75">
      <c r="F350" s="47"/>
    </row>
    <row r="351" ht="12.75">
      <c r="F351" s="47"/>
    </row>
    <row r="352" ht="12.75">
      <c r="F352" s="47"/>
    </row>
    <row r="353" ht="12.75">
      <c r="F353" s="47"/>
    </row>
    <row r="354" ht="12.75">
      <c r="F354" s="47"/>
    </row>
    <row r="355" ht="12.75">
      <c r="F355" s="47"/>
    </row>
    <row r="356" ht="12.75">
      <c r="F356" s="47"/>
    </row>
    <row r="357" ht="12.75">
      <c r="F357" s="47"/>
    </row>
    <row r="358" ht="12.75">
      <c r="F358" s="47"/>
    </row>
    <row r="359" ht="12.75">
      <c r="F359" s="47"/>
    </row>
    <row r="360" ht="12.75">
      <c r="F360" s="47"/>
    </row>
    <row r="361" ht="12.75">
      <c r="F361" s="47"/>
    </row>
    <row r="362" ht="12.75">
      <c r="F362" s="47"/>
    </row>
    <row r="363" ht="12.75">
      <c r="F363" s="47"/>
    </row>
    <row r="364" ht="12.75">
      <c r="F364" s="47"/>
    </row>
    <row r="365" ht="12.75">
      <c r="F365" s="47"/>
    </row>
    <row r="366" ht="12.75">
      <c r="F366" s="47"/>
    </row>
    <row r="367" ht="12.75">
      <c r="F367" s="47"/>
    </row>
    <row r="368" ht="12.75">
      <c r="F368" s="47"/>
    </row>
    <row r="369" ht="12.75">
      <c r="F369" s="47"/>
    </row>
    <row r="370" ht="12.75">
      <c r="F370" s="47"/>
    </row>
    <row r="371" ht="12.75">
      <c r="F371" s="47"/>
    </row>
    <row r="372" ht="12.75">
      <c r="F372" s="47"/>
    </row>
    <row r="373" ht="12.75">
      <c r="F373" s="47"/>
    </row>
    <row r="374" ht="12.75">
      <c r="F374" s="47"/>
    </row>
    <row r="375" ht="12.75">
      <c r="F375" s="47"/>
    </row>
    <row r="376" ht="12.75">
      <c r="F376" s="47"/>
    </row>
    <row r="377" ht="12.75">
      <c r="F377" s="47"/>
    </row>
    <row r="378" ht="12.75">
      <c r="F378" s="47"/>
    </row>
    <row r="379" ht="12.75">
      <c r="F379" s="47"/>
    </row>
    <row r="380" ht="12.75">
      <c r="F380" s="47"/>
    </row>
    <row r="381" ht="12.75">
      <c r="F381" s="47"/>
    </row>
    <row r="382" ht="12.75">
      <c r="F382" s="47"/>
    </row>
    <row r="383" ht="12.75">
      <c r="F383" s="47"/>
    </row>
    <row r="384" ht="12.75">
      <c r="F384" s="47"/>
    </row>
    <row r="385" ht="12.75">
      <c r="F385" s="47"/>
    </row>
    <row r="386" ht="12.75">
      <c r="F386" s="47"/>
    </row>
    <row r="387" ht="12.75">
      <c r="F387" s="47"/>
    </row>
    <row r="388" ht="12.75">
      <c r="F388" s="47"/>
    </row>
    <row r="389" ht="12.75">
      <c r="F389" s="47"/>
    </row>
    <row r="390" ht="12.75">
      <c r="F390" s="47"/>
    </row>
    <row r="391" ht="12.75">
      <c r="F391" s="47"/>
    </row>
    <row r="392" ht="12.75">
      <c r="F392" s="47"/>
    </row>
    <row r="393" ht="12.75">
      <c r="F393" s="47"/>
    </row>
    <row r="394" ht="12.75">
      <c r="F394" s="47"/>
    </row>
    <row r="395" ht="12.75">
      <c r="F395" s="47"/>
    </row>
    <row r="396" ht="12.75">
      <c r="F396" s="47"/>
    </row>
    <row r="397" ht="12.75">
      <c r="F397" s="47"/>
    </row>
    <row r="398" ht="12.75">
      <c r="F398" s="47"/>
    </row>
    <row r="399" ht="12.75">
      <c r="F399" s="47"/>
    </row>
    <row r="400" ht="12.75">
      <c r="F400" s="47"/>
    </row>
    <row r="401" ht="12.75">
      <c r="F401" s="47"/>
    </row>
    <row r="402" ht="12.75">
      <c r="F402" s="47"/>
    </row>
    <row r="403" ht="12.75">
      <c r="F403" s="47"/>
    </row>
    <row r="404" ht="12.75">
      <c r="F404" s="47"/>
    </row>
    <row r="405" ht="12.75">
      <c r="F405" s="47"/>
    </row>
    <row r="406" ht="12.75">
      <c r="F406" s="47"/>
    </row>
    <row r="407" ht="12.75">
      <c r="F407" s="47"/>
    </row>
    <row r="408" ht="12.75">
      <c r="F408" s="47"/>
    </row>
    <row r="409" ht="12.75">
      <c r="F409" s="47"/>
    </row>
    <row r="410" ht="12.75">
      <c r="F410" s="47"/>
    </row>
    <row r="411" ht="12.75">
      <c r="F411" s="47"/>
    </row>
    <row r="412" ht="12.75">
      <c r="F412" s="47"/>
    </row>
    <row r="413" ht="12.75">
      <c r="F413" s="47"/>
    </row>
    <row r="414" ht="12.75">
      <c r="F414" s="47"/>
    </row>
    <row r="415" ht="12.75">
      <c r="F415" s="47"/>
    </row>
    <row r="416" ht="12.75">
      <c r="F416" s="47"/>
    </row>
    <row r="417" ht="12.75">
      <c r="F417" s="47"/>
    </row>
    <row r="418" ht="12.75">
      <c r="F418" s="47"/>
    </row>
    <row r="419" ht="12.75">
      <c r="F419" s="47"/>
    </row>
    <row r="420" ht="12.75">
      <c r="F420" s="47"/>
    </row>
    <row r="421" ht="12.75">
      <c r="F421" s="47"/>
    </row>
    <row r="422" ht="12.75">
      <c r="F422" s="47"/>
    </row>
    <row r="423" ht="12.75">
      <c r="F423" s="47"/>
    </row>
    <row r="424" ht="12.75">
      <c r="F424" s="47"/>
    </row>
    <row r="425" ht="12.75">
      <c r="F425" s="47"/>
    </row>
    <row r="426" ht="12.75">
      <c r="F426" s="47"/>
    </row>
    <row r="427" ht="12.75">
      <c r="F427" s="47"/>
    </row>
    <row r="428" ht="12.75">
      <c r="F428" s="47"/>
    </row>
    <row r="429" ht="12.75">
      <c r="F429" s="47"/>
    </row>
    <row r="430" ht="12.75">
      <c r="F430" s="47"/>
    </row>
    <row r="431" ht="12.75">
      <c r="F431" s="47"/>
    </row>
    <row r="432" ht="12.75">
      <c r="F432" s="47"/>
    </row>
    <row r="433" ht="12.75">
      <c r="F433" s="47"/>
    </row>
    <row r="434" ht="12.75">
      <c r="F434" s="47"/>
    </row>
    <row r="435" ht="12.75">
      <c r="F435" s="47"/>
    </row>
    <row r="436" ht="12.75">
      <c r="F436" s="47"/>
    </row>
    <row r="437" ht="12.75">
      <c r="F437" s="47"/>
    </row>
    <row r="438" ht="12.75">
      <c r="F438" s="47"/>
    </row>
    <row r="439" ht="12.75">
      <c r="F439" s="47"/>
    </row>
    <row r="440" ht="12.75">
      <c r="F440" s="47"/>
    </row>
    <row r="441" ht="12.75">
      <c r="F441" s="47"/>
    </row>
    <row r="442" ht="12.75">
      <c r="F442" s="47"/>
    </row>
    <row r="443" ht="12.75">
      <c r="F443" s="47"/>
    </row>
    <row r="444" ht="12.75">
      <c r="F444" s="47"/>
    </row>
    <row r="445" ht="12.75">
      <c r="F445" s="47"/>
    </row>
    <row r="446" ht="12.75">
      <c r="F446" s="47"/>
    </row>
    <row r="447" ht="12.75">
      <c r="F447" s="47"/>
    </row>
    <row r="448" ht="12.75">
      <c r="F448" s="47"/>
    </row>
    <row r="449" ht="12.75">
      <c r="F449" s="47"/>
    </row>
    <row r="450" ht="12.75">
      <c r="F450" s="47"/>
    </row>
    <row r="451" ht="12.75">
      <c r="F451" s="47"/>
    </row>
    <row r="452" ht="12.75">
      <c r="F452" s="47"/>
    </row>
    <row r="453" ht="12.75">
      <c r="F453" s="47"/>
    </row>
    <row r="454" ht="12.75">
      <c r="F454" s="47"/>
    </row>
    <row r="455" ht="12.75">
      <c r="F455" s="47"/>
    </row>
    <row r="456" ht="12.75">
      <c r="F456" s="47"/>
    </row>
    <row r="457" ht="12.75">
      <c r="F457" s="47"/>
    </row>
    <row r="458" ht="12.75">
      <c r="F458" s="47"/>
    </row>
    <row r="459" ht="12.75">
      <c r="F459" s="47"/>
    </row>
    <row r="460" ht="12.75">
      <c r="F460" s="47"/>
    </row>
    <row r="461" ht="12.75">
      <c r="F461" s="47"/>
    </row>
    <row r="462" ht="12.75">
      <c r="F462" s="47"/>
    </row>
    <row r="463" ht="12.75">
      <c r="F463" s="47"/>
    </row>
    <row r="464" ht="12.75">
      <c r="F464" s="47"/>
    </row>
    <row r="465" ht="12.75">
      <c r="F465" s="47"/>
    </row>
    <row r="466" ht="12.75">
      <c r="F466" s="47"/>
    </row>
    <row r="467" ht="12.75">
      <c r="F467" s="47"/>
    </row>
    <row r="468" ht="12.75">
      <c r="F468" s="47"/>
    </row>
    <row r="469" ht="12.75">
      <c r="F469" s="47"/>
    </row>
    <row r="470" ht="12.75">
      <c r="F470" s="47"/>
    </row>
    <row r="471" ht="12.75">
      <c r="F471" s="47"/>
    </row>
    <row r="472" ht="12.75">
      <c r="F472" s="47"/>
    </row>
    <row r="473" ht="12.75">
      <c r="F473" s="47"/>
    </row>
    <row r="474" ht="12.75">
      <c r="F474" s="47"/>
    </row>
    <row r="475" ht="12.75">
      <c r="F475" s="47"/>
    </row>
    <row r="476" ht="12.75">
      <c r="F476" s="47"/>
    </row>
    <row r="477" ht="12.75">
      <c r="F477" s="47"/>
    </row>
    <row r="478" ht="12.75">
      <c r="F478" s="47"/>
    </row>
    <row r="479" ht="12.75">
      <c r="F479" s="47"/>
    </row>
    <row r="480" ht="12.75">
      <c r="F480" s="47"/>
    </row>
    <row r="481" ht="12.75">
      <c r="F481" s="47"/>
    </row>
    <row r="482" ht="12.75">
      <c r="F482" s="47"/>
    </row>
    <row r="483" ht="12.75">
      <c r="F483" s="47"/>
    </row>
    <row r="484" ht="12.75">
      <c r="F484" s="47"/>
    </row>
    <row r="485" ht="12.75">
      <c r="F485" s="47"/>
    </row>
    <row r="486" ht="12.75">
      <c r="F486" s="47"/>
    </row>
    <row r="487" ht="12.75">
      <c r="F487" s="47"/>
    </row>
    <row r="488" ht="12.75">
      <c r="F488" s="47"/>
    </row>
    <row r="489" ht="12.75">
      <c r="F489" s="47"/>
    </row>
    <row r="490" ht="12.75">
      <c r="F490" s="47"/>
    </row>
    <row r="491" ht="12.75">
      <c r="F491" s="47"/>
    </row>
    <row r="492" ht="12.75">
      <c r="F492" s="47"/>
    </row>
    <row r="493" ht="12.75">
      <c r="F493" s="47"/>
    </row>
    <row r="494" ht="12.75">
      <c r="F494" s="47"/>
    </row>
    <row r="495" ht="12.75">
      <c r="F495" s="47"/>
    </row>
    <row r="496" ht="12.75">
      <c r="F496" s="47"/>
    </row>
    <row r="497" ht="12.75">
      <c r="F497" s="47"/>
    </row>
    <row r="498" ht="12.75">
      <c r="F498" s="47"/>
    </row>
    <row r="499" ht="12.75">
      <c r="F499" s="47"/>
    </row>
    <row r="500" ht="12.75">
      <c r="F500" s="47"/>
    </row>
    <row r="501" ht="12.75">
      <c r="F501" s="47"/>
    </row>
    <row r="502" ht="12.75">
      <c r="F502" s="47"/>
    </row>
    <row r="503" ht="12.75">
      <c r="F503" s="47"/>
    </row>
    <row r="504" ht="12.75">
      <c r="F504" s="47"/>
    </row>
    <row r="505" ht="12.75">
      <c r="F505" s="47"/>
    </row>
    <row r="506" ht="12.75">
      <c r="F506" s="47"/>
    </row>
    <row r="507" ht="12.75">
      <c r="F507" s="47"/>
    </row>
    <row r="508" ht="12.75">
      <c r="F508" s="47"/>
    </row>
    <row r="509" ht="12.75">
      <c r="F509" s="47"/>
    </row>
    <row r="510" ht="12.75">
      <c r="F510" s="47"/>
    </row>
    <row r="511" ht="12.75">
      <c r="F511" s="47"/>
    </row>
    <row r="512" ht="12.75">
      <c r="F512" s="47"/>
    </row>
    <row r="513" ht="12.75">
      <c r="F513" s="47"/>
    </row>
    <row r="514" ht="12.75">
      <c r="F514" s="47"/>
    </row>
    <row r="515" ht="12.75">
      <c r="F515" s="47"/>
    </row>
    <row r="516" ht="12.75">
      <c r="F516" s="47"/>
    </row>
    <row r="517" ht="12.75">
      <c r="F517" s="47"/>
    </row>
    <row r="518" ht="12.75">
      <c r="F518" s="47"/>
    </row>
    <row r="519" ht="12.75">
      <c r="F519" s="47"/>
    </row>
    <row r="520" ht="12.75">
      <c r="F520" s="47"/>
    </row>
    <row r="521" ht="12.75">
      <c r="F521" s="47"/>
    </row>
    <row r="522" ht="12.75">
      <c r="F522" s="47"/>
    </row>
    <row r="523" ht="12.75">
      <c r="F523" s="47"/>
    </row>
  </sheetData>
  <printOptions horizontalCentered="1"/>
  <pageMargins left="0.5905511811023623" right="0.5905511811023623" top="0.2755905511811024" bottom="0.4724409448818898" header="0.5118110236220472" footer="0.31496062992125984"/>
  <pageSetup firstPageNumber="3" useFirstPageNumber="1" horizontalDpi="600" verticalDpi="600" orientation="landscape" paperSize="9" scale="93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6">
      <selection activeCell="C21" sqref="C21"/>
    </sheetView>
  </sheetViews>
  <sheetFormatPr defaultColWidth="9.00390625" defaultRowHeight="12.75"/>
  <cols>
    <col min="1" max="1" width="5.75390625" style="22" customWidth="1"/>
    <col min="2" max="2" width="7.00390625" style="22" customWidth="1"/>
    <col min="3" max="3" width="57.875" style="22" customWidth="1"/>
    <col min="4" max="4" width="14.75390625" style="22" customWidth="1"/>
    <col min="5" max="6" width="13.375" style="22" customWidth="1"/>
    <col min="7" max="7" width="13.75390625" style="22" customWidth="1"/>
    <col min="8" max="8" width="13.875" style="22" customWidth="1"/>
    <col min="9" max="9" width="11.625" style="22" customWidth="1"/>
    <col min="10" max="16384" width="9.125" style="22" customWidth="1"/>
  </cols>
  <sheetData>
    <row r="1" spans="1:7" ht="15.75" customHeight="1">
      <c r="A1" s="417"/>
      <c r="B1" s="96" t="s">
        <v>245</v>
      </c>
      <c r="C1" s="418"/>
      <c r="G1" s="419" t="s">
        <v>134</v>
      </c>
    </row>
    <row r="2" spans="1:7" ht="15.75" customHeight="1">
      <c r="A2" s="417"/>
      <c r="B2" s="96" t="s">
        <v>246</v>
      </c>
      <c r="C2" s="418"/>
      <c r="D2" s="220"/>
      <c r="E2" s="220"/>
      <c r="F2" s="220"/>
      <c r="G2" s="220" t="s">
        <v>401</v>
      </c>
    </row>
    <row r="3" spans="2:7" ht="15.75" customHeight="1">
      <c r="B3" s="19" t="s">
        <v>90</v>
      </c>
      <c r="C3" s="75"/>
      <c r="G3" s="220" t="s">
        <v>193</v>
      </c>
    </row>
    <row r="4" spans="1:7" ht="15.75" customHeight="1">
      <c r="A4" s="417"/>
      <c r="B4" s="420"/>
      <c r="C4" s="421"/>
      <c r="G4" s="220" t="s">
        <v>402</v>
      </c>
    </row>
    <row r="5" spans="3:8" ht="23.25" customHeight="1" thickBot="1">
      <c r="C5" s="27"/>
      <c r="H5" s="55" t="s">
        <v>64</v>
      </c>
    </row>
    <row r="6" spans="1:8" ht="44.25" customHeight="1" thickBot="1" thickTop="1">
      <c r="A6" s="21" t="s">
        <v>57</v>
      </c>
      <c r="B6" s="17" t="s">
        <v>247</v>
      </c>
      <c r="C6" s="17" t="s">
        <v>248</v>
      </c>
      <c r="D6" s="17" t="s">
        <v>249</v>
      </c>
      <c r="E6" s="17" t="s">
        <v>229</v>
      </c>
      <c r="F6" s="17" t="s">
        <v>230</v>
      </c>
      <c r="G6" s="17" t="s">
        <v>231</v>
      </c>
      <c r="H6" s="17" t="s">
        <v>232</v>
      </c>
    </row>
    <row r="7" spans="1:8" ht="15" customHeight="1" thickBot="1" thickTop="1">
      <c r="A7" s="134">
        <v>1</v>
      </c>
      <c r="B7" s="134">
        <v>2</v>
      </c>
      <c r="C7" s="134">
        <v>3</v>
      </c>
      <c r="D7" s="135">
        <v>4</v>
      </c>
      <c r="E7" s="135">
        <v>5</v>
      </c>
      <c r="F7" s="135">
        <v>6</v>
      </c>
      <c r="G7" s="134">
        <v>7</v>
      </c>
      <c r="H7" s="134">
        <v>8</v>
      </c>
    </row>
    <row r="8" spans="1:8" ht="18" customHeight="1" thickBot="1" thickTop="1">
      <c r="A8" s="24"/>
      <c r="B8" s="198"/>
      <c r="C8" s="422" t="s">
        <v>250</v>
      </c>
      <c r="D8" s="423">
        <f>SUM(E8:H8)</f>
        <v>3108300</v>
      </c>
      <c r="E8" s="423">
        <f>756250+E12</f>
        <v>756250</v>
      </c>
      <c r="F8" s="423">
        <f>756250+F12</f>
        <v>756250</v>
      </c>
      <c r="G8" s="423">
        <f>756250+G12</f>
        <v>756250</v>
      </c>
      <c r="H8" s="423">
        <f>837050+H12</f>
        <v>839550</v>
      </c>
    </row>
    <row r="9" spans="1:8" ht="26.25" customHeight="1" thickTop="1">
      <c r="A9" s="424"/>
      <c r="B9" s="424"/>
      <c r="C9" s="425" t="s">
        <v>410</v>
      </c>
      <c r="D9" s="426">
        <f aca="true" t="shared" si="0" ref="D9:D18">SUM(E9:H9)</f>
        <v>3108300</v>
      </c>
      <c r="E9" s="426">
        <f>756250+E12</f>
        <v>756250</v>
      </c>
      <c r="F9" s="426">
        <f>756250+F12</f>
        <v>756250</v>
      </c>
      <c r="G9" s="426">
        <f>756250+G12</f>
        <v>756250</v>
      </c>
      <c r="H9" s="426">
        <f>837050+H12</f>
        <v>839550</v>
      </c>
    </row>
    <row r="10" spans="1:8" ht="18" customHeight="1">
      <c r="A10" s="122">
        <v>900</v>
      </c>
      <c r="B10" s="122"/>
      <c r="C10" s="122" t="s">
        <v>118</v>
      </c>
      <c r="D10" s="201">
        <f t="shared" si="0"/>
        <v>3108300</v>
      </c>
      <c r="E10" s="201">
        <f>756250+E12</f>
        <v>756250</v>
      </c>
      <c r="F10" s="201">
        <f>756250+F12</f>
        <v>756250</v>
      </c>
      <c r="G10" s="201">
        <f>756250+G12</f>
        <v>756250</v>
      </c>
      <c r="H10" s="201">
        <f>837050+H12</f>
        <v>839550</v>
      </c>
    </row>
    <row r="11" spans="1:8" ht="18" customHeight="1">
      <c r="A11" s="24"/>
      <c r="B11" s="24">
        <v>90011</v>
      </c>
      <c r="C11" s="24" t="s">
        <v>129</v>
      </c>
      <c r="D11" s="427">
        <f t="shared" si="0"/>
        <v>3105800</v>
      </c>
      <c r="E11" s="427">
        <v>756250</v>
      </c>
      <c r="F11" s="427">
        <v>756250</v>
      </c>
      <c r="G11" s="427">
        <v>756250</v>
      </c>
      <c r="H11" s="427">
        <v>837050</v>
      </c>
    </row>
    <row r="12" spans="1:8" ht="18" customHeight="1">
      <c r="A12" s="24"/>
      <c r="B12" s="28"/>
      <c r="C12" s="28"/>
      <c r="D12" s="280">
        <f t="shared" si="0"/>
        <v>2500</v>
      </c>
      <c r="E12" s="280"/>
      <c r="F12" s="280"/>
      <c r="G12" s="280"/>
      <c r="H12" s="280">
        <v>2500</v>
      </c>
    </row>
    <row r="13" spans="1:8" ht="21" customHeight="1" thickBot="1">
      <c r="A13" s="428"/>
      <c r="B13" s="428"/>
      <c r="C13" s="429" t="s">
        <v>74</v>
      </c>
      <c r="D13" s="430">
        <f t="shared" si="0"/>
        <v>3483500</v>
      </c>
      <c r="E13" s="430">
        <v>207200</v>
      </c>
      <c r="F13" s="430">
        <f>282298</f>
        <v>282298</v>
      </c>
      <c r="G13" s="430">
        <f>1359602+G18+G22</f>
        <v>1089602</v>
      </c>
      <c r="H13" s="430">
        <f>1631900+H18+H22</f>
        <v>1904400</v>
      </c>
    </row>
    <row r="14" spans="1:8" ht="21" customHeight="1" thickTop="1">
      <c r="A14" s="428"/>
      <c r="B14" s="428"/>
      <c r="C14" s="431" t="s">
        <v>202</v>
      </c>
      <c r="D14" s="432">
        <f t="shared" si="0"/>
        <v>3439300</v>
      </c>
      <c r="E14" s="432">
        <f>197200</f>
        <v>197200</v>
      </c>
      <c r="F14" s="432">
        <f>261798</f>
        <v>261798</v>
      </c>
      <c r="G14" s="432">
        <f>1347902+G18+G22</f>
        <v>1077902</v>
      </c>
      <c r="H14" s="432">
        <f>1629900+H18+H22</f>
        <v>1902400</v>
      </c>
    </row>
    <row r="15" spans="1:8" ht="21" customHeight="1">
      <c r="A15" s="433"/>
      <c r="B15" s="433"/>
      <c r="C15" s="434" t="s">
        <v>240</v>
      </c>
      <c r="D15" s="435">
        <f t="shared" si="0"/>
        <v>1849300</v>
      </c>
      <c r="E15" s="435">
        <f>32500</f>
        <v>32500</v>
      </c>
      <c r="F15" s="435">
        <f>126500</f>
        <v>126500</v>
      </c>
      <c r="G15" s="435">
        <f>477900</f>
        <v>477900</v>
      </c>
      <c r="H15" s="435">
        <f>1209900+H18</f>
        <v>1212400</v>
      </c>
    </row>
    <row r="16" spans="1:8" ht="18" customHeight="1">
      <c r="A16" s="15">
        <v>900</v>
      </c>
      <c r="B16" s="15"/>
      <c r="C16" s="15" t="s">
        <v>118</v>
      </c>
      <c r="D16" s="64">
        <f t="shared" si="0"/>
        <v>1849300</v>
      </c>
      <c r="E16" s="64">
        <f>32500</f>
        <v>32500</v>
      </c>
      <c r="F16" s="64">
        <f>126500</f>
        <v>126500</v>
      </c>
      <c r="G16" s="201">
        <f>477900</f>
        <v>477900</v>
      </c>
      <c r="H16" s="201">
        <f>1209900+H18</f>
        <v>1212400</v>
      </c>
    </row>
    <row r="17" spans="1:8" ht="18" customHeight="1">
      <c r="A17" s="80"/>
      <c r="B17" s="24">
        <v>90011</v>
      </c>
      <c r="C17" s="24" t="s">
        <v>129</v>
      </c>
      <c r="D17" s="427">
        <f t="shared" si="0"/>
        <v>1846800</v>
      </c>
      <c r="E17" s="427">
        <v>32500</v>
      </c>
      <c r="F17" s="427">
        <v>126500</v>
      </c>
      <c r="G17" s="427">
        <v>477900</v>
      </c>
      <c r="H17" s="436">
        <v>1209900</v>
      </c>
    </row>
    <row r="18" spans="1:8" ht="19.5" customHeight="1">
      <c r="A18" s="24"/>
      <c r="B18" s="28"/>
      <c r="C18" s="28"/>
      <c r="D18" s="280">
        <f t="shared" si="0"/>
        <v>2500</v>
      </c>
      <c r="E18" s="280"/>
      <c r="F18" s="280"/>
      <c r="G18" s="280"/>
      <c r="H18" s="280">
        <v>2500</v>
      </c>
    </row>
    <row r="19" spans="1:8" ht="21" customHeight="1">
      <c r="A19" s="433"/>
      <c r="B19" s="433"/>
      <c r="C19" s="434" t="s">
        <v>251</v>
      </c>
      <c r="D19" s="435">
        <f>SUM(E19:H19)</f>
        <v>1170000</v>
      </c>
      <c r="E19" s="435">
        <v>164700</v>
      </c>
      <c r="F19" s="435">
        <f>135298</f>
        <v>135298</v>
      </c>
      <c r="G19" s="435">
        <f>870002+G22</f>
        <v>600002</v>
      </c>
      <c r="H19" s="435">
        <f>H22</f>
        <v>270000</v>
      </c>
    </row>
    <row r="20" spans="1:8" ht="18" customHeight="1">
      <c r="A20" s="122">
        <v>900</v>
      </c>
      <c r="B20" s="122"/>
      <c r="C20" s="122" t="s">
        <v>118</v>
      </c>
      <c r="D20" s="201">
        <f>SUM(E20:H20)</f>
        <v>1170000</v>
      </c>
      <c r="E20" s="201">
        <v>164700</v>
      </c>
      <c r="F20" s="201">
        <v>135298</v>
      </c>
      <c r="G20" s="201">
        <f>870002+G22</f>
        <v>600002</v>
      </c>
      <c r="H20" s="201">
        <f>H22</f>
        <v>270000</v>
      </c>
    </row>
    <row r="21" spans="1:8" ht="18" customHeight="1">
      <c r="A21" s="80"/>
      <c r="B21" s="24">
        <v>90011</v>
      </c>
      <c r="C21" s="24" t="s">
        <v>129</v>
      </c>
      <c r="D21" s="427">
        <f>SUM(E21:H21)</f>
        <v>1170000</v>
      </c>
      <c r="E21" s="427">
        <v>164700</v>
      </c>
      <c r="F21" s="427">
        <v>135298</v>
      </c>
      <c r="G21" s="427">
        <v>870002</v>
      </c>
      <c r="H21" s="436"/>
    </row>
    <row r="22" spans="1:8" ht="19.5" customHeight="1">
      <c r="A22" s="28"/>
      <c r="B22" s="28"/>
      <c r="C22" s="28"/>
      <c r="D22" s="280">
        <f>SUM(E22:H22)</f>
        <v>0</v>
      </c>
      <c r="E22" s="280"/>
      <c r="F22" s="280"/>
      <c r="G22" s="280">
        <v>-270000</v>
      </c>
      <c r="H22" s="280">
        <v>270000</v>
      </c>
    </row>
    <row r="23" ht="16.5" customHeight="1"/>
    <row r="24" spans="5:7" ht="12.75">
      <c r="E24" s="47"/>
      <c r="G24" s="47"/>
    </row>
    <row r="25" spans="2:7" ht="12.75">
      <c r="B25" t="s">
        <v>412</v>
      </c>
      <c r="D25" t="s">
        <v>415</v>
      </c>
      <c r="E25" s="47"/>
      <c r="G25" s="47"/>
    </row>
    <row r="26" spans="2:7" ht="12.75">
      <c r="B26" t="s">
        <v>413</v>
      </c>
      <c r="C26" s="57"/>
      <c r="D26" s="47" t="s">
        <v>416</v>
      </c>
      <c r="E26" s="47"/>
      <c r="G26" s="47"/>
    </row>
    <row r="27" spans="2:4" ht="12.75">
      <c r="B27" t="s">
        <v>414</v>
      </c>
      <c r="D27" s="47" t="s">
        <v>417</v>
      </c>
    </row>
  </sheetData>
  <printOptions horizontalCentered="1"/>
  <pageMargins left="0.5905511811023623" right="0.5905511811023623" top="0.7874015748031497" bottom="0.6692913385826772" header="0.5118110236220472" footer="0.5118110236220472"/>
  <pageSetup firstPageNumber="37" useFirstPageNumber="1" horizontalDpi="600" verticalDpi="600" orientation="landscape" paperSize="9" scale="95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7">
      <selection activeCell="C13" sqref="C13"/>
    </sheetView>
  </sheetViews>
  <sheetFormatPr defaultColWidth="9.00390625" defaultRowHeight="12.75"/>
  <cols>
    <col min="1" max="1" width="5.75390625" style="22" customWidth="1"/>
    <col min="2" max="2" width="7.00390625" style="22" customWidth="1"/>
    <col min="3" max="3" width="57.875" style="22" customWidth="1"/>
    <col min="4" max="4" width="14.75390625" style="22" customWidth="1"/>
    <col min="5" max="6" width="13.375" style="22" customWidth="1"/>
    <col min="7" max="7" width="13.75390625" style="22" customWidth="1"/>
    <col min="8" max="8" width="13.875" style="22" customWidth="1"/>
    <col min="9" max="9" width="11.625" style="22" customWidth="1"/>
    <col min="10" max="16384" width="9.125" style="22" customWidth="1"/>
  </cols>
  <sheetData>
    <row r="1" spans="1:7" ht="15.75" customHeight="1">
      <c r="A1" s="417"/>
      <c r="B1" s="96" t="s">
        <v>245</v>
      </c>
      <c r="C1" s="418"/>
      <c r="G1" s="419" t="s">
        <v>186</v>
      </c>
    </row>
    <row r="2" spans="1:7" ht="15.75" customHeight="1">
      <c r="A2" s="417"/>
      <c r="B2" s="96" t="s">
        <v>252</v>
      </c>
      <c r="C2" s="418"/>
      <c r="D2" s="220"/>
      <c r="E2" s="220"/>
      <c r="F2" s="220"/>
      <c r="G2" s="220" t="s">
        <v>401</v>
      </c>
    </row>
    <row r="3" spans="2:7" ht="15.75" customHeight="1">
      <c r="B3" s="19" t="s">
        <v>90</v>
      </c>
      <c r="C3" s="75"/>
      <c r="G3" s="220" t="s">
        <v>193</v>
      </c>
    </row>
    <row r="4" spans="1:7" ht="15.75" customHeight="1">
      <c r="A4" s="417"/>
      <c r="B4" s="420"/>
      <c r="C4" s="421"/>
      <c r="G4" s="220" t="s">
        <v>402</v>
      </c>
    </row>
    <row r="5" spans="3:8" ht="23.25" customHeight="1" thickBot="1">
      <c r="C5" s="27"/>
      <c r="H5" s="55" t="s">
        <v>64</v>
      </c>
    </row>
    <row r="6" spans="1:8" ht="44.25" customHeight="1" thickBot="1" thickTop="1">
      <c r="A6" s="21" t="s">
        <v>57</v>
      </c>
      <c r="B6" s="17" t="s">
        <v>247</v>
      </c>
      <c r="C6" s="17" t="s">
        <v>248</v>
      </c>
      <c r="D6" s="17" t="s">
        <v>249</v>
      </c>
      <c r="E6" s="17" t="s">
        <v>229</v>
      </c>
      <c r="F6" s="17" t="s">
        <v>230</v>
      </c>
      <c r="G6" s="17" t="s">
        <v>231</v>
      </c>
      <c r="H6" s="17" t="s">
        <v>232</v>
      </c>
    </row>
    <row r="7" spans="1:8" ht="15" customHeight="1" thickBot="1" thickTop="1">
      <c r="A7" s="134">
        <v>1</v>
      </c>
      <c r="B7" s="134">
        <v>2</v>
      </c>
      <c r="C7" s="134">
        <v>3</v>
      </c>
      <c r="D7" s="135">
        <v>4</v>
      </c>
      <c r="E7" s="135">
        <v>5</v>
      </c>
      <c r="F7" s="135">
        <v>6</v>
      </c>
      <c r="G7" s="134">
        <v>7</v>
      </c>
      <c r="H7" s="134">
        <v>8</v>
      </c>
    </row>
    <row r="8" spans="1:8" ht="18" customHeight="1" thickTop="1">
      <c r="A8" s="24"/>
      <c r="B8" s="198"/>
      <c r="C8" s="422" t="s">
        <v>250</v>
      </c>
      <c r="D8" s="423">
        <f aca="true" t="shared" si="0" ref="D8:D13">SUM(E8:H8)</f>
        <v>801000</v>
      </c>
      <c r="E8" s="423">
        <v>200250</v>
      </c>
      <c r="F8" s="423">
        <v>200250</v>
      </c>
      <c r="G8" s="423">
        <v>200250</v>
      </c>
      <c r="H8" s="423">
        <v>200250</v>
      </c>
    </row>
    <row r="9" spans="1:8" ht="21" customHeight="1" thickBot="1">
      <c r="A9" s="428"/>
      <c r="B9" s="428"/>
      <c r="C9" s="429" t="s">
        <v>74</v>
      </c>
      <c r="D9" s="430">
        <f t="shared" si="0"/>
        <v>800000</v>
      </c>
      <c r="E9" s="430"/>
      <c r="F9" s="430"/>
      <c r="G9" s="430">
        <f>300000+G13</f>
        <v>250000</v>
      </c>
      <c r="H9" s="430">
        <f>500000+H13</f>
        <v>550000</v>
      </c>
    </row>
    <row r="10" spans="1:8" ht="21" customHeight="1" thickTop="1">
      <c r="A10" s="433"/>
      <c r="B10" s="433"/>
      <c r="C10" s="439" t="s">
        <v>253</v>
      </c>
      <c r="D10" s="438">
        <f t="shared" si="0"/>
        <v>250000</v>
      </c>
      <c r="E10" s="438"/>
      <c r="F10" s="438"/>
      <c r="G10" s="438">
        <f>250000+G13</f>
        <v>200000</v>
      </c>
      <c r="H10" s="432">
        <f>H13</f>
        <v>50000</v>
      </c>
    </row>
    <row r="11" spans="1:8" ht="18" customHeight="1">
      <c r="A11" s="15">
        <v>900</v>
      </c>
      <c r="B11" s="15"/>
      <c r="C11" s="15" t="s">
        <v>118</v>
      </c>
      <c r="D11" s="64">
        <f t="shared" si="0"/>
        <v>250000</v>
      </c>
      <c r="E11" s="64"/>
      <c r="F11" s="64"/>
      <c r="G11" s="64">
        <f>250000+G13</f>
        <v>200000</v>
      </c>
      <c r="H11" s="201">
        <f>H13</f>
        <v>50000</v>
      </c>
    </row>
    <row r="12" spans="1:8" ht="18" customHeight="1">
      <c r="A12" s="80"/>
      <c r="B12" s="24">
        <v>90011</v>
      </c>
      <c r="C12" s="24" t="s">
        <v>129</v>
      </c>
      <c r="D12" s="427">
        <f t="shared" si="0"/>
        <v>250000</v>
      </c>
      <c r="E12" s="427"/>
      <c r="F12" s="427"/>
      <c r="G12" s="427">
        <v>250000</v>
      </c>
      <c r="H12" s="436"/>
    </row>
    <row r="13" spans="1:8" ht="19.5" customHeight="1">
      <c r="A13" s="28"/>
      <c r="B13" s="28"/>
      <c r="C13" s="28"/>
      <c r="D13" s="280">
        <f t="shared" si="0"/>
        <v>0</v>
      </c>
      <c r="E13" s="280"/>
      <c r="F13" s="280"/>
      <c r="G13" s="280">
        <v>-50000</v>
      </c>
      <c r="H13" s="280">
        <v>50000</v>
      </c>
    </row>
    <row r="14" ht="16.5" customHeight="1"/>
    <row r="15" spans="5:7" ht="12.75">
      <c r="E15" s="47"/>
      <c r="G15" s="47"/>
    </row>
    <row r="16" spans="5:7" ht="12.75">
      <c r="E16" s="47"/>
      <c r="G16" s="47"/>
    </row>
    <row r="17" spans="3:7" ht="12.75">
      <c r="C17" s="57"/>
      <c r="E17" s="47"/>
      <c r="G17" s="47"/>
    </row>
    <row r="18" spans="2:4" ht="12.75">
      <c r="B18" t="s">
        <v>412</v>
      </c>
      <c r="D18" t="s">
        <v>415</v>
      </c>
    </row>
    <row r="19" spans="2:4" ht="12.75">
      <c r="B19" t="s">
        <v>413</v>
      </c>
      <c r="D19" s="47" t="s">
        <v>416</v>
      </c>
    </row>
    <row r="20" spans="2:4" ht="12.75">
      <c r="B20" t="s">
        <v>414</v>
      </c>
      <c r="D20" s="47" t="s">
        <v>417</v>
      </c>
    </row>
  </sheetData>
  <printOptions horizontalCentered="1"/>
  <pageMargins left="0.4724409448818898" right="0.4724409448818898" top="0.7874015748031497" bottom="0.984251968503937" header="0.5118110236220472" footer="0.5118110236220472"/>
  <pageSetup firstPageNumber="38" useFirstPageNumber="1" horizontalDpi="600" verticalDpi="600" orientation="landscape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01"/>
  <sheetViews>
    <sheetView workbookViewId="0" topLeftCell="E181">
      <selection activeCell="E198" sqref="E198"/>
    </sheetView>
  </sheetViews>
  <sheetFormatPr defaultColWidth="9.00390625" defaultRowHeight="12.75"/>
  <cols>
    <col min="1" max="1" width="7.625" style="0" customWidth="1"/>
    <col min="2" max="2" width="8.625" style="0" customWidth="1"/>
    <col min="3" max="3" width="8.375" style="0" customWidth="1"/>
    <col min="4" max="4" width="55.875" style="0" customWidth="1"/>
    <col min="5" max="5" width="22.75390625" style="0" customWidth="1"/>
    <col min="6" max="6" width="17.75390625" style="0" customWidth="1"/>
    <col min="7" max="7" width="17.25390625" style="0" customWidth="1"/>
    <col min="8" max="8" width="19.625" style="0" customWidth="1"/>
    <col min="9" max="9" width="11.875" style="0" customWidth="1"/>
    <col min="10" max="10" width="12.375" style="0" customWidth="1"/>
    <col min="11" max="11" width="11.625" style="0" customWidth="1"/>
    <col min="12" max="12" width="11.00390625" style="0" customWidth="1"/>
  </cols>
  <sheetData>
    <row r="1" ht="15" customHeight="1">
      <c r="G1" s="53" t="s">
        <v>81</v>
      </c>
    </row>
    <row r="2" ht="15" customHeight="1">
      <c r="G2" t="s">
        <v>401</v>
      </c>
    </row>
    <row r="3" ht="15" customHeight="1">
      <c r="G3" s="54" t="s">
        <v>197</v>
      </c>
    </row>
    <row r="4" spans="4:7" ht="15" customHeight="1">
      <c r="D4" s="19" t="s">
        <v>93</v>
      </c>
      <c r="G4" t="s">
        <v>402</v>
      </c>
    </row>
    <row r="5" spans="4:7" ht="7.5" customHeight="1">
      <c r="D5" s="19"/>
      <c r="G5" s="54"/>
    </row>
    <row r="6" ht="15" customHeight="1" thickBot="1">
      <c r="H6" s="55" t="s">
        <v>64</v>
      </c>
    </row>
    <row r="7" spans="1:8" ht="67.5" customHeight="1" thickBot="1" thickTop="1">
      <c r="A7" s="21" t="s">
        <v>57</v>
      </c>
      <c r="B7" s="21" t="s">
        <v>67</v>
      </c>
      <c r="C7" s="21" t="s">
        <v>105</v>
      </c>
      <c r="D7" s="17" t="s">
        <v>196</v>
      </c>
      <c r="E7" s="17" t="s">
        <v>88</v>
      </c>
      <c r="F7" s="17" t="s">
        <v>82</v>
      </c>
      <c r="G7" s="17" t="s">
        <v>83</v>
      </c>
      <c r="H7" s="17" t="s">
        <v>84</v>
      </c>
    </row>
    <row r="8" spans="1:19" s="57" customFormat="1" ht="14.25" customHeight="1" thickBot="1" thickTop="1">
      <c r="A8" s="23">
        <v>1</v>
      </c>
      <c r="B8" s="23">
        <v>2</v>
      </c>
      <c r="C8" s="23">
        <v>3</v>
      </c>
      <c r="D8" s="56">
        <v>4</v>
      </c>
      <c r="E8" s="56">
        <v>5</v>
      </c>
      <c r="F8" s="56">
        <v>6</v>
      </c>
      <c r="G8" s="56">
        <v>7</v>
      </c>
      <c r="H8" s="56">
        <v>8</v>
      </c>
      <c r="I8"/>
      <c r="J8"/>
      <c r="K8"/>
      <c r="L8"/>
      <c r="M8"/>
      <c r="N8"/>
      <c r="O8"/>
      <c r="P8"/>
      <c r="Q8"/>
      <c r="R8"/>
      <c r="S8"/>
    </row>
    <row r="9" spans="1:11" ht="19.5" customHeight="1" thickBot="1" thickTop="1">
      <c r="A9" s="42"/>
      <c r="B9" s="58"/>
      <c r="C9" s="58"/>
      <c r="D9" s="59" t="s">
        <v>74</v>
      </c>
      <c r="E9" s="60">
        <v>794360871</v>
      </c>
      <c r="F9" s="60">
        <f>F11+F169+F182</f>
        <v>8923603</v>
      </c>
      <c r="G9" s="60">
        <f>G11+G169+G182</f>
        <v>5792813</v>
      </c>
      <c r="H9" s="60">
        <f>E9+G9-F9</f>
        <v>791230081</v>
      </c>
      <c r="I9" s="47">
        <f>G9-F9</f>
        <v>-3130790</v>
      </c>
      <c r="J9" s="47"/>
      <c r="K9" s="47"/>
    </row>
    <row r="10" spans="1:10" ht="12.75">
      <c r="A10" s="52"/>
      <c r="B10" s="52"/>
      <c r="C10" s="52"/>
      <c r="D10" s="52" t="s">
        <v>60</v>
      </c>
      <c r="E10" s="61"/>
      <c r="F10" s="61"/>
      <c r="G10" s="61"/>
      <c r="H10" s="61"/>
      <c r="J10" s="47"/>
    </row>
    <row r="11" spans="1:10" ht="19.5" customHeight="1" thickBot="1">
      <c r="A11" s="41"/>
      <c r="B11" s="41"/>
      <c r="C11" s="41"/>
      <c r="D11" s="62" t="s">
        <v>85</v>
      </c>
      <c r="E11" s="63">
        <v>709394576</v>
      </c>
      <c r="F11" s="63">
        <f>F12+F22+F34+F38+F100+F108+F128+F140+F150+F163</f>
        <v>8816603</v>
      </c>
      <c r="G11" s="63">
        <f>G12+G22+G34+G38+G100+G108+G128+G140+G150+G163</f>
        <v>5685813</v>
      </c>
      <c r="H11" s="63">
        <f>E11+G11-F11</f>
        <v>706263786</v>
      </c>
      <c r="I11" s="47"/>
      <c r="J11" s="47"/>
    </row>
    <row r="12" spans="1:10" ht="18.75" customHeight="1" thickTop="1">
      <c r="A12" s="29">
        <v>600</v>
      </c>
      <c r="B12" s="29"/>
      <c r="C12" s="29"/>
      <c r="D12" s="29" t="s">
        <v>111</v>
      </c>
      <c r="E12" s="64">
        <v>65014724</v>
      </c>
      <c r="F12" s="64">
        <f>F13+F18</f>
        <v>1090000</v>
      </c>
      <c r="G12" s="64"/>
      <c r="H12" s="64">
        <f>E12+G12-F12</f>
        <v>63924724</v>
      </c>
      <c r="J12" s="47"/>
    </row>
    <row r="13" spans="1:10" ht="18.75" customHeight="1">
      <c r="A13" s="24"/>
      <c r="B13" s="31">
        <v>60015</v>
      </c>
      <c r="C13" s="31"/>
      <c r="D13" s="31" t="s">
        <v>112</v>
      </c>
      <c r="E13" s="65">
        <v>39733000</v>
      </c>
      <c r="F13" s="65">
        <f>F14</f>
        <v>990000</v>
      </c>
      <c r="G13" s="65"/>
      <c r="H13" s="65">
        <f>E13+G13-F13</f>
        <v>38743000</v>
      </c>
      <c r="J13" s="47"/>
    </row>
    <row r="14" spans="1:10" ht="18.75" customHeight="1">
      <c r="A14" s="24"/>
      <c r="B14" s="25"/>
      <c r="C14" s="25"/>
      <c r="D14" s="121" t="s">
        <v>108</v>
      </c>
      <c r="E14" s="124">
        <v>28907060</v>
      </c>
      <c r="F14" s="124">
        <f>F17</f>
        <v>990000</v>
      </c>
      <c r="G14" s="124"/>
      <c r="H14" s="124">
        <f aca="true" t="shared" si="0" ref="H14:H54">E14+G14-F14</f>
        <v>27917060</v>
      </c>
      <c r="J14" s="47"/>
    </row>
    <row r="15" spans="1:10" s="66" customFormat="1" ht="18.75" customHeight="1">
      <c r="A15" s="226"/>
      <c r="B15" s="442"/>
      <c r="C15" s="442"/>
      <c r="D15" s="304" t="s">
        <v>151</v>
      </c>
      <c r="E15" s="461">
        <v>2553000</v>
      </c>
      <c r="F15" s="461">
        <v>190000</v>
      </c>
      <c r="G15" s="461"/>
      <c r="H15" s="461">
        <f t="shared" si="0"/>
        <v>2363000</v>
      </c>
      <c r="J15" s="225"/>
    </row>
    <row r="16" spans="1:10" s="66" customFormat="1" ht="18.75" customHeight="1">
      <c r="A16" s="226"/>
      <c r="B16" s="442"/>
      <c r="C16" s="442"/>
      <c r="D16" s="302" t="s">
        <v>156</v>
      </c>
      <c r="E16" s="462">
        <v>900000</v>
      </c>
      <c r="F16" s="462">
        <v>800000</v>
      </c>
      <c r="G16" s="462"/>
      <c r="H16" s="462">
        <f t="shared" si="0"/>
        <v>100000</v>
      </c>
      <c r="J16" s="225"/>
    </row>
    <row r="17" spans="1:10" s="66" customFormat="1" ht="18.75" customHeight="1">
      <c r="A17" s="226"/>
      <c r="B17" s="222"/>
      <c r="C17" s="222">
        <v>6050</v>
      </c>
      <c r="D17" s="223" t="s">
        <v>207</v>
      </c>
      <c r="E17" s="224">
        <v>24507060</v>
      </c>
      <c r="F17" s="224">
        <f>SUM(F15:F16)</f>
        <v>990000</v>
      </c>
      <c r="G17" s="224"/>
      <c r="H17" s="224">
        <f t="shared" si="0"/>
        <v>23517060</v>
      </c>
      <c r="J17" s="225"/>
    </row>
    <row r="18" spans="1:10" ht="18.75" customHeight="1">
      <c r="A18" s="24"/>
      <c r="B18" s="31">
        <v>60017</v>
      </c>
      <c r="C18" s="31"/>
      <c r="D18" s="31" t="s">
        <v>381</v>
      </c>
      <c r="E18" s="65">
        <v>530000</v>
      </c>
      <c r="F18" s="65">
        <f>F19</f>
        <v>100000</v>
      </c>
      <c r="G18" s="65"/>
      <c r="H18" s="65">
        <f>E18+G18-F18</f>
        <v>430000</v>
      </c>
      <c r="J18" s="47"/>
    </row>
    <row r="19" spans="1:10" ht="18.75" customHeight="1">
      <c r="A19" s="24"/>
      <c r="B19" s="25"/>
      <c r="C19" s="25"/>
      <c r="D19" s="121" t="s">
        <v>108</v>
      </c>
      <c r="E19" s="124">
        <v>230000</v>
      </c>
      <c r="F19" s="124">
        <f>F21</f>
        <v>100000</v>
      </c>
      <c r="G19" s="124"/>
      <c r="H19" s="124">
        <f>E19+G19-F19</f>
        <v>130000</v>
      </c>
      <c r="J19" s="47"/>
    </row>
    <row r="20" spans="1:10" s="66" customFormat="1" ht="18.75" customHeight="1">
      <c r="A20" s="226"/>
      <c r="B20" s="442"/>
      <c r="C20" s="442"/>
      <c r="D20" s="301" t="s">
        <v>382</v>
      </c>
      <c r="E20" s="461">
        <v>100000</v>
      </c>
      <c r="F20" s="461">
        <v>100000</v>
      </c>
      <c r="G20" s="461"/>
      <c r="H20" s="461">
        <f>E20+G20-F20</f>
        <v>0</v>
      </c>
      <c r="J20" s="225"/>
    </row>
    <row r="21" spans="1:10" s="66" customFormat="1" ht="18.75" customHeight="1">
      <c r="A21" s="222"/>
      <c r="B21" s="562"/>
      <c r="C21" s="222">
        <v>6050</v>
      </c>
      <c r="D21" s="223" t="s">
        <v>207</v>
      </c>
      <c r="E21" s="563">
        <v>230000</v>
      </c>
      <c r="F21" s="563">
        <f>F20</f>
        <v>100000</v>
      </c>
      <c r="G21" s="563"/>
      <c r="H21" s="563">
        <f>E21+G21-F21</f>
        <v>130000</v>
      </c>
      <c r="J21" s="225"/>
    </row>
    <row r="22" spans="1:10" ht="18.75" customHeight="1">
      <c r="A22" s="29">
        <v>700</v>
      </c>
      <c r="B22" s="29"/>
      <c r="C22" s="29"/>
      <c r="D22" s="29" t="s">
        <v>117</v>
      </c>
      <c r="E22" s="64">
        <v>12665586</v>
      </c>
      <c r="F22" s="64"/>
      <c r="G22" s="64">
        <f>G23+G29</f>
        <v>1480000</v>
      </c>
      <c r="H22" s="64">
        <f t="shared" si="0"/>
        <v>14145586</v>
      </c>
      <c r="I22" s="47"/>
      <c r="J22" s="47"/>
    </row>
    <row r="23" spans="1:10" ht="18.75" customHeight="1">
      <c r="A23" s="33"/>
      <c r="B23" s="82">
        <v>70001</v>
      </c>
      <c r="C23" s="82"/>
      <c r="D23" s="31" t="s">
        <v>184</v>
      </c>
      <c r="E23" s="65">
        <v>5000000</v>
      </c>
      <c r="F23" s="65"/>
      <c r="G23" s="65">
        <f>G24</f>
        <v>480000</v>
      </c>
      <c r="H23" s="65">
        <f aca="true" t="shared" si="1" ref="H23:H32">E23+G23-F23</f>
        <v>5480000</v>
      </c>
      <c r="I23" s="47"/>
      <c r="J23" s="47"/>
    </row>
    <row r="24" spans="1:10" ht="18.75" customHeight="1">
      <c r="A24" s="25"/>
      <c r="B24" s="173"/>
      <c r="C24" s="173"/>
      <c r="D24" s="121" t="s">
        <v>185</v>
      </c>
      <c r="E24" s="124">
        <v>5000000</v>
      </c>
      <c r="F24" s="124"/>
      <c r="G24" s="124">
        <f>G28</f>
        <v>480000</v>
      </c>
      <c r="H24" s="124">
        <f t="shared" si="1"/>
        <v>5480000</v>
      </c>
      <c r="I24" s="47"/>
      <c r="J24" s="47"/>
    </row>
    <row r="25" spans="1:10" s="66" customFormat="1" ht="18.75" customHeight="1">
      <c r="A25" s="226"/>
      <c r="B25" s="173"/>
      <c r="C25" s="173"/>
      <c r="D25" s="301" t="s">
        <v>187</v>
      </c>
      <c r="E25" s="463">
        <v>1575000</v>
      </c>
      <c r="F25" s="463"/>
      <c r="G25" s="463">
        <v>230000</v>
      </c>
      <c r="H25" s="463">
        <f t="shared" si="1"/>
        <v>1805000</v>
      </c>
      <c r="I25" s="225"/>
      <c r="J25" s="225"/>
    </row>
    <row r="26" spans="1:10" s="66" customFormat="1" ht="18.75" customHeight="1">
      <c r="A26" s="226"/>
      <c r="B26" s="173"/>
      <c r="C26" s="173"/>
      <c r="D26" s="304" t="s">
        <v>388</v>
      </c>
      <c r="E26" s="461">
        <v>1585000</v>
      </c>
      <c r="F26" s="461"/>
      <c r="G26" s="461">
        <v>200000</v>
      </c>
      <c r="H26" s="461">
        <f t="shared" si="1"/>
        <v>1785000</v>
      </c>
      <c r="I26" s="225"/>
      <c r="J26" s="225"/>
    </row>
    <row r="27" spans="1:10" s="66" customFormat="1" ht="18.75" customHeight="1">
      <c r="A27" s="226"/>
      <c r="B27" s="173"/>
      <c r="C27" s="173"/>
      <c r="D27" s="302" t="s">
        <v>393</v>
      </c>
      <c r="E27" s="462">
        <v>650000</v>
      </c>
      <c r="F27" s="462"/>
      <c r="G27" s="462">
        <v>50000</v>
      </c>
      <c r="H27" s="462">
        <f t="shared" si="1"/>
        <v>700000</v>
      </c>
      <c r="I27" s="225"/>
      <c r="J27" s="225"/>
    </row>
    <row r="28" spans="1:10" s="66" customFormat="1" ht="18.75" customHeight="1">
      <c r="A28" s="226"/>
      <c r="B28" s="88"/>
      <c r="C28" s="88">
        <v>2650</v>
      </c>
      <c r="D28" s="223" t="s">
        <v>53</v>
      </c>
      <c r="E28" s="224">
        <v>4000000</v>
      </c>
      <c r="F28" s="224"/>
      <c r="G28" s="224">
        <f>SUM(G25:G27)</f>
        <v>480000</v>
      </c>
      <c r="H28" s="224">
        <f t="shared" si="1"/>
        <v>4480000</v>
      </c>
      <c r="I28" s="225"/>
      <c r="J28" s="225"/>
    </row>
    <row r="29" spans="1:10" ht="18.75" customHeight="1">
      <c r="A29" s="25"/>
      <c r="B29" s="82">
        <v>70095</v>
      </c>
      <c r="C29" s="82"/>
      <c r="D29" s="31" t="s">
        <v>62</v>
      </c>
      <c r="E29" s="65">
        <v>5000000</v>
      </c>
      <c r="F29" s="65"/>
      <c r="G29" s="65">
        <f>G30</f>
        <v>1000000</v>
      </c>
      <c r="H29" s="65">
        <f t="shared" si="1"/>
        <v>6000000</v>
      </c>
      <c r="I29" s="47"/>
      <c r="J29" s="47"/>
    </row>
    <row r="30" spans="1:10" ht="18.75" customHeight="1">
      <c r="A30" s="25"/>
      <c r="B30" s="173"/>
      <c r="C30" s="173"/>
      <c r="D30" s="121" t="s">
        <v>108</v>
      </c>
      <c r="E30" s="124">
        <v>5000000</v>
      </c>
      <c r="F30" s="124"/>
      <c r="G30" s="124">
        <f>G32</f>
        <v>1000000</v>
      </c>
      <c r="H30" s="124">
        <f t="shared" si="1"/>
        <v>6000000</v>
      </c>
      <c r="I30" s="47"/>
      <c r="J30" s="47"/>
    </row>
    <row r="31" spans="1:10" s="66" customFormat="1" ht="18.75" customHeight="1">
      <c r="A31" s="226"/>
      <c r="B31" s="173"/>
      <c r="C31" s="173"/>
      <c r="D31" s="301" t="s">
        <v>374</v>
      </c>
      <c r="E31" s="463">
        <v>5000000</v>
      </c>
      <c r="F31" s="463"/>
      <c r="G31" s="463">
        <v>1000000</v>
      </c>
      <c r="H31" s="463">
        <f t="shared" si="1"/>
        <v>6000000</v>
      </c>
      <c r="I31" s="225"/>
      <c r="J31" s="225"/>
    </row>
    <row r="32" spans="1:10" s="66" customFormat="1" ht="18.75" customHeight="1">
      <c r="A32" s="222"/>
      <c r="B32" s="88"/>
      <c r="C32" s="88">
        <v>6050</v>
      </c>
      <c r="D32" s="223" t="s">
        <v>207</v>
      </c>
      <c r="E32" s="224">
        <v>5000000</v>
      </c>
      <c r="F32" s="224"/>
      <c r="G32" s="224">
        <f>G31</f>
        <v>1000000</v>
      </c>
      <c r="H32" s="224">
        <f t="shared" si="1"/>
        <v>6000000</v>
      </c>
      <c r="I32" s="225"/>
      <c r="J32" s="225"/>
    </row>
    <row r="33" spans="1:10" s="66" customFormat="1" ht="18.75" customHeight="1">
      <c r="A33" s="586"/>
      <c r="B33" s="585"/>
      <c r="C33" s="585"/>
      <c r="D33" s="603"/>
      <c r="E33" s="604"/>
      <c r="F33" s="604"/>
      <c r="G33" s="604"/>
      <c r="H33" s="604"/>
      <c r="I33" s="225"/>
      <c r="J33" s="225"/>
    </row>
    <row r="34" spans="1:10" ht="18.75" customHeight="1">
      <c r="A34" s="29">
        <v>758</v>
      </c>
      <c r="B34" s="29"/>
      <c r="C34" s="29"/>
      <c r="D34" s="29" t="s">
        <v>94</v>
      </c>
      <c r="E34" s="64">
        <v>8631361</v>
      </c>
      <c r="F34" s="64">
        <f>F35</f>
        <v>28790</v>
      </c>
      <c r="G34" s="64"/>
      <c r="H34" s="64">
        <f t="shared" si="0"/>
        <v>8602571</v>
      </c>
      <c r="I34" s="47"/>
      <c r="J34" s="47"/>
    </row>
    <row r="35" spans="1:10" ht="18.75" customHeight="1">
      <c r="A35" s="33"/>
      <c r="B35" s="82">
        <v>75818</v>
      </c>
      <c r="C35" s="82"/>
      <c r="D35" s="31" t="s">
        <v>95</v>
      </c>
      <c r="E35" s="65">
        <v>5969817</v>
      </c>
      <c r="F35" s="65">
        <f>F36</f>
        <v>28790</v>
      </c>
      <c r="G35" s="65"/>
      <c r="H35" s="65">
        <f t="shared" si="0"/>
        <v>5941027</v>
      </c>
      <c r="I35" s="47"/>
      <c r="J35" s="47"/>
    </row>
    <row r="36" spans="1:10" ht="18.75" customHeight="1">
      <c r="A36" s="25"/>
      <c r="B36" s="173"/>
      <c r="C36" s="173"/>
      <c r="D36" s="121" t="s">
        <v>96</v>
      </c>
      <c r="E36" s="124">
        <v>1070702</v>
      </c>
      <c r="F36" s="124">
        <f>F37</f>
        <v>28790</v>
      </c>
      <c r="G36" s="124"/>
      <c r="H36" s="124">
        <f t="shared" si="0"/>
        <v>1041912</v>
      </c>
      <c r="I36" s="47"/>
      <c r="J36" s="47"/>
    </row>
    <row r="37" spans="1:10" s="66" customFormat="1" ht="18.75" customHeight="1">
      <c r="A37" s="222"/>
      <c r="B37" s="88"/>
      <c r="C37" s="88">
        <v>4810</v>
      </c>
      <c r="D37" s="223" t="s">
        <v>54</v>
      </c>
      <c r="E37" s="224">
        <v>1070702</v>
      </c>
      <c r="F37" s="224">
        <v>28790</v>
      </c>
      <c r="G37" s="224"/>
      <c r="H37" s="224">
        <f t="shared" si="0"/>
        <v>1041912</v>
      </c>
      <c r="I37" s="225"/>
      <c r="J37" s="225"/>
    </row>
    <row r="38" spans="1:10" ht="18.75" customHeight="1">
      <c r="A38" s="29">
        <v>801</v>
      </c>
      <c r="B38" s="29"/>
      <c r="C38" s="29"/>
      <c r="D38" s="29" t="s">
        <v>69</v>
      </c>
      <c r="E38" s="64">
        <v>324205066</v>
      </c>
      <c r="F38" s="64">
        <f>F39+F55+F69+F80+F83+F93+F97</f>
        <v>835321</v>
      </c>
      <c r="G38" s="64">
        <f>G39+G55+G69+G80+G83+G93+G97</f>
        <v>1478183</v>
      </c>
      <c r="H38" s="64">
        <f t="shared" si="0"/>
        <v>324847928</v>
      </c>
      <c r="I38" s="47">
        <f>G38-F38</f>
        <v>642862</v>
      </c>
      <c r="J38" s="47"/>
    </row>
    <row r="39" spans="1:10" ht="18.75" customHeight="1">
      <c r="A39" s="33"/>
      <c r="B39" s="82">
        <v>80101</v>
      </c>
      <c r="C39" s="82"/>
      <c r="D39" s="31" t="s">
        <v>164</v>
      </c>
      <c r="E39" s="65">
        <v>90825127</v>
      </c>
      <c r="F39" s="65">
        <f>F40+F42+F44+F47+F49</f>
        <v>35608</v>
      </c>
      <c r="G39" s="65">
        <f>G40+G42+G44+G47+G49</f>
        <v>258606</v>
      </c>
      <c r="H39" s="65">
        <f t="shared" si="0"/>
        <v>91048125</v>
      </c>
      <c r="I39" s="47"/>
      <c r="J39" s="47"/>
    </row>
    <row r="40" spans="1:10" ht="18.75" customHeight="1">
      <c r="A40" s="25"/>
      <c r="B40" s="118"/>
      <c r="C40" s="118"/>
      <c r="D40" s="121" t="s">
        <v>113</v>
      </c>
      <c r="E40" s="124">
        <v>56296800</v>
      </c>
      <c r="F40" s="120"/>
      <c r="G40" s="124">
        <f>G41</f>
        <v>161606</v>
      </c>
      <c r="H40" s="124">
        <f t="shared" si="0"/>
        <v>56458406</v>
      </c>
      <c r="I40" s="47"/>
      <c r="J40" s="47"/>
    </row>
    <row r="41" spans="1:10" s="66" customFormat="1" ht="18.75" customHeight="1">
      <c r="A41" s="226"/>
      <c r="B41" s="173"/>
      <c r="C41" s="88">
        <v>4010</v>
      </c>
      <c r="D41" s="223" t="s">
        <v>208</v>
      </c>
      <c r="E41" s="224">
        <v>52219349</v>
      </c>
      <c r="F41" s="224"/>
      <c r="G41" s="224">
        <v>161606</v>
      </c>
      <c r="H41" s="224">
        <f t="shared" si="0"/>
        <v>52380955</v>
      </c>
      <c r="I41" s="225"/>
      <c r="J41" s="225"/>
    </row>
    <row r="42" spans="1:10" ht="18.75" customHeight="1">
      <c r="A42" s="25"/>
      <c r="B42" s="208"/>
      <c r="C42" s="118"/>
      <c r="D42" s="121" t="s">
        <v>163</v>
      </c>
      <c r="E42" s="124">
        <v>12011138</v>
      </c>
      <c r="F42" s="120"/>
      <c r="G42" s="124">
        <f>G43</f>
        <v>20000</v>
      </c>
      <c r="H42" s="124">
        <f>E42+G42-F42</f>
        <v>12031138</v>
      </c>
      <c r="I42" s="47"/>
      <c r="J42" s="47"/>
    </row>
    <row r="43" spans="1:10" s="66" customFormat="1" ht="18.75" customHeight="1">
      <c r="A43" s="226"/>
      <c r="B43" s="173"/>
      <c r="C43" s="88">
        <v>4240</v>
      </c>
      <c r="D43" s="223" t="s">
        <v>258</v>
      </c>
      <c r="E43" s="224">
        <v>266840</v>
      </c>
      <c r="F43" s="224"/>
      <c r="G43" s="224">
        <v>20000</v>
      </c>
      <c r="H43" s="224">
        <f>E43+G43-F43</f>
        <v>286840</v>
      </c>
      <c r="I43" s="225"/>
      <c r="J43" s="225"/>
    </row>
    <row r="44" spans="1:10" ht="18.75" customHeight="1">
      <c r="A44" s="25"/>
      <c r="B44" s="173"/>
      <c r="C44" s="173"/>
      <c r="D44" s="283" t="s">
        <v>114</v>
      </c>
      <c r="E44" s="465">
        <v>10807830</v>
      </c>
      <c r="F44" s="465"/>
      <c r="G44" s="465">
        <f>SUM(G45:G46)</f>
        <v>28000</v>
      </c>
      <c r="H44" s="465">
        <f t="shared" si="0"/>
        <v>10835830</v>
      </c>
      <c r="I44" s="47">
        <f>SUM(H45:H46)</f>
        <v>10835830</v>
      </c>
      <c r="J44" s="47"/>
    </row>
    <row r="45" spans="1:10" s="66" customFormat="1" ht="18.75" customHeight="1">
      <c r="A45" s="226"/>
      <c r="B45" s="173"/>
      <c r="C45" s="173">
        <v>4110</v>
      </c>
      <c r="D45" s="266" t="s">
        <v>209</v>
      </c>
      <c r="E45" s="466">
        <v>9513005</v>
      </c>
      <c r="F45" s="466"/>
      <c r="G45" s="466">
        <v>25000</v>
      </c>
      <c r="H45" s="466">
        <f t="shared" si="0"/>
        <v>9538005</v>
      </c>
      <c r="I45" s="225"/>
      <c r="J45" s="225"/>
    </row>
    <row r="46" spans="1:10" s="66" customFormat="1" ht="18.75" customHeight="1">
      <c r="A46" s="226"/>
      <c r="B46" s="173"/>
      <c r="C46" s="358">
        <v>4120</v>
      </c>
      <c r="D46" s="295" t="s">
        <v>210</v>
      </c>
      <c r="E46" s="467">
        <v>1294825</v>
      </c>
      <c r="F46" s="467"/>
      <c r="G46" s="467">
        <v>3000</v>
      </c>
      <c r="H46" s="467">
        <f t="shared" si="0"/>
        <v>1297825</v>
      </c>
      <c r="I46" s="225"/>
      <c r="J46" s="225"/>
    </row>
    <row r="47" spans="1:10" ht="18.75" customHeight="1">
      <c r="A47" s="25"/>
      <c r="B47" s="173"/>
      <c r="C47" s="173"/>
      <c r="D47" s="283" t="s">
        <v>165</v>
      </c>
      <c r="E47" s="465">
        <v>1100000</v>
      </c>
      <c r="F47" s="465">
        <f>F48</f>
        <v>35608</v>
      </c>
      <c r="G47" s="465"/>
      <c r="H47" s="465">
        <f t="shared" si="0"/>
        <v>1064392</v>
      </c>
      <c r="I47" s="47"/>
      <c r="J47" s="47"/>
    </row>
    <row r="48" spans="1:10" s="66" customFormat="1" ht="25.5" customHeight="1">
      <c r="A48" s="226"/>
      <c r="B48" s="173"/>
      <c r="C48" s="288">
        <v>2540</v>
      </c>
      <c r="D48" s="223" t="s">
        <v>215</v>
      </c>
      <c r="E48" s="224">
        <v>1100000</v>
      </c>
      <c r="F48" s="224">
        <v>35608</v>
      </c>
      <c r="G48" s="224"/>
      <c r="H48" s="224">
        <f t="shared" si="0"/>
        <v>1064392</v>
      </c>
      <c r="I48" s="225"/>
      <c r="J48" s="225"/>
    </row>
    <row r="49" spans="1:10" ht="18.75" customHeight="1">
      <c r="A49" s="25"/>
      <c r="B49" s="173"/>
      <c r="C49" s="213"/>
      <c r="D49" s="121" t="s">
        <v>174</v>
      </c>
      <c r="E49" s="124">
        <v>33300</v>
      </c>
      <c r="F49" s="124"/>
      <c r="G49" s="124">
        <f>SUM(G50:G54)</f>
        <v>49000</v>
      </c>
      <c r="H49" s="124">
        <f t="shared" si="0"/>
        <v>82300</v>
      </c>
      <c r="I49" s="47"/>
      <c r="J49" s="47"/>
    </row>
    <row r="50" spans="1:10" s="66" customFormat="1" ht="18.75" customHeight="1">
      <c r="A50" s="226"/>
      <c r="B50" s="173"/>
      <c r="C50" s="222">
        <v>4211</v>
      </c>
      <c r="D50" s="222" t="s">
        <v>176</v>
      </c>
      <c r="E50" s="224">
        <v>7642</v>
      </c>
      <c r="F50" s="224"/>
      <c r="G50" s="224">
        <v>5200</v>
      </c>
      <c r="H50" s="224">
        <f t="shared" si="0"/>
        <v>12842</v>
      </c>
      <c r="I50" s="225"/>
      <c r="J50" s="225"/>
    </row>
    <row r="51" spans="1:10" s="66" customFormat="1" ht="18.75" customHeight="1">
      <c r="A51" s="226"/>
      <c r="B51" s="173"/>
      <c r="C51" s="294">
        <v>4241</v>
      </c>
      <c r="D51" s="294" t="s">
        <v>258</v>
      </c>
      <c r="E51" s="224">
        <v>500</v>
      </c>
      <c r="F51" s="224"/>
      <c r="G51" s="224">
        <v>200</v>
      </c>
      <c r="H51" s="224">
        <f t="shared" si="0"/>
        <v>700</v>
      </c>
      <c r="I51" s="225"/>
      <c r="J51" s="225"/>
    </row>
    <row r="52" spans="1:10" s="66" customFormat="1" ht="18.75" customHeight="1">
      <c r="A52" s="226"/>
      <c r="B52" s="173"/>
      <c r="C52" s="294">
        <v>4301</v>
      </c>
      <c r="D52" s="294" t="s">
        <v>203</v>
      </c>
      <c r="E52" s="224">
        <v>5580</v>
      </c>
      <c r="F52" s="224"/>
      <c r="G52" s="224">
        <v>7700</v>
      </c>
      <c r="H52" s="224">
        <f t="shared" si="0"/>
        <v>13280</v>
      </c>
      <c r="I52" s="225"/>
      <c r="J52" s="225"/>
    </row>
    <row r="53" spans="1:10" s="66" customFormat="1" ht="18.75" customHeight="1">
      <c r="A53" s="226"/>
      <c r="B53" s="173"/>
      <c r="C53" s="294">
        <v>4411</v>
      </c>
      <c r="D53" s="294" t="s">
        <v>221</v>
      </c>
      <c r="E53" s="224"/>
      <c r="F53" s="224"/>
      <c r="G53" s="224">
        <v>100</v>
      </c>
      <c r="H53" s="224">
        <f t="shared" si="0"/>
        <v>100</v>
      </c>
      <c r="I53" s="225"/>
      <c r="J53" s="225"/>
    </row>
    <row r="54" spans="1:10" s="66" customFormat="1" ht="18.75" customHeight="1">
      <c r="A54" s="226"/>
      <c r="B54" s="88"/>
      <c r="C54" s="294">
        <v>4421</v>
      </c>
      <c r="D54" s="294" t="s">
        <v>222</v>
      </c>
      <c r="E54" s="224">
        <v>19578</v>
      </c>
      <c r="F54" s="224"/>
      <c r="G54" s="224">
        <v>35800</v>
      </c>
      <c r="H54" s="224">
        <f t="shared" si="0"/>
        <v>55378</v>
      </c>
      <c r="I54" s="225"/>
      <c r="J54" s="225"/>
    </row>
    <row r="55" spans="1:10" ht="18.75" customHeight="1">
      <c r="A55" s="25"/>
      <c r="B55" s="82">
        <v>80110</v>
      </c>
      <c r="C55" s="82"/>
      <c r="D55" s="31" t="s">
        <v>166</v>
      </c>
      <c r="E55" s="65">
        <v>50264638</v>
      </c>
      <c r="F55" s="65"/>
      <c r="G55" s="65">
        <f>G56+G58+G61+G64</f>
        <v>399945</v>
      </c>
      <c r="H55" s="65">
        <f>E55+G55-F55</f>
        <v>50664583</v>
      </c>
      <c r="I55" s="47"/>
      <c r="J55" s="47"/>
    </row>
    <row r="56" spans="1:10" ht="18.75" customHeight="1">
      <c r="A56" s="25"/>
      <c r="B56" s="118"/>
      <c r="C56" s="118"/>
      <c r="D56" s="121" t="s">
        <v>113</v>
      </c>
      <c r="E56" s="124">
        <v>32977514</v>
      </c>
      <c r="F56" s="120"/>
      <c r="G56" s="124">
        <f>G57</f>
        <v>160000</v>
      </c>
      <c r="H56" s="124">
        <f aca="true" t="shared" si="2" ref="H56:H68">E56+G56-F56</f>
        <v>33137514</v>
      </c>
      <c r="I56" s="47"/>
      <c r="J56" s="47"/>
    </row>
    <row r="57" spans="1:10" s="66" customFormat="1" ht="18.75" customHeight="1">
      <c r="A57" s="226"/>
      <c r="B57" s="173"/>
      <c r="C57" s="88">
        <v>4010</v>
      </c>
      <c r="D57" s="223" t="s">
        <v>208</v>
      </c>
      <c r="E57" s="224">
        <v>30594658</v>
      </c>
      <c r="F57" s="224"/>
      <c r="G57" s="224">
        <v>160000</v>
      </c>
      <c r="H57" s="224">
        <f t="shared" si="2"/>
        <v>30754658</v>
      </c>
      <c r="I57" s="225"/>
      <c r="J57" s="225"/>
    </row>
    <row r="58" spans="1:10" ht="18.75" customHeight="1">
      <c r="A58" s="25"/>
      <c r="B58" s="173"/>
      <c r="C58" s="173"/>
      <c r="D58" s="283" t="s">
        <v>114</v>
      </c>
      <c r="E58" s="465">
        <v>6370200</v>
      </c>
      <c r="F58" s="465"/>
      <c r="G58" s="465">
        <f>SUM(G59:G60)</f>
        <v>28000</v>
      </c>
      <c r="H58" s="465">
        <f t="shared" si="2"/>
        <v>6398200</v>
      </c>
      <c r="I58" s="47"/>
      <c r="J58" s="47"/>
    </row>
    <row r="59" spans="1:10" s="66" customFormat="1" ht="18.75" customHeight="1">
      <c r="A59" s="226"/>
      <c r="B59" s="173"/>
      <c r="C59" s="173">
        <v>4110</v>
      </c>
      <c r="D59" s="266" t="s">
        <v>209</v>
      </c>
      <c r="E59" s="466">
        <v>5593200</v>
      </c>
      <c r="F59" s="466"/>
      <c r="G59" s="466">
        <v>25000</v>
      </c>
      <c r="H59" s="466">
        <f t="shared" si="2"/>
        <v>5618200</v>
      </c>
      <c r="I59" s="225"/>
      <c r="J59" s="225"/>
    </row>
    <row r="60" spans="1:10" s="66" customFormat="1" ht="18.75" customHeight="1">
      <c r="A60" s="226"/>
      <c r="B60" s="173"/>
      <c r="C60" s="358">
        <v>4120</v>
      </c>
      <c r="D60" s="295" t="s">
        <v>210</v>
      </c>
      <c r="E60" s="467">
        <v>777000</v>
      </c>
      <c r="F60" s="467"/>
      <c r="G60" s="467">
        <v>3000</v>
      </c>
      <c r="H60" s="467">
        <f t="shared" si="2"/>
        <v>780000</v>
      </c>
      <c r="I60" s="225"/>
      <c r="J60" s="225"/>
    </row>
    <row r="61" spans="1:10" ht="18.75" customHeight="1">
      <c r="A61" s="25"/>
      <c r="B61" s="173"/>
      <c r="C61" s="213"/>
      <c r="D61" s="121" t="s">
        <v>167</v>
      </c>
      <c r="E61" s="124">
        <v>2600000</v>
      </c>
      <c r="F61" s="124"/>
      <c r="G61" s="124">
        <f>SUM(G62:G63)</f>
        <v>187945</v>
      </c>
      <c r="H61" s="124">
        <f t="shared" si="2"/>
        <v>2787945</v>
      </c>
      <c r="I61" s="47"/>
      <c r="J61" s="47"/>
    </row>
    <row r="62" spans="1:10" s="66" customFormat="1" ht="25.5" customHeight="1">
      <c r="A62" s="226"/>
      <c r="B62" s="173"/>
      <c r="C62" s="288">
        <v>2540</v>
      </c>
      <c r="D62" s="223" t="s">
        <v>215</v>
      </c>
      <c r="E62" s="224">
        <v>1605000</v>
      </c>
      <c r="F62" s="224"/>
      <c r="G62" s="224">
        <v>88707</v>
      </c>
      <c r="H62" s="224">
        <f t="shared" si="2"/>
        <v>1693707</v>
      </c>
      <c r="I62" s="225"/>
      <c r="J62" s="225"/>
    </row>
    <row r="63" spans="1:10" s="66" customFormat="1" ht="41.25" customHeight="1">
      <c r="A63" s="222"/>
      <c r="B63" s="88"/>
      <c r="C63" s="222">
        <v>2590</v>
      </c>
      <c r="D63" s="223" t="s">
        <v>273</v>
      </c>
      <c r="E63" s="224">
        <v>995000</v>
      </c>
      <c r="F63" s="224"/>
      <c r="G63" s="224">
        <v>99238</v>
      </c>
      <c r="H63" s="224">
        <f t="shared" si="2"/>
        <v>1094238</v>
      </c>
      <c r="I63" s="225"/>
      <c r="J63" s="225"/>
    </row>
    <row r="64" spans="1:10" ht="18.75" customHeight="1">
      <c r="A64" s="25"/>
      <c r="B64" s="173"/>
      <c r="C64" s="173"/>
      <c r="D64" s="283" t="s">
        <v>174</v>
      </c>
      <c r="E64" s="465"/>
      <c r="F64" s="465"/>
      <c r="G64" s="465">
        <f>SUM(G65:G68)</f>
        <v>24000</v>
      </c>
      <c r="H64" s="465">
        <f t="shared" si="2"/>
        <v>24000</v>
      </c>
      <c r="I64" s="47"/>
      <c r="J64" s="47"/>
    </row>
    <row r="65" spans="1:10" s="66" customFormat="1" ht="18.75" customHeight="1">
      <c r="A65" s="226"/>
      <c r="B65" s="173"/>
      <c r="C65" s="222">
        <v>4211</v>
      </c>
      <c r="D65" s="222" t="s">
        <v>176</v>
      </c>
      <c r="E65" s="224"/>
      <c r="F65" s="224"/>
      <c r="G65" s="224">
        <v>2000</v>
      </c>
      <c r="H65" s="224">
        <f t="shared" si="2"/>
        <v>2000</v>
      </c>
      <c r="I65" s="225"/>
      <c r="J65" s="225"/>
    </row>
    <row r="66" spans="1:10" s="66" customFormat="1" ht="18.75" customHeight="1">
      <c r="A66" s="226"/>
      <c r="B66" s="173"/>
      <c r="C66" s="294">
        <v>4241</v>
      </c>
      <c r="D66" s="294" t="s">
        <v>258</v>
      </c>
      <c r="E66" s="224"/>
      <c r="F66" s="224"/>
      <c r="G66" s="224">
        <v>1560</v>
      </c>
      <c r="H66" s="224">
        <f t="shared" si="2"/>
        <v>1560</v>
      </c>
      <c r="I66" s="225"/>
      <c r="J66" s="225"/>
    </row>
    <row r="67" spans="1:10" s="66" customFormat="1" ht="18.75" customHeight="1">
      <c r="A67" s="226"/>
      <c r="B67" s="173"/>
      <c r="C67" s="294">
        <v>4301</v>
      </c>
      <c r="D67" s="294" t="s">
        <v>203</v>
      </c>
      <c r="E67" s="224"/>
      <c r="F67" s="224"/>
      <c r="G67" s="224">
        <v>10640</v>
      </c>
      <c r="H67" s="224">
        <f t="shared" si="2"/>
        <v>10640</v>
      </c>
      <c r="I67" s="225"/>
      <c r="J67" s="225"/>
    </row>
    <row r="68" spans="1:10" s="66" customFormat="1" ht="18.75" customHeight="1">
      <c r="A68" s="226"/>
      <c r="B68" s="88"/>
      <c r="C68" s="294">
        <v>4421</v>
      </c>
      <c r="D68" s="294" t="s">
        <v>222</v>
      </c>
      <c r="E68" s="224"/>
      <c r="F68" s="224"/>
      <c r="G68" s="224">
        <v>9800</v>
      </c>
      <c r="H68" s="224">
        <f t="shared" si="2"/>
        <v>9800</v>
      </c>
      <c r="I68" s="225"/>
      <c r="J68" s="225"/>
    </row>
    <row r="69" spans="1:10" ht="18.75" customHeight="1">
      <c r="A69" s="25"/>
      <c r="B69" s="82">
        <v>80120</v>
      </c>
      <c r="C69" s="82"/>
      <c r="D69" s="31" t="s">
        <v>100</v>
      </c>
      <c r="E69" s="65">
        <v>45669979</v>
      </c>
      <c r="F69" s="65">
        <f>F70+F72+F75</f>
        <v>172642</v>
      </c>
      <c r="G69" s="65">
        <f>G70+G72+G75</f>
        <v>596311</v>
      </c>
      <c r="H69" s="65">
        <f aca="true" t="shared" si="3" ref="H69:H80">E69+G69-F69</f>
        <v>46093648</v>
      </c>
      <c r="I69" s="47"/>
      <c r="J69" s="47"/>
    </row>
    <row r="70" spans="1:10" s="22" customFormat="1" ht="18.75" customHeight="1">
      <c r="A70" s="24"/>
      <c r="B70" s="191"/>
      <c r="C70" s="212"/>
      <c r="D70" s="121" t="s">
        <v>113</v>
      </c>
      <c r="E70" s="124">
        <v>30079678</v>
      </c>
      <c r="F70" s="124"/>
      <c r="G70" s="124">
        <f>G71</f>
        <v>444060</v>
      </c>
      <c r="H70" s="124">
        <f t="shared" si="3"/>
        <v>30523738</v>
      </c>
      <c r="I70" s="73"/>
      <c r="J70" s="73"/>
    </row>
    <row r="71" spans="1:10" s="66" customFormat="1" ht="18.75" customHeight="1">
      <c r="A71" s="226"/>
      <c r="B71" s="173"/>
      <c r="C71" s="88">
        <v>4010</v>
      </c>
      <c r="D71" s="223" t="s">
        <v>208</v>
      </c>
      <c r="E71" s="461">
        <v>27892390</v>
      </c>
      <c r="F71" s="461"/>
      <c r="G71" s="461">
        <v>444060</v>
      </c>
      <c r="H71" s="461">
        <f t="shared" si="3"/>
        <v>28336450</v>
      </c>
      <c r="I71" s="225"/>
      <c r="J71" s="225"/>
    </row>
    <row r="72" spans="1:10" ht="18.75" customHeight="1">
      <c r="A72" s="25"/>
      <c r="B72" s="173"/>
      <c r="C72" s="173"/>
      <c r="D72" s="121" t="s">
        <v>168</v>
      </c>
      <c r="E72" s="124">
        <v>4000000</v>
      </c>
      <c r="F72" s="124">
        <f>SUM(F73:F74)</f>
        <v>172642</v>
      </c>
      <c r="G72" s="124">
        <f>SUM(G73:G74)</f>
        <v>146651</v>
      </c>
      <c r="H72" s="124">
        <f t="shared" si="3"/>
        <v>3974009</v>
      </c>
      <c r="I72" s="47"/>
      <c r="J72" s="47"/>
    </row>
    <row r="73" spans="1:10" s="66" customFormat="1" ht="25.5" customHeight="1">
      <c r="A73" s="226"/>
      <c r="B73" s="173"/>
      <c r="C73" s="288">
        <v>2540</v>
      </c>
      <c r="D73" s="223" t="s">
        <v>215</v>
      </c>
      <c r="E73" s="224">
        <v>2340000</v>
      </c>
      <c r="F73" s="224">
        <v>172642</v>
      </c>
      <c r="G73" s="224"/>
      <c r="H73" s="224">
        <f t="shared" si="3"/>
        <v>2167358</v>
      </c>
      <c r="I73" s="225"/>
      <c r="J73" s="225"/>
    </row>
    <row r="74" spans="1:10" s="66" customFormat="1" ht="41.25" customHeight="1">
      <c r="A74" s="226"/>
      <c r="B74" s="173"/>
      <c r="C74" s="222">
        <v>2590</v>
      </c>
      <c r="D74" s="223" t="s">
        <v>273</v>
      </c>
      <c r="E74" s="224">
        <v>1660000</v>
      </c>
      <c r="F74" s="224"/>
      <c r="G74" s="224">
        <v>146651</v>
      </c>
      <c r="H74" s="224">
        <f t="shared" si="3"/>
        <v>1806651</v>
      </c>
      <c r="I74" s="225"/>
      <c r="J74" s="225"/>
    </row>
    <row r="75" spans="1:10" ht="18.75" customHeight="1">
      <c r="A75" s="25"/>
      <c r="B75" s="173"/>
      <c r="C75" s="173"/>
      <c r="D75" s="209" t="s">
        <v>174</v>
      </c>
      <c r="E75" s="210"/>
      <c r="F75" s="210"/>
      <c r="G75" s="210">
        <v>5600</v>
      </c>
      <c r="H75" s="210">
        <f t="shared" si="3"/>
        <v>5600</v>
      </c>
      <c r="I75" s="47"/>
      <c r="J75" s="47"/>
    </row>
    <row r="76" spans="1:10" s="66" customFormat="1" ht="18.75" customHeight="1">
      <c r="A76" s="226"/>
      <c r="B76" s="173"/>
      <c r="C76" s="222">
        <v>4171</v>
      </c>
      <c r="D76" s="222" t="s">
        <v>211</v>
      </c>
      <c r="E76" s="224"/>
      <c r="F76" s="224"/>
      <c r="G76" s="224">
        <v>300</v>
      </c>
      <c r="H76" s="224">
        <f t="shared" si="3"/>
        <v>300</v>
      </c>
      <c r="I76" s="225"/>
      <c r="J76" s="225"/>
    </row>
    <row r="77" spans="1:10" s="66" customFormat="1" ht="18.75" customHeight="1">
      <c r="A77" s="226"/>
      <c r="B77" s="173"/>
      <c r="C77" s="222">
        <v>4211</v>
      </c>
      <c r="D77" s="222" t="s">
        <v>176</v>
      </c>
      <c r="E77" s="224"/>
      <c r="F77" s="224"/>
      <c r="G77" s="224">
        <v>1320</v>
      </c>
      <c r="H77" s="224">
        <f t="shared" si="3"/>
        <v>1320</v>
      </c>
      <c r="I77" s="225"/>
      <c r="J77" s="225"/>
    </row>
    <row r="78" spans="1:10" s="66" customFormat="1" ht="18.75" customHeight="1">
      <c r="A78" s="226"/>
      <c r="B78" s="173"/>
      <c r="C78" s="294">
        <v>4241</v>
      </c>
      <c r="D78" s="294" t="s">
        <v>258</v>
      </c>
      <c r="E78" s="224"/>
      <c r="F78" s="224"/>
      <c r="G78" s="224">
        <v>920</v>
      </c>
      <c r="H78" s="224">
        <f t="shared" si="3"/>
        <v>920</v>
      </c>
      <c r="I78" s="225"/>
      <c r="J78" s="225"/>
    </row>
    <row r="79" spans="1:10" s="66" customFormat="1" ht="18.75" customHeight="1">
      <c r="A79" s="226"/>
      <c r="B79" s="88"/>
      <c r="C79" s="294">
        <v>4301</v>
      </c>
      <c r="D79" s="294" t="s">
        <v>203</v>
      </c>
      <c r="E79" s="224"/>
      <c r="F79" s="224"/>
      <c r="G79" s="224">
        <v>3060</v>
      </c>
      <c r="H79" s="224">
        <f t="shared" si="3"/>
        <v>3060</v>
      </c>
      <c r="I79" s="225"/>
      <c r="J79" s="225"/>
    </row>
    <row r="80" spans="1:10" ht="18.75" customHeight="1">
      <c r="A80" s="25"/>
      <c r="B80" s="82">
        <v>80123</v>
      </c>
      <c r="C80" s="82"/>
      <c r="D80" s="31" t="s">
        <v>115</v>
      </c>
      <c r="E80" s="65">
        <v>8303755</v>
      </c>
      <c r="F80" s="65"/>
      <c r="G80" s="65">
        <f>G81</f>
        <v>50021</v>
      </c>
      <c r="H80" s="65">
        <f t="shared" si="3"/>
        <v>8353776</v>
      </c>
      <c r="I80" s="47"/>
      <c r="J80" s="47"/>
    </row>
    <row r="81" spans="1:10" ht="18.75" customHeight="1">
      <c r="A81" s="25"/>
      <c r="B81" s="118"/>
      <c r="C81" s="118"/>
      <c r="D81" s="121" t="s">
        <v>169</v>
      </c>
      <c r="E81" s="124">
        <v>350000</v>
      </c>
      <c r="F81" s="120"/>
      <c r="G81" s="124">
        <f>G82</f>
        <v>50021</v>
      </c>
      <c r="H81" s="124">
        <f>E81+G81</f>
        <v>400021</v>
      </c>
      <c r="I81" s="47"/>
      <c r="J81" s="47"/>
    </row>
    <row r="82" spans="1:10" s="66" customFormat="1" ht="41.25" customHeight="1">
      <c r="A82" s="226"/>
      <c r="B82" s="88"/>
      <c r="C82" s="222">
        <v>2590</v>
      </c>
      <c r="D82" s="223" t="s">
        <v>273</v>
      </c>
      <c r="E82" s="224">
        <v>350000</v>
      </c>
      <c r="F82" s="224"/>
      <c r="G82" s="224">
        <v>50021</v>
      </c>
      <c r="H82" s="224">
        <f>E82+G82-F82</f>
        <v>400021</v>
      </c>
      <c r="I82" s="225"/>
      <c r="J82" s="225"/>
    </row>
    <row r="83" spans="1:10" ht="18.75" customHeight="1">
      <c r="A83" s="25"/>
      <c r="B83" s="82">
        <v>80130</v>
      </c>
      <c r="C83" s="82"/>
      <c r="D83" s="31" t="s">
        <v>170</v>
      </c>
      <c r="E83" s="65">
        <v>45555829</v>
      </c>
      <c r="F83" s="65">
        <f>F84+F87</f>
        <v>625723</v>
      </c>
      <c r="G83" s="65">
        <f>G84+G87</f>
        <v>152630</v>
      </c>
      <c r="H83" s="65">
        <f aca="true" t="shared" si="4" ref="H83:H103">E83+G83-F83</f>
        <v>45082736</v>
      </c>
      <c r="I83" s="47"/>
      <c r="J83" s="47"/>
    </row>
    <row r="84" spans="1:10" s="22" customFormat="1" ht="18.75" customHeight="1">
      <c r="A84" s="24"/>
      <c r="B84" s="212"/>
      <c r="C84" s="212"/>
      <c r="D84" s="121" t="s">
        <v>171</v>
      </c>
      <c r="E84" s="124">
        <v>5500000</v>
      </c>
      <c r="F84" s="124">
        <f>SUM(F85:F86)</f>
        <v>625723</v>
      </c>
      <c r="G84" s="124">
        <f>SUM(G85:G86)</f>
        <v>133590</v>
      </c>
      <c r="H84" s="124">
        <f t="shared" si="4"/>
        <v>5007867</v>
      </c>
      <c r="I84" s="73"/>
      <c r="J84" s="73"/>
    </row>
    <row r="85" spans="1:10" s="66" customFormat="1" ht="25.5" customHeight="1">
      <c r="A85" s="226"/>
      <c r="B85" s="173"/>
      <c r="C85" s="288">
        <v>2540</v>
      </c>
      <c r="D85" s="223" t="s">
        <v>215</v>
      </c>
      <c r="E85" s="224">
        <v>4335000</v>
      </c>
      <c r="F85" s="224">
        <v>625723</v>
      </c>
      <c r="G85" s="224"/>
      <c r="H85" s="224">
        <f t="shared" si="4"/>
        <v>3709277</v>
      </c>
      <c r="I85" s="225"/>
      <c r="J85" s="225"/>
    </row>
    <row r="86" spans="1:10" s="66" customFormat="1" ht="41.25" customHeight="1">
      <c r="A86" s="226"/>
      <c r="B86" s="173"/>
      <c r="C86" s="222">
        <v>2590</v>
      </c>
      <c r="D86" s="223" t="s">
        <v>273</v>
      </c>
      <c r="E86" s="224">
        <v>1165000</v>
      </c>
      <c r="F86" s="224"/>
      <c r="G86" s="224">
        <v>133590</v>
      </c>
      <c r="H86" s="224">
        <f t="shared" si="4"/>
        <v>1298590</v>
      </c>
      <c r="I86" s="225"/>
      <c r="J86" s="225"/>
    </row>
    <row r="87" spans="1:10" s="22" customFormat="1" ht="18.75" customHeight="1">
      <c r="A87" s="24"/>
      <c r="B87" s="191"/>
      <c r="C87" s="212"/>
      <c r="D87" s="121" t="s">
        <v>174</v>
      </c>
      <c r="E87" s="124"/>
      <c r="F87" s="124"/>
      <c r="G87" s="124">
        <v>19040</v>
      </c>
      <c r="H87" s="124">
        <f t="shared" si="4"/>
        <v>19040</v>
      </c>
      <c r="I87" s="73"/>
      <c r="J87" s="73"/>
    </row>
    <row r="88" spans="1:10" s="66" customFormat="1" ht="18.75" customHeight="1">
      <c r="A88" s="226"/>
      <c r="B88" s="173"/>
      <c r="C88" s="222">
        <v>4211</v>
      </c>
      <c r="D88" s="222" t="s">
        <v>176</v>
      </c>
      <c r="E88" s="224"/>
      <c r="F88" s="224"/>
      <c r="G88" s="224">
        <v>330</v>
      </c>
      <c r="H88" s="224">
        <f t="shared" si="4"/>
        <v>330</v>
      </c>
      <c r="I88" s="225"/>
      <c r="J88" s="225"/>
    </row>
    <row r="89" spans="1:10" s="66" customFormat="1" ht="18.75" customHeight="1">
      <c r="A89" s="226"/>
      <c r="B89" s="173"/>
      <c r="C89" s="294">
        <v>4241</v>
      </c>
      <c r="D89" s="294" t="s">
        <v>258</v>
      </c>
      <c r="E89" s="224"/>
      <c r="F89" s="224"/>
      <c r="G89" s="224">
        <v>300</v>
      </c>
      <c r="H89" s="224">
        <f t="shared" si="4"/>
        <v>300</v>
      </c>
      <c r="I89" s="225"/>
      <c r="J89" s="225"/>
    </row>
    <row r="90" spans="1:10" s="66" customFormat="1" ht="18.75" customHeight="1">
      <c r="A90" s="226"/>
      <c r="B90" s="173"/>
      <c r="C90" s="294">
        <v>4301</v>
      </c>
      <c r="D90" s="294" t="s">
        <v>203</v>
      </c>
      <c r="E90" s="224"/>
      <c r="F90" s="224"/>
      <c r="G90" s="224">
        <v>4490</v>
      </c>
      <c r="H90" s="224">
        <f t="shared" si="4"/>
        <v>4490</v>
      </c>
      <c r="I90" s="225"/>
      <c r="J90" s="225"/>
    </row>
    <row r="91" spans="1:10" s="66" customFormat="1" ht="18.75" customHeight="1">
      <c r="A91" s="222"/>
      <c r="B91" s="88"/>
      <c r="C91" s="294">
        <v>4411</v>
      </c>
      <c r="D91" s="294" t="s">
        <v>221</v>
      </c>
      <c r="E91" s="224"/>
      <c r="F91" s="224"/>
      <c r="G91" s="224">
        <v>480</v>
      </c>
      <c r="H91" s="224">
        <f t="shared" si="4"/>
        <v>480</v>
      </c>
      <c r="I91" s="225"/>
      <c r="J91" s="225"/>
    </row>
    <row r="92" spans="1:10" s="66" customFormat="1" ht="18.75" customHeight="1">
      <c r="A92" s="226"/>
      <c r="B92" s="88"/>
      <c r="C92" s="222">
        <v>4421</v>
      </c>
      <c r="D92" s="222" t="s">
        <v>222</v>
      </c>
      <c r="E92" s="224"/>
      <c r="F92" s="224"/>
      <c r="G92" s="224">
        <v>13440</v>
      </c>
      <c r="H92" s="224">
        <f t="shared" si="4"/>
        <v>13440</v>
      </c>
      <c r="I92" s="225"/>
      <c r="J92" s="225"/>
    </row>
    <row r="93" spans="1:10" ht="25.5" customHeight="1">
      <c r="A93" s="25"/>
      <c r="B93" s="82">
        <v>80140</v>
      </c>
      <c r="C93" s="82"/>
      <c r="D93" s="32" t="s">
        <v>175</v>
      </c>
      <c r="E93" s="65">
        <v>9652445</v>
      </c>
      <c r="F93" s="65"/>
      <c r="G93" s="65">
        <f>G94</f>
        <v>20670</v>
      </c>
      <c r="H93" s="65">
        <f t="shared" si="4"/>
        <v>9673115</v>
      </c>
      <c r="I93" s="47"/>
      <c r="J93" s="47"/>
    </row>
    <row r="94" spans="1:10" s="22" customFormat="1" ht="18.75" customHeight="1">
      <c r="A94" s="24"/>
      <c r="B94" s="212"/>
      <c r="C94" s="212"/>
      <c r="D94" s="121" t="s">
        <v>174</v>
      </c>
      <c r="E94" s="124"/>
      <c r="F94" s="124"/>
      <c r="G94" s="124">
        <f>SUM(G95:G96)</f>
        <v>20670</v>
      </c>
      <c r="H94" s="124">
        <f t="shared" si="4"/>
        <v>20670</v>
      </c>
      <c r="I94" s="73"/>
      <c r="J94" s="73"/>
    </row>
    <row r="95" spans="1:10" s="66" customFormat="1" ht="18.75" customHeight="1">
      <c r="A95" s="226"/>
      <c r="B95" s="173"/>
      <c r="C95" s="222">
        <v>4211</v>
      </c>
      <c r="D95" s="222" t="s">
        <v>176</v>
      </c>
      <c r="E95" s="224"/>
      <c r="F95" s="224"/>
      <c r="G95" s="224">
        <v>5600</v>
      </c>
      <c r="H95" s="224">
        <f t="shared" si="4"/>
        <v>5600</v>
      </c>
      <c r="I95" s="225"/>
      <c r="J95" s="225"/>
    </row>
    <row r="96" spans="1:10" s="66" customFormat="1" ht="18.75" customHeight="1">
      <c r="A96" s="226"/>
      <c r="B96" s="88"/>
      <c r="C96" s="294">
        <v>4421</v>
      </c>
      <c r="D96" s="294" t="s">
        <v>222</v>
      </c>
      <c r="E96" s="224"/>
      <c r="F96" s="224"/>
      <c r="G96" s="224">
        <v>15070</v>
      </c>
      <c r="H96" s="224">
        <f t="shared" si="4"/>
        <v>15070</v>
      </c>
      <c r="I96" s="225"/>
      <c r="J96" s="225"/>
    </row>
    <row r="97" spans="1:10" ht="18.75" customHeight="1">
      <c r="A97" s="25"/>
      <c r="B97" s="82">
        <v>80195</v>
      </c>
      <c r="C97" s="82"/>
      <c r="D97" s="31" t="s">
        <v>62</v>
      </c>
      <c r="E97" s="65">
        <v>2356350</v>
      </c>
      <c r="F97" s="65">
        <f>F98</f>
        <v>1348</v>
      </c>
      <c r="G97" s="65"/>
      <c r="H97" s="65">
        <f t="shared" si="4"/>
        <v>2355002</v>
      </c>
      <c r="I97" s="47"/>
      <c r="J97" s="47"/>
    </row>
    <row r="98" spans="1:10" s="22" customFormat="1" ht="25.5" customHeight="1">
      <c r="A98" s="24"/>
      <c r="B98" s="212"/>
      <c r="C98" s="212"/>
      <c r="D98" s="121" t="s">
        <v>191</v>
      </c>
      <c r="E98" s="124">
        <v>2307750</v>
      </c>
      <c r="F98" s="124">
        <f>F99</f>
        <v>1348</v>
      </c>
      <c r="G98" s="124"/>
      <c r="H98" s="124">
        <f t="shared" si="4"/>
        <v>2306402</v>
      </c>
      <c r="I98" s="73"/>
      <c r="J98" s="73"/>
    </row>
    <row r="99" spans="1:10" s="66" customFormat="1" ht="41.25" customHeight="1">
      <c r="A99" s="226"/>
      <c r="B99" s="88"/>
      <c r="C99" s="222">
        <v>2590</v>
      </c>
      <c r="D99" s="223" t="s">
        <v>273</v>
      </c>
      <c r="E99" s="224">
        <v>7500</v>
      </c>
      <c r="F99" s="224">
        <v>1348</v>
      </c>
      <c r="G99" s="224"/>
      <c r="H99" s="224">
        <f>E99+G99-F99</f>
        <v>6152</v>
      </c>
      <c r="I99" s="225"/>
      <c r="J99" s="225"/>
    </row>
    <row r="100" spans="1:10" ht="18.75" customHeight="1">
      <c r="A100" s="123">
        <v>851</v>
      </c>
      <c r="B100" s="29"/>
      <c r="C100" s="29"/>
      <c r="D100" s="29" t="s">
        <v>179</v>
      </c>
      <c r="E100" s="64">
        <v>12655000</v>
      </c>
      <c r="F100" s="64">
        <f>F101+F104</f>
        <v>2745000</v>
      </c>
      <c r="G100" s="64"/>
      <c r="H100" s="64">
        <f t="shared" si="4"/>
        <v>9910000</v>
      </c>
      <c r="I100" s="47"/>
      <c r="J100" s="47"/>
    </row>
    <row r="101" spans="1:10" ht="18.75" customHeight="1">
      <c r="A101" s="33"/>
      <c r="B101" s="82">
        <v>85121</v>
      </c>
      <c r="C101" s="82"/>
      <c r="D101" s="31" t="s">
        <v>180</v>
      </c>
      <c r="E101" s="65">
        <v>7000000</v>
      </c>
      <c r="F101" s="65">
        <f>F102</f>
        <v>2545000</v>
      </c>
      <c r="G101" s="65"/>
      <c r="H101" s="65">
        <f t="shared" si="4"/>
        <v>4455000</v>
      </c>
      <c r="I101" s="47"/>
      <c r="J101" s="47"/>
    </row>
    <row r="102" spans="1:10" s="22" customFormat="1" ht="26.25" customHeight="1">
      <c r="A102" s="24"/>
      <c r="B102" s="212"/>
      <c r="C102" s="212"/>
      <c r="D102" s="121" t="s">
        <v>181</v>
      </c>
      <c r="E102" s="124">
        <v>5500000</v>
      </c>
      <c r="F102" s="124">
        <f>F103</f>
        <v>2545000</v>
      </c>
      <c r="G102" s="124"/>
      <c r="H102" s="124">
        <f t="shared" si="4"/>
        <v>2955000</v>
      </c>
      <c r="I102" s="73"/>
      <c r="J102" s="73"/>
    </row>
    <row r="103" spans="1:10" s="66" customFormat="1" ht="39" customHeight="1">
      <c r="A103" s="226"/>
      <c r="B103" s="88"/>
      <c r="C103" s="222">
        <v>4160</v>
      </c>
      <c r="D103" s="223" t="s">
        <v>286</v>
      </c>
      <c r="E103" s="224">
        <v>5500000</v>
      </c>
      <c r="F103" s="224">
        <f>1545000+1000000</f>
        <v>2545000</v>
      </c>
      <c r="G103" s="224"/>
      <c r="H103" s="224">
        <f t="shared" si="4"/>
        <v>2955000</v>
      </c>
      <c r="I103" s="225"/>
      <c r="J103" s="225"/>
    </row>
    <row r="104" spans="1:10" ht="18.75" customHeight="1">
      <c r="A104" s="25"/>
      <c r="B104" s="82">
        <v>85154</v>
      </c>
      <c r="C104" s="82"/>
      <c r="D104" s="31" t="s">
        <v>377</v>
      </c>
      <c r="E104" s="65">
        <v>5000000</v>
      </c>
      <c r="F104" s="65">
        <f>F105</f>
        <v>200000</v>
      </c>
      <c r="G104" s="65"/>
      <c r="H104" s="65">
        <f>E104+G104-F104</f>
        <v>4800000</v>
      </c>
      <c r="I104" s="47"/>
      <c r="J104" s="47"/>
    </row>
    <row r="105" spans="1:10" s="22" customFormat="1" ht="26.25" customHeight="1">
      <c r="A105" s="24"/>
      <c r="B105" s="212"/>
      <c r="C105" s="212"/>
      <c r="D105" s="121" t="s">
        <v>378</v>
      </c>
      <c r="E105" s="124">
        <v>5000000</v>
      </c>
      <c r="F105" s="124">
        <f>F106</f>
        <v>200000</v>
      </c>
      <c r="G105" s="124"/>
      <c r="H105" s="124">
        <f>E105+G105-F105</f>
        <v>4800000</v>
      </c>
      <c r="I105" s="73"/>
      <c r="J105" s="73"/>
    </row>
    <row r="106" spans="1:10" s="22" customFormat="1" ht="25.5" customHeight="1">
      <c r="A106" s="24"/>
      <c r="B106" s="191"/>
      <c r="C106" s="24"/>
      <c r="D106" s="560" t="s">
        <v>379</v>
      </c>
      <c r="E106" s="561">
        <v>350000</v>
      </c>
      <c r="F106" s="561">
        <f>F107</f>
        <v>200000</v>
      </c>
      <c r="G106" s="561"/>
      <c r="H106" s="561">
        <f>E106+G106-F106</f>
        <v>150000</v>
      </c>
      <c r="I106" s="73"/>
      <c r="J106" s="73"/>
    </row>
    <row r="107" spans="1:10" s="66" customFormat="1" ht="19.5" customHeight="1">
      <c r="A107" s="226"/>
      <c r="B107" s="173"/>
      <c r="C107" s="222">
        <v>4300</v>
      </c>
      <c r="D107" s="223" t="s">
        <v>203</v>
      </c>
      <c r="E107" s="461">
        <v>270370</v>
      </c>
      <c r="F107" s="461">
        <v>200000</v>
      </c>
      <c r="G107" s="461"/>
      <c r="H107" s="461">
        <f>E107+G107-F107</f>
        <v>70370</v>
      </c>
      <c r="I107" s="225"/>
      <c r="J107" s="225"/>
    </row>
    <row r="108" spans="1:10" ht="18.75" customHeight="1">
      <c r="A108" s="123">
        <v>852</v>
      </c>
      <c r="B108" s="123"/>
      <c r="C108" s="123"/>
      <c r="D108" s="123" t="s">
        <v>70</v>
      </c>
      <c r="E108" s="201">
        <v>87388430</v>
      </c>
      <c r="F108" s="201">
        <f>F109+F120+F124</f>
        <v>117000</v>
      </c>
      <c r="G108" s="201">
        <f>G109+G120+G124</f>
        <v>367000</v>
      </c>
      <c r="H108" s="201">
        <f aca="true" t="shared" si="5" ref="H108:H123">E108+G108-F108</f>
        <v>87638430</v>
      </c>
      <c r="I108" s="47"/>
      <c r="J108" s="47"/>
    </row>
    <row r="109" spans="1:10" ht="18.75" customHeight="1">
      <c r="A109" s="33"/>
      <c r="B109" s="82">
        <v>85201</v>
      </c>
      <c r="C109" s="82"/>
      <c r="D109" s="31" t="s">
        <v>160</v>
      </c>
      <c r="E109" s="65">
        <v>10333629</v>
      </c>
      <c r="F109" s="65">
        <f>F110+F112+F116+F118</f>
        <v>117000</v>
      </c>
      <c r="G109" s="65">
        <f>G110+G112+G116+G118</f>
        <v>117000</v>
      </c>
      <c r="H109" s="65">
        <f t="shared" si="5"/>
        <v>10333629</v>
      </c>
      <c r="I109" s="47"/>
      <c r="J109" s="47"/>
    </row>
    <row r="110" spans="1:10" ht="18.75" customHeight="1">
      <c r="A110" s="25"/>
      <c r="B110" s="118"/>
      <c r="C110" s="118"/>
      <c r="D110" s="121" t="s">
        <v>113</v>
      </c>
      <c r="E110" s="124">
        <v>3506300</v>
      </c>
      <c r="F110" s="124"/>
      <c r="G110" s="124">
        <f>G111</f>
        <v>60000</v>
      </c>
      <c r="H110" s="124">
        <f t="shared" si="5"/>
        <v>3566300</v>
      </c>
      <c r="I110" s="47"/>
      <c r="J110" s="47"/>
    </row>
    <row r="111" spans="1:10" s="66" customFormat="1" ht="18.75" customHeight="1">
      <c r="A111" s="226"/>
      <c r="B111" s="173"/>
      <c r="C111" s="88">
        <v>4010</v>
      </c>
      <c r="D111" s="223" t="s">
        <v>208</v>
      </c>
      <c r="E111" s="224">
        <v>3250596</v>
      </c>
      <c r="F111" s="224"/>
      <c r="G111" s="224">
        <v>60000</v>
      </c>
      <c r="H111" s="224">
        <f t="shared" si="5"/>
        <v>3310596</v>
      </c>
      <c r="I111" s="225"/>
      <c r="J111" s="225"/>
    </row>
    <row r="112" spans="1:10" ht="18.75" customHeight="1">
      <c r="A112" s="25"/>
      <c r="B112" s="208"/>
      <c r="C112" s="208"/>
      <c r="D112" s="121" t="s">
        <v>163</v>
      </c>
      <c r="E112" s="124">
        <v>1638404</v>
      </c>
      <c r="F112" s="124"/>
      <c r="G112" s="124">
        <f>SUM(G113:G115)</f>
        <v>47000</v>
      </c>
      <c r="H112" s="124">
        <f t="shared" si="5"/>
        <v>1685404</v>
      </c>
      <c r="I112" s="47"/>
      <c r="J112" s="47"/>
    </row>
    <row r="113" spans="1:10" s="66" customFormat="1" ht="18.75" customHeight="1">
      <c r="A113" s="226"/>
      <c r="B113" s="173"/>
      <c r="C113" s="173">
        <v>4210</v>
      </c>
      <c r="D113" s="222" t="s">
        <v>176</v>
      </c>
      <c r="E113" s="461">
        <v>188076</v>
      </c>
      <c r="F113" s="461"/>
      <c r="G113" s="461">
        <f>15000+10000</f>
        <v>25000</v>
      </c>
      <c r="H113" s="461">
        <f t="shared" si="5"/>
        <v>213076</v>
      </c>
      <c r="I113" s="225"/>
      <c r="J113" s="225"/>
    </row>
    <row r="114" spans="1:10" s="66" customFormat="1" ht="18.75" customHeight="1">
      <c r="A114" s="226"/>
      <c r="B114" s="173"/>
      <c r="C114" s="358">
        <v>4220</v>
      </c>
      <c r="D114" s="469" t="s">
        <v>288</v>
      </c>
      <c r="E114" s="467">
        <v>272700</v>
      </c>
      <c r="F114" s="467"/>
      <c r="G114" s="467">
        <v>20000</v>
      </c>
      <c r="H114" s="467">
        <f t="shared" si="5"/>
        <v>292700</v>
      </c>
      <c r="I114" s="225"/>
      <c r="J114" s="225"/>
    </row>
    <row r="115" spans="1:10" s="66" customFormat="1" ht="18.75" customHeight="1">
      <c r="A115" s="226"/>
      <c r="B115" s="173"/>
      <c r="C115" s="358">
        <v>4240</v>
      </c>
      <c r="D115" s="469" t="s">
        <v>258</v>
      </c>
      <c r="E115" s="467">
        <v>20870</v>
      </c>
      <c r="F115" s="467"/>
      <c r="G115" s="467">
        <v>2000</v>
      </c>
      <c r="H115" s="467">
        <f t="shared" si="5"/>
        <v>22870</v>
      </c>
      <c r="I115" s="225"/>
      <c r="J115" s="225"/>
    </row>
    <row r="116" spans="1:10" ht="18.75" customHeight="1">
      <c r="A116" s="25"/>
      <c r="B116" s="208"/>
      <c r="C116" s="208"/>
      <c r="D116" s="283" t="s">
        <v>114</v>
      </c>
      <c r="E116" s="465">
        <v>690270</v>
      </c>
      <c r="F116" s="465"/>
      <c r="G116" s="465">
        <f>G117</f>
        <v>10000</v>
      </c>
      <c r="H116" s="465">
        <f t="shared" si="5"/>
        <v>700270</v>
      </c>
      <c r="I116" s="47"/>
      <c r="J116" s="47"/>
    </row>
    <row r="117" spans="1:10" s="66" customFormat="1" ht="18.75" customHeight="1">
      <c r="A117" s="226"/>
      <c r="B117" s="173"/>
      <c r="C117" s="88">
        <v>4110</v>
      </c>
      <c r="D117" s="223" t="s">
        <v>209</v>
      </c>
      <c r="E117" s="224">
        <v>606450</v>
      </c>
      <c r="F117" s="224"/>
      <c r="G117" s="224">
        <v>10000</v>
      </c>
      <c r="H117" s="224">
        <f t="shared" si="5"/>
        <v>616450</v>
      </c>
      <c r="I117" s="225"/>
      <c r="J117" s="225"/>
    </row>
    <row r="118" spans="1:10" ht="18.75" customHeight="1">
      <c r="A118" s="25"/>
      <c r="B118" s="208"/>
      <c r="C118" s="208"/>
      <c r="D118" s="121" t="s">
        <v>162</v>
      </c>
      <c r="E118" s="124">
        <v>1400000</v>
      </c>
      <c r="F118" s="124">
        <f>F119</f>
        <v>117000</v>
      </c>
      <c r="G118" s="124"/>
      <c r="H118" s="124">
        <f t="shared" si="5"/>
        <v>1283000</v>
      </c>
      <c r="I118" s="47"/>
      <c r="J118" s="47"/>
    </row>
    <row r="119" spans="1:10" s="66" customFormat="1" ht="25.5" customHeight="1">
      <c r="A119" s="222"/>
      <c r="B119" s="88"/>
      <c r="C119" s="222">
        <v>2580</v>
      </c>
      <c r="D119" s="223" t="s">
        <v>290</v>
      </c>
      <c r="E119" s="224">
        <v>1400000</v>
      </c>
      <c r="F119" s="224">
        <f>107000+10000</f>
        <v>117000</v>
      </c>
      <c r="G119" s="224"/>
      <c r="H119" s="224">
        <f t="shared" si="5"/>
        <v>1283000</v>
      </c>
      <c r="I119" s="225"/>
      <c r="J119" s="225"/>
    </row>
    <row r="120" spans="1:10" ht="18.75" customHeight="1">
      <c r="A120" s="25"/>
      <c r="B120" s="82">
        <v>85202</v>
      </c>
      <c r="C120" s="82"/>
      <c r="D120" s="31" t="s">
        <v>143</v>
      </c>
      <c r="E120" s="65">
        <v>15039892</v>
      </c>
      <c r="F120" s="65"/>
      <c r="G120" s="65">
        <f>G121</f>
        <v>50000</v>
      </c>
      <c r="H120" s="65">
        <f t="shared" si="5"/>
        <v>15089892</v>
      </c>
      <c r="I120" s="47"/>
      <c r="J120" s="47"/>
    </row>
    <row r="121" spans="1:10" ht="18.75" customHeight="1">
      <c r="A121" s="25"/>
      <c r="B121" s="118"/>
      <c r="C121" s="118"/>
      <c r="D121" s="121" t="s">
        <v>206</v>
      </c>
      <c r="E121" s="124">
        <v>1697292</v>
      </c>
      <c r="F121" s="120"/>
      <c r="G121" s="124">
        <f>G123</f>
        <v>50000</v>
      </c>
      <c r="H121" s="124">
        <f t="shared" si="5"/>
        <v>1747292</v>
      </c>
      <c r="I121" s="47"/>
      <c r="J121" s="47"/>
    </row>
    <row r="122" spans="1:10" s="66" customFormat="1" ht="18.75" customHeight="1">
      <c r="A122" s="226"/>
      <c r="B122" s="173"/>
      <c r="C122" s="173"/>
      <c r="D122" s="301" t="s">
        <v>289</v>
      </c>
      <c r="E122" s="463"/>
      <c r="F122" s="463"/>
      <c r="G122" s="463">
        <v>50000</v>
      </c>
      <c r="H122" s="463">
        <f t="shared" si="5"/>
        <v>50000</v>
      </c>
      <c r="I122" s="225"/>
      <c r="J122" s="225"/>
    </row>
    <row r="123" spans="1:10" s="66" customFormat="1" ht="18.75" customHeight="1">
      <c r="A123" s="226"/>
      <c r="B123" s="88"/>
      <c r="C123" s="222">
        <v>6050</v>
      </c>
      <c r="D123" s="223" t="s">
        <v>207</v>
      </c>
      <c r="E123" s="224">
        <v>1642792</v>
      </c>
      <c r="F123" s="224"/>
      <c r="G123" s="224">
        <f>G122</f>
        <v>50000</v>
      </c>
      <c r="H123" s="224">
        <f t="shared" si="5"/>
        <v>1692792</v>
      </c>
      <c r="I123" s="225"/>
      <c r="J123" s="225"/>
    </row>
    <row r="124" spans="1:10" ht="18.75" customHeight="1">
      <c r="A124" s="25"/>
      <c r="B124" s="82">
        <v>85232</v>
      </c>
      <c r="C124" s="82"/>
      <c r="D124" s="31" t="s">
        <v>383</v>
      </c>
      <c r="E124" s="65"/>
      <c r="F124" s="65"/>
      <c r="G124" s="65">
        <f>G125</f>
        <v>200000</v>
      </c>
      <c r="H124" s="65">
        <f>E124+G124-F124</f>
        <v>200000</v>
      </c>
      <c r="I124" s="47"/>
      <c r="J124" s="47"/>
    </row>
    <row r="125" spans="1:10" ht="27" customHeight="1">
      <c r="A125" s="25"/>
      <c r="B125" s="118"/>
      <c r="C125" s="118"/>
      <c r="D125" s="121" t="s">
        <v>400</v>
      </c>
      <c r="E125" s="124"/>
      <c r="F125" s="120"/>
      <c r="G125" s="124">
        <f>G127</f>
        <v>200000</v>
      </c>
      <c r="H125" s="124">
        <f>E125+G125-F125</f>
        <v>200000</v>
      </c>
      <c r="I125" s="47"/>
      <c r="J125" s="47"/>
    </row>
    <row r="126" spans="1:10" s="66" customFormat="1" ht="18.75" customHeight="1">
      <c r="A126" s="226"/>
      <c r="B126" s="173"/>
      <c r="C126" s="173"/>
      <c r="D126" s="301" t="s">
        <v>384</v>
      </c>
      <c r="E126" s="463"/>
      <c r="F126" s="463"/>
      <c r="G126" s="463">
        <v>15000</v>
      </c>
      <c r="H126" s="463">
        <f>E126+G126-F126</f>
        <v>15000</v>
      </c>
      <c r="I126" s="225"/>
      <c r="J126" s="225"/>
    </row>
    <row r="127" spans="1:10" s="66" customFormat="1" ht="18.75" customHeight="1">
      <c r="A127" s="226"/>
      <c r="B127" s="173"/>
      <c r="C127" s="173">
        <v>2660</v>
      </c>
      <c r="D127" s="304" t="s">
        <v>380</v>
      </c>
      <c r="E127" s="461"/>
      <c r="F127" s="461"/>
      <c r="G127" s="461">
        <v>200000</v>
      </c>
      <c r="H127" s="461">
        <f>E127+G127-F127</f>
        <v>200000</v>
      </c>
      <c r="I127" s="225"/>
      <c r="J127" s="225"/>
    </row>
    <row r="128" spans="1:10" ht="18.75" customHeight="1">
      <c r="A128" s="123">
        <v>854</v>
      </c>
      <c r="B128" s="123"/>
      <c r="C128" s="123"/>
      <c r="D128" s="123" t="s">
        <v>71</v>
      </c>
      <c r="E128" s="201">
        <v>39310862</v>
      </c>
      <c r="F128" s="201">
        <f>F129+F137</f>
        <v>60492</v>
      </c>
      <c r="G128" s="201">
        <f>G129+G137</f>
        <v>25630</v>
      </c>
      <c r="H128" s="201">
        <f aca="true" t="shared" si="6" ref="H128:H139">E128+G128-F128</f>
        <v>39276000</v>
      </c>
      <c r="I128" s="47">
        <f>G128-F128</f>
        <v>-34862</v>
      </c>
      <c r="J128" s="47"/>
    </row>
    <row r="129" spans="1:10" ht="18.75" customHeight="1">
      <c r="A129" s="33"/>
      <c r="B129" s="82">
        <v>85403</v>
      </c>
      <c r="C129" s="82"/>
      <c r="D129" s="31" t="s">
        <v>101</v>
      </c>
      <c r="E129" s="65">
        <v>8103563</v>
      </c>
      <c r="F129" s="65">
        <f>F130</f>
        <v>41400</v>
      </c>
      <c r="G129" s="65">
        <f>SUM(G130:G132)</f>
        <v>25630</v>
      </c>
      <c r="H129" s="65">
        <f t="shared" si="6"/>
        <v>8087793</v>
      </c>
      <c r="I129" s="47"/>
      <c r="J129" s="47"/>
    </row>
    <row r="130" spans="1:10" s="22" customFormat="1" ht="27" customHeight="1">
      <c r="A130" s="24"/>
      <c r="B130" s="212"/>
      <c r="C130" s="212"/>
      <c r="D130" s="121" t="s">
        <v>192</v>
      </c>
      <c r="E130" s="124">
        <v>597600</v>
      </c>
      <c r="F130" s="124">
        <f>F131</f>
        <v>41400</v>
      </c>
      <c r="G130" s="124"/>
      <c r="H130" s="124">
        <f t="shared" si="6"/>
        <v>556200</v>
      </c>
      <c r="I130" s="73"/>
      <c r="J130" s="73"/>
    </row>
    <row r="131" spans="1:10" s="66" customFormat="1" ht="25.5" customHeight="1">
      <c r="A131" s="226"/>
      <c r="B131" s="173"/>
      <c r="C131" s="288">
        <v>2540</v>
      </c>
      <c r="D131" s="223" t="s">
        <v>215</v>
      </c>
      <c r="E131" s="224">
        <v>597600</v>
      </c>
      <c r="F131" s="224">
        <v>41400</v>
      </c>
      <c r="G131" s="224"/>
      <c r="H131" s="224">
        <f t="shared" si="6"/>
        <v>556200</v>
      </c>
      <c r="I131" s="225"/>
      <c r="J131" s="225"/>
    </row>
    <row r="132" spans="1:10" s="22" customFormat="1" ht="18.75" customHeight="1">
      <c r="A132" s="24"/>
      <c r="B132" s="191"/>
      <c r="C132" s="212"/>
      <c r="D132" s="121" t="s">
        <v>174</v>
      </c>
      <c r="E132" s="124">
        <v>8600</v>
      </c>
      <c r="F132" s="124"/>
      <c r="G132" s="124">
        <f>SUM(G133:G136)</f>
        <v>25630</v>
      </c>
      <c r="H132" s="124">
        <f t="shared" si="6"/>
        <v>34230</v>
      </c>
      <c r="I132" s="73"/>
      <c r="J132" s="73"/>
    </row>
    <row r="133" spans="1:10" s="66" customFormat="1" ht="18.75" customHeight="1">
      <c r="A133" s="226"/>
      <c r="B133" s="173"/>
      <c r="C133" s="222">
        <v>4211</v>
      </c>
      <c r="D133" s="222" t="s">
        <v>176</v>
      </c>
      <c r="E133" s="224">
        <v>3810</v>
      </c>
      <c r="F133" s="224"/>
      <c r="G133" s="224">
        <v>9770</v>
      </c>
      <c r="H133" s="224">
        <f t="shared" si="6"/>
        <v>13580</v>
      </c>
      <c r="I133" s="225"/>
      <c r="J133" s="225"/>
    </row>
    <row r="134" spans="1:10" s="66" customFormat="1" ht="18.75" customHeight="1">
      <c r="A134" s="226"/>
      <c r="B134" s="173"/>
      <c r="C134" s="294">
        <v>4301</v>
      </c>
      <c r="D134" s="294" t="s">
        <v>203</v>
      </c>
      <c r="E134" s="224">
        <v>4790</v>
      </c>
      <c r="F134" s="224"/>
      <c r="G134" s="224">
        <v>8000</v>
      </c>
      <c r="H134" s="224">
        <f t="shared" si="6"/>
        <v>12790</v>
      </c>
      <c r="I134" s="225"/>
      <c r="J134" s="225"/>
    </row>
    <row r="135" spans="1:10" s="66" customFormat="1" ht="18.75" customHeight="1">
      <c r="A135" s="226"/>
      <c r="B135" s="173"/>
      <c r="C135" s="294">
        <v>4411</v>
      </c>
      <c r="D135" s="294" t="s">
        <v>221</v>
      </c>
      <c r="E135" s="224"/>
      <c r="F135" s="224"/>
      <c r="G135" s="224">
        <v>260</v>
      </c>
      <c r="H135" s="224">
        <f t="shared" si="6"/>
        <v>260</v>
      </c>
      <c r="I135" s="225"/>
      <c r="J135" s="225"/>
    </row>
    <row r="136" spans="1:10" s="66" customFormat="1" ht="18.75" customHeight="1">
      <c r="A136" s="226"/>
      <c r="B136" s="88"/>
      <c r="C136" s="294">
        <v>4421</v>
      </c>
      <c r="D136" s="294" t="s">
        <v>222</v>
      </c>
      <c r="E136" s="224"/>
      <c r="F136" s="224"/>
      <c r="G136" s="224">
        <v>7600</v>
      </c>
      <c r="H136" s="224">
        <f t="shared" si="6"/>
        <v>7600</v>
      </c>
      <c r="I136" s="225"/>
      <c r="J136" s="225"/>
    </row>
    <row r="137" spans="1:10" ht="18.75" customHeight="1">
      <c r="A137" s="25"/>
      <c r="B137" s="82">
        <v>85410</v>
      </c>
      <c r="C137" s="82"/>
      <c r="D137" s="31" t="s">
        <v>102</v>
      </c>
      <c r="E137" s="65">
        <v>6942317</v>
      </c>
      <c r="F137" s="65">
        <f>F138</f>
        <v>19092</v>
      </c>
      <c r="G137" s="65"/>
      <c r="H137" s="65">
        <f t="shared" si="6"/>
        <v>6923225</v>
      </c>
      <c r="I137" s="47"/>
      <c r="J137" s="47"/>
    </row>
    <row r="138" spans="1:10" s="22" customFormat="1" ht="18.75" customHeight="1">
      <c r="A138" s="24"/>
      <c r="B138" s="212"/>
      <c r="C138" s="212"/>
      <c r="D138" s="121" t="s">
        <v>172</v>
      </c>
      <c r="E138" s="124">
        <v>602400</v>
      </c>
      <c r="F138" s="124">
        <f>F139</f>
        <v>19092</v>
      </c>
      <c r="G138" s="124"/>
      <c r="H138" s="124">
        <f t="shared" si="6"/>
        <v>583308</v>
      </c>
      <c r="I138" s="73"/>
      <c r="J138" s="73"/>
    </row>
    <row r="139" spans="1:10" s="66" customFormat="1" ht="25.5" customHeight="1">
      <c r="A139" s="222"/>
      <c r="B139" s="88"/>
      <c r="C139" s="288">
        <v>2540</v>
      </c>
      <c r="D139" s="223" t="s">
        <v>215</v>
      </c>
      <c r="E139" s="224">
        <v>602400</v>
      </c>
      <c r="F139" s="224">
        <v>19092</v>
      </c>
      <c r="G139" s="224"/>
      <c r="H139" s="224">
        <f t="shared" si="6"/>
        <v>583308</v>
      </c>
      <c r="I139" s="225"/>
      <c r="J139" s="225"/>
    </row>
    <row r="140" spans="1:10" ht="18.75" customHeight="1">
      <c r="A140" s="15">
        <v>900</v>
      </c>
      <c r="B140" s="29"/>
      <c r="C140" s="29"/>
      <c r="D140" s="30" t="s">
        <v>118</v>
      </c>
      <c r="E140" s="64">
        <v>47566000</v>
      </c>
      <c r="F140" s="64">
        <f>F141+F145</f>
        <v>3500000</v>
      </c>
      <c r="G140" s="64">
        <f>G141+G145</f>
        <v>2150000</v>
      </c>
      <c r="H140" s="64">
        <f aca="true" t="shared" si="7" ref="H140:H167">E140+G140-F140</f>
        <v>46216000</v>
      </c>
      <c r="I140" s="47"/>
      <c r="J140" s="47"/>
    </row>
    <row r="141" spans="1:10" ht="18.75" customHeight="1">
      <c r="A141" s="33"/>
      <c r="B141" s="31">
        <v>90002</v>
      </c>
      <c r="C141" s="31"/>
      <c r="D141" s="26" t="s">
        <v>150</v>
      </c>
      <c r="E141" s="65">
        <v>12193407</v>
      </c>
      <c r="F141" s="65">
        <f>F142</f>
        <v>3500000</v>
      </c>
      <c r="G141" s="65"/>
      <c r="H141" s="65">
        <f t="shared" si="7"/>
        <v>8693407</v>
      </c>
      <c r="I141" s="47"/>
      <c r="J141" s="47"/>
    </row>
    <row r="142" spans="1:10" ht="18.75" customHeight="1">
      <c r="A142" s="25"/>
      <c r="B142" s="80"/>
      <c r="C142" s="80"/>
      <c r="D142" s="121" t="s">
        <v>206</v>
      </c>
      <c r="E142" s="124">
        <v>6500000</v>
      </c>
      <c r="F142" s="124">
        <f>F144</f>
        <v>3500000</v>
      </c>
      <c r="G142" s="124"/>
      <c r="H142" s="124">
        <f t="shared" si="7"/>
        <v>3000000</v>
      </c>
      <c r="I142" s="47"/>
      <c r="J142" s="47"/>
    </row>
    <row r="143" spans="1:10" s="66" customFormat="1" ht="18.75" customHeight="1">
      <c r="A143" s="226"/>
      <c r="B143" s="173"/>
      <c r="C143" s="173"/>
      <c r="D143" s="301" t="s">
        <v>292</v>
      </c>
      <c r="E143" s="474">
        <v>5080000</v>
      </c>
      <c r="F143" s="474">
        <v>3500000</v>
      </c>
      <c r="G143" s="474"/>
      <c r="H143" s="474">
        <f t="shared" si="7"/>
        <v>1580000</v>
      </c>
      <c r="I143" s="225"/>
      <c r="J143" s="225"/>
    </row>
    <row r="144" spans="1:10" s="66" customFormat="1" ht="18.75" customHeight="1">
      <c r="A144" s="226"/>
      <c r="B144" s="88"/>
      <c r="C144" s="222">
        <v>6050</v>
      </c>
      <c r="D144" s="223" t="s">
        <v>207</v>
      </c>
      <c r="E144" s="224">
        <v>6500000</v>
      </c>
      <c r="F144" s="224">
        <f>F143</f>
        <v>3500000</v>
      </c>
      <c r="G144" s="224"/>
      <c r="H144" s="224">
        <f t="shared" si="7"/>
        <v>3000000</v>
      </c>
      <c r="I144" s="225"/>
      <c r="J144" s="225"/>
    </row>
    <row r="145" spans="1:10" ht="18.75" customHeight="1">
      <c r="A145" s="25"/>
      <c r="B145" s="31">
        <v>90095</v>
      </c>
      <c r="C145" s="31"/>
      <c r="D145" s="26" t="s">
        <v>62</v>
      </c>
      <c r="E145" s="65">
        <v>11943000</v>
      </c>
      <c r="F145" s="65"/>
      <c r="G145" s="65">
        <f>G146</f>
        <v>2150000</v>
      </c>
      <c r="H145" s="65">
        <f t="shared" si="7"/>
        <v>14093000</v>
      </c>
      <c r="I145" s="47"/>
      <c r="J145" s="47"/>
    </row>
    <row r="146" spans="1:10" ht="18.75" customHeight="1">
      <c r="A146" s="25"/>
      <c r="B146" s="80"/>
      <c r="C146" s="80"/>
      <c r="D146" s="282" t="s">
        <v>206</v>
      </c>
      <c r="E146" s="205">
        <v>11860000</v>
      </c>
      <c r="F146" s="205"/>
      <c r="G146" s="205">
        <f>G149</f>
        <v>2150000</v>
      </c>
      <c r="H146" s="205">
        <f t="shared" si="7"/>
        <v>14010000</v>
      </c>
      <c r="I146" s="47"/>
      <c r="J146" s="47"/>
    </row>
    <row r="147" spans="1:10" s="66" customFormat="1" ht="18.75" customHeight="1">
      <c r="A147" s="226"/>
      <c r="B147" s="226"/>
      <c r="C147" s="226"/>
      <c r="D147" s="301" t="s">
        <v>293</v>
      </c>
      <c r="E147" s="463">
        <v>4110000</v>
      </c>
      <c r="F147" s="463"/>
      <c r="G147" s="463">
        <v>800000</v>
      </c>
      <c r="H147" s="463">
        <f t="shared" si="7"/>
        <v>4910000</v>
      </c>
      <c r="I147" s="225"/>
      <c r="J147" s="225"/>
    </row>
    <row r="148" spans="1:10" s="66" customFormat="1" ht="25.5" customHeight="1">
      <c r="A148" s="226"/>
      <c r="B148" s="173"/>
      <c r="C148" s="173"/>
      <c r="D148" s="302" t="s">
        <v>294</v>
      </c>
      <c r="E148" s="474">
        <v>3550000</v>
      </c>
      <c r="F148" s="474"/>
      <c r="G148" s="474">
        <f>350000+1000000</f>
        <v>1350000</v>
      </c>
      <c r="H148" s="474">
        <f t="shared" si="7"/>
        <v>4900000</v>
      </c>
      <c r="I148" s="225"/>
      <c r="J148" s="225"/>
    </row>
    <row r="149" spans="1:10" s="66" customFormat="1" ht="18.75" customHeight="1">
      <c r="A149" s="222"/>
      <c r="B149" s="88"/>
      <c r="C149" s="222">
        <v>6050</v>
      </c>
      <c r="D149" s="223" t="s">
        <v>207</v>
      </c>
      <c r="E149" s="224">
        <v>11860000</v>
      </c>
      <c r="F149" s="224"/>
      <c r="G149" s="224">
        <f>SUM(G147:G148)</f>
        <v>2150000</v>
      </c>
      <c r="H149" s="224">
        <f t="shared" si="7"/>
        <v>14010000</v>
      </c>
      <c r="I149" s="225"/>
      <c r="J149" s="225"/>
    </row>
    <row r="150" spans="1:10" ht="18.75" customHeight="1">
      <c r="A150" s="122">
        <v>921</v>
      </c>
      <c r="B150" s="123"/>
      <c r="C150" s="29"/>
      <c r="D150" s="30" t="s">
        <v>135</v>
      </c>
      <c r="E150" s="64">
        <v>14022500</v>
      </c>
      <c r="F150" s="64">
        <f>F151+F155+F158</f>
        <v>440000</v>
      </c>
      <c r="G150" s="64">
        <f>G151+G155+G158</f>
        <v>85000</v>
      </c>
      <c r="H150" s="64">
        <f t="shared" si="7"/>
        <v>13667500</v>
      </c>
      <c r="I150" s="47"/>
      <c r="J150" s="47"/>
    </row>
    <row r="151" spans="1:10" ht="18.75" customHeight="1">
      <c r="A151" s="33"/>
      <c r="B151" s="31">
        <v>92113</v>
      </c>
      <c r="C151" s="31"/>
      <c r="D151" s="26" t="s">
        <v>149</v>
      </c>
      <c r="E151" s="65">
        <v>2498000</v>
      </c>
      <c r="F151" s="65">
        <f>F152</f>
        <v>90000</v>
      </c>
      <c r="G151" s="65"/>
      <c r="H151" s="65">
        <f t="shared" si="7"/>
        <v>2408000</v>
      </c>
      <c r="I151" s="47"/>
      <c r="J151" s="47"/>
    </row>
    <row r="152" spans="1:10" ht="18.75" customHeight="1">
      <c r="A152" s="25"/>
      <c r="B152" s="80"/>
      <c r="C152" s="80"/>
      <c r="D152" s="121" t="s">
        <v>108</v>
      </c>
      <c r="E152" s="124">
        <v>658000</v>
      </c>
      <c r="F152" s="124">
        <f>F154</f>
        <v>90000</v>
      </c>
      <c r="G152" s="124"/>
      <c r="H152" s="124">
        <f t="shared" si="7"/>
        <v>568000</v>
      </c>
      <c r="I152" s="47"/>
      <c r="J152" s="47"/>
    </row>
    <row r="153" spans="1:10" s="66" customFormat="1" ht="25.5" customHeight="1">
      <c r="A153" s="226"/>
      <c r="B153" s="226"/>
      <c r="C153" s="226"/>
      <c r="D153" s="301" t="s">
        <v>295</v>
      </c>
      <c r="E153" s="463">
        <v>658000</v>
      </c>
      <c r="F153" s="463">
        <v>90000</v>
      </c>
      <c r="G153" s="463"/>
      <c r="H153" s="463">
        <f t="shared" si="7"/>
        <v>568000</v>
      </c>
      <c r="I153" s="225"/>
      <c r="J153" s="225"/>
    </row>
    <row r="154" spans="1:10" s="66" customFormat="1" ht="18.75" customHeight="1">
      <c r="A154" s="226"/>
      <c r="B154" s="88"/>
      <c r="C154" s="222">
        <v>6050</v>
      </c>
      <c r="D154" s="223" t="s">
        <v>207</v>
      </c>
      <c r="E154" s="224">
        <v>658000</v>
      </c>
      <c r="F154" s="224">
        <f>F153</f>
        <v>90000</v>
      </c>
      <c r="G154" s="224"/>
      <c r="H154" s="224">
        <f t="shared" si="7"/>
        <v>568000</v>
      </c>
      <c r="I154" s="225"/>
      <c r="J154" s="225"/>
    </row>
    <row r="155" spans="1:10" ht="19.5" customHeight="1">
      <c r="A155" s="25"/>
      <c r="B155" s="31">
        <v>92116</v>
      </c>
      <c r="C155" s="31"/>
      <c r="D155" s="26" t="s">
        <v>182</v>
      </c>
      <c r="E155" s="65">
        <v>4750000</v>
      </c>
      <c r="F155" s="65"/>
      <c r="G155" s="65">
        <f>G156</f>
        <v>45000</v>
      </c>
      <c r="H155" s="65">
        <f t="shared" si="7"/>
        <v>4795000</v>
      </c>
      <c r="I155" s="47"/>
      <c r="J155" s="47"/>
    </row>
    <row r="156" spans="1:10" ht="19.5" customHeight="1">
      <c r="A156" s="25"/>
      <c r="B156" s="80"/>
      <c r="C156" s="80"/>
      <c r="D156" s="121" t="s">
        <v>183</v>
      </c>
      <c r="E156" s="124">
        <v>4580000</v>
      </c>
      <c r="F156" s="124"/>
      <c r="G156" s="124">
        <f>G157</f>
        <v>45000</v>
      </c>
      <c r="H156" s="124">
        <f t="shared" si="7"/>
        <v>4625000</v>
      </c>
      <c r="I156" s="47"/>
      <c r="J156" s="47"/>
    </row>
    <row r="157" spans="1:10" s="66" customFormat="1" ht="19.5" customHeight="1">
      <c r="A157" s="226"/>
      <c r="B157" s="222"/>
      <c r="C157" s="222">
        <v>2480</v>
      </c>
      <c r="D157" s="223" t="s">
        <v>297</v>
      </c>
      <c r="E157" s="224">
        <v>4580000</v>
      </c>
      <c r="F157" s="224"/>
      <c r="G157" s="224">
        <v>45000</v>
      </c>
      <c r="H157" s="224">
        <f t="shared" si="7"/>
        <v>4625000</v>
      </c>
      <c r="I157" s="225"/>
      <c r="J157" s="225"/>
    </row>
    <row r="158" spans="1:10" ht="18.75" customHeight="1">
      <c r="A158" s="25"/>
      <c r="B158" s="31">
        <v>92120</v>
      </c>
      <c r="C158" s="31"/>
      <c r="D158" s="31" t="s">
        <v>157</v>
      </c>
      <c r="E158" s="65">
        <v>722000</v>
      </c>
      <c r="F158" s="65">
        <f>F159+F161</f>
        <v>350000</v>
      </c>
      <c r="G158" s="65">
        <f>G159+G161</f>
        <v>40000</v>
      </c>
      <c r="H158" s="65">
        <f t="shared" si="7"/>
        <v>412000</v>
      </c>
      <c r="I158" s="47"/>
      <c r="J158" s="47"/>
    </row>
    <row r="159" spans="1:10" ht="25.5" customHeight="1">
      <c r="A159" s="25"/>
      <c r="B159" s="80"/>
      <c r="C159" s="80"/>
      <c r="D159" s="121" t="s">
        <v>158</v>
      </c>
      <c r="E159" s="124">
        <v>500000</v>
      </c>
      <c r="F159" s="124">
        <f>F160</f>
        <v>350000</v>
      </c>
      <c r="G159" s="124"/>
      <c r="H159" s="124">
        <f t="shared" si="7"/>
        <v>150000</v>
      </c>
      <c r="I159" s="47"/>
      <c r="J159" s="47"/>
    </row>
    <row r="160" spans="1:10" s="66" customFormat="1" ht="19.5" customHeight="1">
      <c r="A160" s="226"/>
      <c r="B160" s="226"/>
      <c r="C160" s="222">
        <v>4270</v>
      </c>
      <c r="D160" s="223" t="s">
        <v>298</v>
      </c>
      <c r="E160" s="224">
        <v>350000</v>
      </c>
      <c r="F160" s="224">
        <v>350000</v>
      </c>
      <c r="G160" s="224"/>
      <c r="H160" s="224">
        <f t="shared" si="7"/>
        <v>0</v>
      </c>
      <c r="I160" s="225"/>
      <c r="J160" s="225"/>
    </row>
    <row r="161" spans="1:10" ht="18.75" customHeight="1">
      <c r="A161" s="25"/>
      <c r="B161" s="24"/>
      <c r="C161" s="24"/>
      <c r="D161" s="283" t="s">
        <v>159</v>
      </c>
      <c r="E161" s="465">
        <v>222000</v>
      </c>
      <c r="F161" s="465"/>
      <c r="G161" s="465">
        <v>40000</v>
      </c>
      <c r="H161" s="465">
        <f t="shared" si="7"/>
        <v>262000</v>
      </c>
      <c r="I161" s="47"/>
      <c r="J161" s="47"/>
    </row>
    <row r="162" spans="1:10" s="66" customFormat="1" ht="18.75" customHeight="1">
      <c r="A162" s="226"/>
      <c r="B162" s="226"/>
      <c r="C162" s="222">
        <v>4270</v>
      </c>
      <c r="D162" s="227" t="s">
        <v>296</v>
      </c>
      <c r="E162" s="228"/>
      <c r="F162" s="228"/>
      <c r="G162" s="228">
        <v>40000</v>
      </c>
      <c r="H162" s="228">
        <f t="shared" si="7"/>
        <v>40000</v>
      </c>
      <c r="I162" s="225"/>
      <c r="J162" s="225"/>
    </row>
    <row r="163" spans="1:10" ht="18.75" customHeight="1">
      <c r="A163" s="122">
        <v>926</v>
      </c>
      <c r="B163" s="123"/>
      <c r="C163" s="29"/>
      <c r="D163" s="30" t="s">
        <v>385</v>
      </c>
      <c r="E163" s="64">
        <v>14956000</v>
      </c>
      <c r="F163" s="64"/>
      <c r="G163" s="64">
        <f>G164</f>
        <v>100000</v>
      </c>
      <c r="H163" s="64">
        <f t="shared" si="7"/>
        <v>15056000</v>
      </c>
      <c r="I163" s="47"/>
      <c r="J163" s="47"/>
    </row>
    <row r="164" spans="1:10" ht="18.75" customHeight="1">
      <c r="A164" s="33"/>
      <c r="B164" s="31">
        <v>92604</v>
      </c>
      <c r="C164" s="31"/>
      <c r="D164" s="26" t="s">
        <v>386</v>
      </c>
      <c r="E164" s="65">
        <v>12600000</v>
      </c>
      <c r="F164" s="65"/>
      <c r="G164" s="65">
        <f>G165</f>
        <v>100000</v>
      </c>
      <c r="H164" s="65">
        <f t="shared" si="7"/>
        <v>12700000</v>
      </c>
      <c r="I164" s="47"/>
      <c r="J164" s="47"/>
    </row>
    <row r="165" spans="1:10" ht="19.5" customHeight="1">
      <c r="A165" s="25"/>
      <c r="B165" s="80"/>
      <c r="C165" s="80"/>
      <c r="D165" s="121" t="s">
        <v>387</v>
      </c>
      <c r="E165" s="124">
        <v>12600000</v>
      </c>
      <c r="F165" s="124"/>
      <c r="G165" s="124">
        <f>G166</f>
        <v>100000</v>
      </c>
      <c r="H165" s="124">
        <f t="shared" si="7"/>
        <v>12700000</v>
      </c>
      <c r="I165" s="47"/>
      <c r="J165" s="47"/>
    </row>
    <row r="166" spans="1:10" s="66" customFormat="1" ht="19.5" customHeight="1">
      <c r="A166" s="226"/>
      <c r="B166" s="226"/>
      <c r="C166" s="226"/>
      <c r="D166" s="301" t="s">
        <v>206</v>
      </c>
      <c r="E166" s="463">
        <v>10900000</v>
      </c>
      <c r="F166" s="463"/>
      <c r="G166" s="463">
        <f>G168</f>
        <v>100000</v>
      </c>
      <c r="H166" s="463">
        <f t="shared" si="7"/>
        <v>11000000</v>
      </c>
      <c r="I166" s="225"/>
      <c r="J166" s="225"/>
    </row>
    <row r="167" spans="1:10" s="66" customFormat="1" ht="19.5" customHeight="1">
      <c r="A167" s="226"/>
      <c r="B167" s="226"/>
      <c r="C167" s="226"/>
      <c r="D167" s="302" t="s">
        <v>382</v>
      </c>
      <c r="E167" s="462"/>
      <c r="F167" s="462"/>
      <c r="G167" s="462">
        <v>100000</v>
      </c>
      <c r="H167" s="462">
        <f t="shared" si="7"/>
        <v>100000</v>
      </c>
      <c r="I167" s="225"/>
      <c r="J167" s="225"/>
    </row>
    <row r="168" spans="1:10" s="66" customFormat="1" ht="38.25" customHeight="1">
      <c r="A168" s="226"/>
      <c r="B168" s="173"/>
      <c r="C168" s="222">
        <v>6210</v>
      </c>
      <c r="D168" s="223" t="s">
        <v>391</v>
      </c>
      <c r="E168" s="224">
        <v>10900000</v>
      </c>
      <c r="F168" s="224"/>
      <c r="G168" s="224">
        <f>G167</f>
        <v>100000</v>
      </c>
      <c r="H168" s="224">
        <f>E168+G168-F168</f>
        <v>11000000</v>
      </c>
      <c r="I168" s="225"/>
      <c r="J168" s="225"/>
    </row>
    <row r="169" spans="1:19" s="69" customFormat="1" ht="28.5" customHeight="1" thickBot="1">
      <c r="A169" s="81"/>
      <c r="B169" s="112"/>
      <c r="C169" s="112"/>
      <c r="D169" s="67" t="s">
        <v>86</v>
      </c>
      <c r="E169" s="68">
        <v>5263913</v>
      </c>
      <c r="F169" s="68">
        <f>F170</f>
        <v>107000</v>
      </c>
      <c r="G169" s="68">
        <f>G170</f>
        <v>107000</v>
      </c>
      <c r="H169" s="68">
        <f>E169+G169-F169</f>
        <v>5263913</v>
      </c>
      <c r="I169"/>
      <c r="J169"/>
      <c r="K169"/>
      <c r="L169"/>
      <c r="M169"/>
      <c r="N169"/>
      <c r="O169"/>
      <c r="P169"/>
      <c r="Q169"/>
      <c r="R169"/>
      <c r="S169"/>
    </row>
    <row r="170" spans="1:10" ht="18" customHeight="1" thickTop="1">
      <c r="A170" s="123">
        <v>852</v>
      </c>
      <c r="B170" s="123"/>
      <c r="C170" s="29"/>
      <c r="D170" s="29" t="s">
        <v>70</v>
      </c>
      <c r="E170" s="64">
        <v>2773500</v>
      </c>
      <c r="F170" s="64">
        <f>F171</f>
        <v>107000</v>
      </c>
      <c r="G170" s="64">
        <f>G171</f>
        <v>107000</v>
      </c>
      <c r="H170" s="64">
        <f>E170+G170-F170</f>
        <v>2773500</v>
      </c>
      <c r="I170" s="47"/>
      <c r="J170" s="47"/>
    </row>
    <row r="171" spans="1:10" ht="18" customHeight="1">
      <c r="A171" s="25"/>
      <c r="B171" s="82">
        <v>85201</v>
      </c>
      <c r="C171" s="82"/>
      <c r="D171" s="31" t="s">
        <v>160</v>
      </c>
      <c r="E171" s="65">
        <v>2300000</v>
      </c>
      <c r="F171" s="65">
        <f>F172+F174+F178+F180</f>
        <v>107000</v>
      </c>
      <c r="G171" s="65">
        <f>G172+G174+G178+G180</f>
        <v>107000</v>
      </c>
      <c r="H171" s="65">
        <f>E171+G171-F171</f>
        <v>2300000</v>
      </c>
      <c r="I171" s="47"/>
      <c r="J171" s="47"/>
    </row>
    <row r="172" spans="1:10" ht="18.75" customHeight="1">
      <c r="A172" s="25"/>
      <c r="B172" s="118"/>
      <c r="C172" s="118"/>
      <c r="D172" s="121" t="s">
        <v>113</v>
      </c>
      <c r="E172" s="124">
        <v>1121000</v>
      </c>
      <c r="F172" s="124">
        <f>F173</f>
        <v>60000</v>
      </c>
      <c r="G172" s="124"/>
      <c r="H172" s="124">
        <f aca="true" t="shared" si="8" ref="H172:H181">E172+G172-F172</f>
        <v>1061000</v>
      </c>
      <c r="I172" s="47"/>
      <c r="J172" s="47"/>
    </row>
    <row r="173" spans="1:10" ht="18.75" customHeight="1">
      <c r="A173" s="25"/>
      <c r="B173" s="208"/>
      <c r="C173" s="88">
        <v>4010</v>
      </c>
      <c r="D173" s="223" t="s">
        <v>208</v>
      </c>
      <c r="E173" s="224">
        <v>1032350</v>
      </c>
      <c r="F173" s="224">
        <v>60000</v>
      </c>
      <c r="G173" s="224"/>
      <c r="H173" s="224">
        <f t="shared" si="8"/>
        <v>972350</v>
      </c>
      <c r="I173" s="47"/>
      <c r="J173" s="47"/>
    </row>
    <row r="174" spans="1:10" ht="18.75" customHeight="1">
      <c r="A174" s="25"/>
      <c r="B174" s="208"/>
      <c r="C174" s="208"/>
      <c r="D174" s="121" t="s">
        <v>163</v>
      </c>
      <c r="E174" s="465">
        <v>563000</v>
      </c>
      <c r="F174" s="465">
        <f>SUM(F175:F177)</f>
        <v>37000</v>
      </c>
      <c r="G174" s="465"/>
      <c r="H174" s="465">
        <f t="shared" si="8"/>
        <v>526000</v>
      </c>
      <c r="I174" s="47"/>
      <c r="J174" s="47"/>
    </row>
    <row r="175" spans="1:10" s="66" customFormat="1" ht="18.75" customHeight="1">
      <c r="A175" s="226"/>
      <c r="B175" s="173"/>
      <c r="C175" s="173">
        <v>4210</v>
      </c>
      <c r="D175" s="222" t="s">
        <v>176</v>
      </c>
      <c r="E175" s="461">
        <v>86800</v>
      </c>
      <c r="F175" s="461">
        <v>15000</v>
      </c>
      <c r="G175" s="461"/>
      <c r="H175" s="461">
        <f t="shared" si="8"/>
        <v>71800</v>
      </c>
      <c r="I175" s="225"/>
      <c r="J175" s="225"/>
    </row>
    <row r="176" spans="1:10" s="66" customFormat="1" ht="18.75" customHeight="1">
      <c r="A176" s="226"/>
      <c r="B176" s="173"/>
      <c r="C176" s="358">
        <v>4220</v>
      </c>
      <c r="D176" s="469" t="s">
        <v>288</v>
      </c>
      <c r="E176" s="467">
        <v>141900</v>
      </c>
      <c r="F176" s="467">
        <v>20000</v>
      </c>
      <c r="G176" s="467"/>
      <c r="H176" s="467">
        <f t="shared" si="8"/>
        <v>121900</v>
      </c>
      <c r="I176" s="225"/>
      <c r="J176" s="225"/>
    </row>
    <row r="177" spans="1:10" s="66" customFormat="1" ht="18.75" customHeight="1">
      <c r="A177" s="226"/>
      <c r="B177" s="173"/>
      <c r="C177" s="358">
        <v>4240</v>
      </c>
      <c r="D177" s="469" t="s">
        <v>258</v>
      </c>
      <c r="E177" s="467">
        <v>10050</v>
      </c>
      <c r="F177" s="467">
        <v>2000</v>
      </c>
      <c r="G177" s="467"/>
      <c r="H177" s="467">
        <f t="shared" si="8"/>
        <v>8050</v>
      </c>
      <c r="I177" s="225"/>
      <c r="J177" s="225"/>
    </row>
    <row r="178" spans="1:10" ht="18.75" customHeight="1">
      <c r="A178" s="25"/>
      <c r="B178" s="208"/>
      <c r="C178" s="208"/>
      <c r="D178" s="283" t="s">
        <v>114</v>
      </c>
      <c r="E178" s="465">
        <v>216000</v>
      </c>
      <c r="F178" s="465">
        <f>F179</f>
        <v>10000</v>
      </c>
      <c r="G178" s="465"/>
      <c r="H178" s="465">
        <f t="shared" si="8"/>
        <v>206000</v>
      </c>
      <c r="I178" s="47"/>
      <c r="J178" s="47"/>
    </row>
    <row r="179" spans="1:10" ht="18.75" customHeight="1">
      <c r="A179" s="31"/>
      <c r="B179" s="82"/>
      <c r="C179" s="88">
        <v>4110</v>
      </c>
      <c r="D179" s="223" t="s">
        <v>209</v>
      </c>
      <c r="E179" s="224">
        <v>188870</v>
      </c>
      <c r="F179" s="224">
        <v>10000</v>
      </c>
      <c r="G179" s="224"/>
      <c r="H179" s="224">
        <f t="shared" si="8"/>
        <v>178870</v>
      </c>
      <c r="I179" s="47"/>
      <c r="J179" s="47"/>
    </row>
    <row r="180" spans="1:10" ht="18" customHeight="1">
      <c r="A180" s="25"/>
      <c r="B180" s="208"/>
      <c r="C180" s="208"/>
      <c r="D180" s="283" t="s">
        <v>162</v>
      </c>
      <c r="E180" s="465">
        <v>400000</v>
      </c>
      <c r="F180" s="465"/>
      <c r="G180" s="465">
        <f>G181</f>
        <v>107000</v>
      </c>
      <c r="H180" s="465">
        <f t="shared" si="8"/>
        <v>507000</v>
      </c>
      <c r="I180" s="47"/>
      <c r="J180" s="47"/>
    </row>
    <row r="181" spans="1:10" s="66" customFormat="1" ht="25.5" customHeight="1">
      <c r="A181" s="226"/>
      <c r="B181" s="173"/>
      <c r="C181" s="222">
        <v>2580</v>
      </c>
      <c r="D181" s="223" t="s">
        <v>290</v>
      </c>
      <c r="E181" s="224">
        <v>400000</v>
      </c>
      <c r="F181" s="224"/>
      <c r="G181" s="224">
        <v>107000</v>
      </c>
      <c r="H181" s="224">
        <f t="shared" si="8"/>
        <v>507000</v>
      </c>
      <c r="I181" s="225"/>
      <c r="J181" s="225"/>
    </row>
    <row r="182" spans="1:19" s="66" customFormat="1" ht="18" customHeight="1">
      <c r="A182" s="111"/>
      <c r="B182" s="112"/>
      <c r="C182" s="112"/>
      <c r="D182" s="113" t="s">
        <v>87</v>
      </c>
      <c r="E182" s="114">
        <v>79702382</v>
      </c>
      <c r="F182" s="114"/>
      <c r="G182" s="114"/>
      <c r="H182" s="114">
        <f>E182+G182-F182</f>
        <v>79702382</v>
      </c>
      <c r="I182"/>
      <c r="J182"/>
      <c r="K182"/>
      <c r="L182"/>
      <c r="M182"/>
      <c r="N182"/>
      <c r="O182"/>
      <c r="P182"/>
      <c r="Q182"/>
      <c r="R182"/>
      <c r="S182"/>
    </row>
    <row r="186" spans="5:22" ht="12.75"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</row>
    <row r="187" spans="2:22" ht="12.75">
      <c r="B187" t="s">
        <v>412</v>
      </c>
      <c r="E187" t="s">
        <v>415</v>
      </c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</row>
    <row r="188" spans="2:22" ht="12.75">
      <c r="B188" t="s">
        <v>413</v>
      </c>
      <c r="E188" s="47" t="s">
        <v>416</v>
      </c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</row>
    <row r="189" spans="2:22" ht="12.75">
      <c r="B189" t="s">
        <v>414</v>
      </c>
      <c r="E189" s="47" t="s">
        <v>417</v>
      </c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</row>
    <row r="190" spans="5:22" ht="12.75"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</row>
    <row r="191" spans="5:22" ht="12.75"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</row>
    <row r="192" spans="5:22" ht="12.75"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</row>
    <row r="193" spans="5:22" ht="12.75"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</row>
    <row r="194" spans="5:22" ht="12.75"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</row>
    <row r="195" spans="5:22" ht="12.75"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</row>
    <row r="196" spans="5:22" ht="12.75"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</row>
    <row r="197" spans="5:22" ht="12.75"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</row>
    <row r="198" spans="5:22" ht="12.75"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</row>
    <row r="199" spans="5:22" ht="12.75"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</row>
    <row r="200" spans="5:22" ht="12.75"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</row>
    <row r="201" spans="5:22" ht="12.75"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</row>
  </sheetData>
  <printOptions/>
  <pageMargins left="0.4724409448818898" right="0.4724409448818898" top="0.3937007874015748" bottom="0.5905511811023623" header="0.5118110236220472" footer="0.31496062992125984"/>
  <pageSetup firstPageNumber="5" useFirstPageNumber="1" horizontalDpi="600" verticalDpi="600" orientation="landscape" paperSize="9" scale="8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47"/>
  <sheetViews>
    <sheetView zoomScale="85" zoomScaleNormal="85" workbookViewId="0" topLeftCell="A334">
      <selection activeCell="D353" sqref="D353"/>
    </sheetView>
  </sheetViews>
  <sheetFormatPr defaultColWidth="9.00390625" defaultRowHeight="12.75"/>
  <cols>
    <col min="1" max="1" width="8.25390625" style="0" customWidth="1"/>
    <col min="2" max="2" width="8.00390625" style="0" customWidth="1"/>
    <col min="3" max="3" width="7.125" style="0" customWidth="1"/>
    <col min="4" max="4" width="71.125" style="0" customWidth="1"/>
    <col min="5" max="7" width="20.75390625" style="0" customWidth="1"/>
    <col min="8" max="8" width="11.125" style="0" customWidth="1"/>
    <col min="9" max="9" width="12.125" style="0" customWidth="1"/>
  </cols>
  <sheetData>
    <row r="1" ht="19.5" customHeight="1">
      <c r="F1" s="73" t="s">
        <v>91</v>
      </c>
    </row>
    <row r="2" spans="1:6" ht="19.5" customHeight="1">
      <c r="A2" s="27"/>
      <c r="F2" s="22" t="s">
        <v>401</v>
      </c>
    </row>
    <row r="3" spans="1:6" ht="19.5" customHeight="1">
      <c r="A3" s="27"/>
      <c r="C3" s="20"/>
      <c r="D3" s="19" t="s">
        <v>198</v>
      </c>
      <c r="F3" s="22" t="s">
        <v>193</v>
      </c>
    </row>
    <row r="4" spans="3:6" ht="19.5" customHeight="1">
      <c r="C4" s="20"/>
      <c r="D4" s="19" t="s">
        <v>199</v>
      </c>
      <c r="F4" s="22" t="s">
        <v>402</v>
      </c>
    </row>
    <row r="5" ht="9" customHeight="1"/>
    <row r="6" ht="15" customHeight="1" thickBot="1">
      <c r="G6" s="90" t="s">
        <v>64</v>
      </c>
    </row>
    <row r="7" spans="1:7" ht="21" customHeight="1" thickTop="1">
      <c r="A7" s="636" t="s">
        <v>57</v>
      </c>
      <c r="B7" s="638" t="s">
        <v>58</v>
      </c>
      <c r="C7" s="638" t="s">
        <v>105</v>
      </c>
      <c r="D7" s="636" t="s">
        <v>200</v>
      </c>
      <c r="E7" s="248" t="s">
        <v>201</v>
      </c>
      <c r="F7" s="634" t="s">
        <v>89</v>
      </c>
      <c r="G7" s="635"/>
    </row>
    <row r="8" spans="1:7" ht="21" customHeight="1" thickBot="1">
      <c r="A8" s="637"/>
      <c r="B8" s="637"/>
      <c r="C8" s="637"/>
      <c r="D8" s="639"/>
      <c r="E8" s="250" t="s">
        <v>83</v>
      </c>
      <c r="F8" s="249" t="s">
        <v>82</v>
      </c>
      <c r="G8" s="250" t="s">
        <v>83</v>
      </c>
    </row>
    <row r="9" spans="1:7" ht="12" customHeight="1" thickBot="1" thickTop="1">
      <c r="A9" s="251">
        <v>1</v>
      </c>
      <c r="B9" s="251">
        <v>2</v>
      </c>
      <c r="C9" s="251">
        <v>3</v>
      </c>
      <c r="D9" s="251">
        <v>4</v>
      </c>
      <c r="E9" s="252">
        <v>5</v>
      </c>
      <c r="F9" s="252">
        <v>6</v>
      </c>
      <c r="G9" s="252">
        <v>7</v>
      </c>
    </row>
    <row r="10" spans="1:10" ht="21" customHeight="1" thickBot="1" thickTop="1">
      <c r="A10" s="253"/>
      <c r="B10" s="253"/>
      <c r="C10" s="253"/>
      <c r="D10" s="254" t="s">
        <v>68</v>
      </c>
      <c r="E10" s="255">
        <f>E11+E228+E258+E273</f>
        <v>559210</v>
      </c>
      <c r="F10" s="255">
        <f>F11+F228+F251+F258+F273</f>
        <v>9262385</v>
      </c>
      <c r="G10" s="255">
        <f>G11+G228+G251+G258+G273</f>
        <v>6131595</v>
      </c>
      <c r="H10" s="47">
        <f>G10-F10</f>
        <v>-3130790</v>
      </c>
      <c r="I10" s="47"/>
      <c r="J10" s="47"/>
    </row>
    <row r="11" spans="1:8" ht="18" customHeight="1">
      <c r="A11" s="256"/>
      <c r="B11" s="256"/>
      <c r="C11" s="256"/>
      <c r="D11" s="257" t="s">
        <v>202</v>
      </c>
      <c r="E11" s="258">
        <f>E12+E48+E154+E181</f>
        <v>559210</v>
      </c>
      <c r="F11" s="258">
        <f>F12+F48+F154+F181</f>
        <v>9016385</v>
      </c>
      <c r="G11" s="258">
        <f>G12+G48+G154+G181</f>
        <v>4899989</v>
      </c>
      <c r="H11" s="47"/>
    </row>
    <row r="12" spans="1:8" ht="18" customHeight="1">
      <c r="A12" s="259"/>
      <c r="B12" s="259"/>
      <c r="C12" s="260"/>
      <c r="D12" s="257" t="s">
        <v>55</v>
      </c>
      <c r="E12" s="258">
        <f>E13+E22</f>
        <v>559210</v>
      </c>
      <c r="F12" s="258">
        <f>F43</f>
        <v>28790</v>
      </c>
      <c r="G12" s="258"/>
      <c r="H12" s="47"/>
    </row>
    <row r="13" spans="1:8" s="489" customFormat="1" ht="18" customHeight="1" thickBot="1">
      <c r="A13" s="487"/>
      <c r="B13" s="487"/>
      <c r="C13" s="487"/>
      <c r="D13" s="491" t="s">
        <v>234</v>
      </c>
      <c r="E13" s="493">
        <f aca="true" t="shared" si="0" ref="E13:E20">E14</f>
        <v>58400</v>
      </c>
      <c r="F13" s="492"/>
      <c r="G13" s="492"/>
      <c r="H13" s="488"/>
    </row>
    <row r="14" spans="1:8" s="66" customFormat="1" ht="18" customHeight="1" thickBot="1">
      <c r="A14" s="483"/>
      <c r="B14" s="112"/>
      <c r="C14" s="112"/>
      <c r="D14" s="67" t="s">
        <v>77</v>
      </c>
      <c r="E14" s="490">
        <f t="shared" si="0"/>
        <v>58400</v>
      </c>
      <c r="F14" s="490"/>
      <c r="G14" s="490"/>
      <c r="H14" s="225"/>
    </row>
    <row r="15" spans="1:8" ht="18" customHeight="1" thickTop="1">
      <c r="A15" s="29">
        <v>801</v>
      </c>
      <c r="B15" s="29"/>
      <c r="C15" s="29"/>
      <c r="D15" s="29" t="s">
        <v>69</v>
      </c>
      <c r="E15" s="273">
        <f>E16+E19</f>
        <v>58400</v>
      </c>
      <c r="F15" s="273"/>
      <c r="G15" s="470"/>
      <c r="H15" s="47"/>
    </row>
    <row r="16" spans="1:8" ht="18" customHeight="1">
      <c r="A16" s="24"/>
      <c r="B16" s="31">
        <v>80101</v>
      </c>
      <c r="C16" s="31"/>
      <c r="D16" s="32" t="s">
        <v>173</v>
      </c>
      <c r="E16" s="484">
        <f t="shared" si="0"/>
        <v>39200</v>
      </c>
      <c r="F16" s="484"/>
      <c r="G16" s="315"/>
      <c r="H16" s="47"/>
    </row>
    <row r="17" spans="1:8" ht="25.5" customHeight="1">
      <c r="A17" s="24"/>
      <c r="B17" s="24"/>
      <c r="C17" s="24"/>
      <c r="D17" s="121" t="s">
        <v>255</v>
      </c>
      <c r="E17" s="485">
        <f t="shared" si="0"/>
        <v>39200</v>
      </c>
      <c r="F17" s="485"/>
      <c r="G17" s="268"/>
      <c r="H17" s="47"/>
    </row>
    <row r="18" spans="1:8" ht="25.5" customHeight="1">
      <c r="A18" s="204"/>
      <c r="B18" s="119"/>
      <c r="C18" s="223">
        <v>2701</v>
      </c>
      <c r="D18" s="223" t="s">
        <v>194</v>
      </c>
      <c r="E18" s="486">
        <v>39200</v>
      </c>
      <c r="F18" s="486"/>
      <c r="G18" s="564"/>
      <c r="H18" s="47"/>
    </row>
    <row r="19" spans="1:8" ht="18" customHeight="1">
      <c r="A19" s="24"/>
      <c r="B19" s="31">
        <v>80110</v>
      </c>
      <c r="C19" s="31"/>
      <c r="D19" s="32" t="s">
        <v>166</v>
      </c>
      <c r="E19" s="484">
        <f t="shared" si="0"/>
        <v>19200</v>
      </c>
      <c r="F19" s="484"/>
      <c r="G19" s="315"/>
      <c r="H19" s="47"/>
    </row>
    <row r="20" spans="1:8" ht="25.5" customHeight="1">
      <c r="A20" s="24"/>
      <c r="B20" s="24"/>
      <c r="C20" s="24"/>
      <c r="D20" s="121" t="s">
        <v>255</v>
      </c>
      <c r="E20" s="485">
        <f t="shared" si="0"/>
        <v>19200</v>
      </c>
      <c r="F20" s="485"/>
      <c r="G20" s="268"/>
      <c r="H20" s="47"/>
    </row>
    <row r="21" spans="1:8" ht="25.5" customHeight="1">
      <c r="A21" s="204"/>
      <c r="B21" s="204"/>
      <c r="C21" s="223">
        <v>2701</v>
      </c>
      <c r="D21" s="223" t="s">
        <v>194</v>
      </c>
      <c r="E21" s="486">
        <v>19200</v>
      </c>
      <c r="F21" s="486"/>
      <c r="G21" s="564"/>
      <c r="H21" s="47"/>
    </row>
    <row r="22" spans="1:8" s="489" customFormat="1" ht="17.25" customHeight="1" thickBot="1">
      <c r="A22" s="487"/>
      <c r="B22" s="487"/>
      <c r="C22" s="487"/>
      <c r="D22" s="565" t="s">
        <v>257</v>
      </c>
      <c r="E22" s="566">
        <f>E23+E28</f>
        <v>500810</v>
      </c>
      <c r="F22" s="567"/>
      <c r="G22" s="567"/>
      <c r="H22" s="488"/>
    </row>
    <row r="23" spans="1:8" s="66" customFormat="1" ht="21" customHeight="1" thickBot="1">
      <c r="A23" s="483"/>
      <c r="B23" s="112"/>
      <c r="C23" s="112"/>
      <c r="D23" s="67" t="s">
        <v>76</v>
      </c>
      <c r="E23" s="490">
        <f>E24</f>
        <v>444060</v>
      </c>
      <c r="F23" s="490"/>
      <c r="G23" s="490"/>
      <c r="H23" s="225"/>
    </row>
    <row r="24" spans="1:8" ht="18" customHeight="1" thickTop="1">
      <c r="A24" s="476">
        <v>758</v>
      </c>
      <c r="B24" s="15"/>
      <c r="C24" s="231"/>
      <c r="D24" s="271" t="s">
        <v>94</v>
      </c>
      <c r="E24" s="273">
        <f>E25</f>
        <v>444060</v>
      </c>
      <c r="F24" s="273"/>
      <c r="G24" s="470"/>
      <c r="H24" s="47"/>
    </row>
    <row r="25" spans="1:8" ht="18" customHeight="1">
      <c r="A25" s="46"/>
      <c r="B25" s="233">
        <v>75801</v>
      </c>
      <c r="C25" s="477"/>
      <c r="D25" s="478" t="s">
        <v>303</v>
      </c>
      <c r="E25" s="484">
        <f>E26</f>
        <v>444060</v>
      </c>
      <c r="F25" s="484"/>
      <c r="G25" s="315"/>
      <c r="H25" s="47"/>
    </row>
    <row r="26" spans="1:8" ht="18" customHeight="1">
      <c r="A26" s="7"/>
      <c r="B26" s="91"/>
      <c r="C26" s="91"/>
      <c r="D26" s="480" t="s">
        <v>304</v>
      </c>
      <c r="E26" s="485">
        <f>E27</f>
        <v>444060</v>
      </c>
      <c r="F26" s="485"/>
      <c r="G26" s="268"/>
      <c r="H26" s="47"/>
    </row>
    <row r="27" spans="1:8" ht="18" customHeight="1">
      <c r="A27" s="481"/>
      <c r="B27" s="482"/>
      <c r="C27" s="483">
        <v>2920</v>
      </c>
      <c r="D27" s="239" t="s">
        <v>305</v>
      </c>
      <c r="E27" s="486">
        <v>444060</v>
      </c>
      <c r="F27" s="486"/>
      <c r="G27" s="564"/>
      <c r="H27" s="47"/>
    </row>
    <row r="28" spans="1:8" s="66" customFormat="1" ht="18" customHeight="1" thickBot="1">
      <c r="A28" s="483"/>
      <c r="B28" s="112"/>
      <c r="C28" s="112"/>
      <c r="D28" s="67" t="s">
        <v>77</v>
      </c>
      <c r="E28" s="490">
        <f>E29+E39</f>
        <v>56750</v>
      </c>
      <c r="F28" s="490"/>
      <c r="G28" s="490"/>
      <c r="H28" s="225"/>
    </row>
    <row r="29" spans="1:8" ht="18" customHeight="1" thickTop="1">
      <c r="A29" s="29">
        <v>801</v>
      </c>
      <c r="B29" s="29"/>
      <c r="C29" s="29"/>
      <c r="D29" s="29" t="s">
        <v>69</v>
      </c>
      <c r="E29" s="273">
        <f>E30+E33+E36</f>
        <v>36250</v>
      </c>
      <c r="F29" s="273"/>
      <c r="G29" s="470"/>
      <c r="H29" s="47"/>
    </row>
    <row r="30" spans="1:8" ht="18" customHeight="1">
      <c r="A30" s="24"/>
      <c r="B30" s="31">
        <v>80120</v>
      </c>
      <c r="C30" s="31"/>
      <c r="D30" s="32" t="s">
        <v>100</v>
      </c>
      <c r="E30" s="484">
        <f aca="true" t="shared" si="1" ref="E30:E37">E31</f>
        <v>4480</v>
      </c>
      <c r="F30" s="484"/>
      <c r="G30" s="315"/>
      <c r="H30" s="47"/>
    </row>
    <row r="31" spans="1:8" ht="25.5" customHeight="1">
      <c r="A31" s="24"/>
      <c r="B31" s="24"/>
      <c r="C31" s="24"/>
      <c r="D31" s="121" t="s">
        <v>255</v>
      </c>
      <c r="E31" s="485">
        <f t="shared" si="1"/>
        <v>4480</v>
      </c>
      <c r="F31" s="485"/>
      <c r="G31" s="268"/>
      <c r="H31" s="47"/>
    </row>
    <row r="32" spans="1:8" ht="25.5" customHeight="1">
      <c r="A32" s="119"/>
      <c r="B32" s="119"/>
      <c r="C32" s="223">
        <v>2701</v>
      </c>
      <c r="D32" s="223" t="s">
        <v>194</v>
      </c>
      <c r="E32" s="486">
        <v>4480</v>
      </c>
      <c r="F32" s="486"/>
      <c r="G32" s="564"/>
      <c r="H32" s="47"/>
    </row>
    <row r="33" spans="1:8" ht="18" customHeight="1">
      <c r="A33" s="24"/>
      <c r="B33" s="31">
        <v>80130</v>
      </c>
      <c r="C33" s="31"/>
      <c r="D33" s="32" t="s">
        <v>170</v>
      </c>
      <c r="E33" s="484">
        <f t="shared" si="1"/>
        <v>15240</v>
      </c>
      <c r="F33" s="484"/>
      <c r="G33" s="315"/>
      <c r="H33" s="47"/>
    </row>
    <row r="34" spans="1:8" ht="25.5" customHeight="1">
      <c r="A34" s="24"/>
      <c r="B34" s="24"/>
      <c r="C34" s="24"/>
      <c r="D34" s="121" t="s">
        <v>255</v>
      </c>
      <c r="E34" s="485">
        <f t="shared" si="1"/>
        <v>15240</v>
      </c>
      <c r="F34" s="485"/>
      <c r="G34" s="268"/>
      <c r="H34" s="47"/>
    </row>
    <row r="35" spans="1:8" ht="25.5" customHeight="1">
      <c r="A35" s="204"/>
      <c r="B35" s="119"/>
      <c r="C35" s="223">
        <v>2701</v>
      </c>
      <c r="D35" s="223" t="s">
        <v>194</v>
      </c>
      <c r="E35" s="486">
        <v>15240</v>
      </c>
      <c r="F35" s="486"/>
      <c r="G35" s="564"/>
      <c r="H35" s="47"/>
    </row>
    <row r="36" spans="1:8" ht="27" customHeight="1">
      <c r="A36" s="24"/>
      <c r="B36" s="31">
        <v>80140</v>
      </c>
      <c r="C36" s="31"/>
      <c r="D36" s="32" t="s">
        <v>175</v>
      </c>
      <c r="E36" s="484">
        <f t="shared" si="1"/>
        <v>16530</v>
      </c>
      <c r="F36" s="484"/>
      <c r="G36" s="315"/>
      <c r="H36" s="47"/>
    </row>
    <row r="37" spans="1:8" ht="25.5" customHeight="1">
      <c r="A37" s="24"/>
      <c r="B37" s="24"/>
      <c r="C37" s="24"/>
      <c r="D37" s="121" t="s">
        <v>255</v>
      </c>
      <c r="E37" s="485">
        <f t="shared" si="1"/>
        <v>16530</v>
      </c>
      <c r="F37" s="485"/>
      <c r="G37" s="268"/>
      <c r="H37" s="47"/>
    </row>
    <row r="38" spans="1:8" ht="25.5" customHeight="1">
      <c r="A38" s="119"/>
      <c r="B38" s="119"/>
      <c r="C38" s="223">
        <v>2701</v>
      </c>
      <c r="D38" s="223" t="s">
        <v>194</v>
      </c>
      <c r="E38" s="486">
        <v>16530</v>
      </c>
      <c r="F38" s="486"/>
      <c r="G38" s="573"/>
      <c r="H38" s="47"/>
    </row>
    <row r="39" spans="1:8" ht="18" customHeight="1">
      <c r="A39" s="29">
        <v>854</v>
      </c>
      <c r="B39" s="29"/>
      <c r="C39" s="29"/>
      <c r="D39" s="29" t="s">
        <v>71</v>
      </c>
      <c r="E39" s="273">
        <f>E40+E43+E46</f>
        <v>20500</v>
      </c>
      <c r="F39" s="273"/>
      <c r="G39" s="34"/>
      <c r="H39" s="47"/>
    </row>
    <row r="40" spans="1:8" ht="18" customHeight="1">
      <c r="A40" s="24"/>
      <c r="B40" s="31">
        <v>85403</v>
      </c>
      <c r="C40" s="31"/>
      <c r="D40" s="32" t="s">
        <v>178</v>
      </c>
      <c r="E40" s="484">
        <f>E41</f>
        <v>20500</v>
      </c>
      <c r="F40" s="484"/>
      <c r="G40" s="315"/>
      <c r="H40" s="47"/>
    </row>
    <row r="41" spans="1:8" ht="25.5" customHeight="1">
      <c r="A41" s="24"/>
      <c r="B41" s="24"/>
      <c r="C41" s="24"/>
      <c r="D41" s="121" t="s">
        <v>255</v>
      </c>
      <c r="E41" s="485">
        <f>E42</f>
        <v>20500</v>
      </c>
      <c r="F41" s="485"/>
      <c r="G41" s="268"/>
      <c r="H41" s="47"/>
    </row>
    <row r="42" spans="1:8" ht="25.5" customHeight="1">
      <c r="A42" s="204"/>
      <c r="B42" s="204"/>
      <c r="C42" s="223">
        <v>2701</v>
      </c>
      <c r="D42" s="223" t="s">
        <v>194</v>
      </c>
      <c r="E42" s="486">
        <v>20500</v>
      </c>
      <c r="F42" s="486"/>
      <c r="G42" s="564"/>
      <c r="H42" s="47"/>
    </row>
    <row r="43" spans="1:8" ht="21" customHeight="1" thickBot="1">
      <c r="A43" s="279"/>
      <c r="B43" s="279"/>
      <c r="C43" s="279"/>
      <c r="D43" s="262" t="s">
        <v>85</v>
      </c>
      <c r="E43" s="263"/>
      <c r="F43" s="263">
        <f>F44</f>
        <v>28790</v>
      </c>
      <c r="G43" s="263"/>
      <c r="H43" s="47"/>
    </row>
    <row r="44" spans="1:8" ht="19.5" customHeight="1" thickTop="1">
      <c r="A44" s="29">
        <v>758</v>
      </c>
      <c r="B44" s="29"/>
      <c r="C44" s="29"/>
      <c r="D44" s="29" t="s">
        <v>94</v>
      </c>
      <c r="E44" s="276"/>
      <c r="F44" s="276">
        <f>F45</f>
        <v>28790</v>
      </c>
      <c r="G44" s="276"/>
      <c r="H44" s="47"/>
    </row>
    <row r="45" spans="1:8" ht="19.5" customHeight="1">
      <c r="A45" s="24"/>
      <c r="B45" s="31">
        <v>75818</v>
      </c>
      <c r="C45" s="31"/>
      <c r="D45" s="31" t="s">
        <v>95</v>
      </c>
      <c r="E45" s="200"/>
      <c r="F45" s="200">
        <f>F46</f>
        <v>28790</v>
      </c>
      <c r="G45" s="200"/>
      <c r="H45" s="47"/>
    </row>
    <row r="46" spans="1:8" ht="19.5" customHeight="1">
      <c r="A46" s="24"/>
      <c r="B46" s="80"/>
      <c r="C46" s="80"/>
      <c r="D46" s="121" t="s">
        <v>96</v>
      </c>
      <c r="E46" s="211"/>
      <c r="F46" s="211">
        <f>F47</f>
        <v>28790</v>
      </c>
      <c r="G46" s="211"/>
      <c r="H46" s="47"/>
    </row>
    <row r="47" spans="1:8" ht="19.5" customHeight="1">
      <c r="A47" s="24"/>
      <c r="B47" s="24"/>
      <c r="C47" s="222">
        <v>4810</v>
      </c>
      <c r="D47" s="222" t="s">
        <v>204</v>
      </c>
      <c r="E47" s="280"/>
      <c r="F47" s="281">
        <v>28790</v>
      </c>
      <c r="G47" s="280"/>
      <c r="H47" s="47"/>
    </row>
    <row r="48" spans="1:9" s="22" customFormat="1" ht="21.75" customHeight="1">
      <c r="A48" s="259"/>
      <c r="B48" s="259"/>
      <c r="C48" s="260"/>
      <c r="D48" s="257" t="s">
        <v>2</v>
      </c>
      <c r="E48" s="258"/>
      <c r="F48" s="258">
        <f>F49</f>
        <v>1212595</v>
      </c>
      <c r="G48" s="258">
        <f>G49</f>
        <v>834989</v>
      </c>
      <c r="H48" s="73"/>
      <c r="I48" s="73">
        <f>G48-F48</f>
        <v>-377606</v>
      </c>
    </row>
    <row r="49" spans="1:8" s="22" customFormat="1" ht="19.5" customHeight="1" thickBot="1">
      <c r="A49" s="259"/>
      <c r="B49" s="259"/>
      <c r="C49" s="259"/>
      <c r="D49" s="262" t="s">
        <v>85</v>
      </c>
      <c r="E49" s="263"/>
      <c r="F49" s="263">
        <f>F50+F143</f>
        <v>1212595</v>
      </c>
      <c r="G49" s="263">
        <f>G50+G143</f>
        <v>834989</v>
      </c>
      <c r="H49" s="73"/>
    </row>
    <row r="50" spans="1:7" ht="19.5" customHeight="1" thickTop="1">
      <c r="A50" s="297">
        <v>801</v>
      </c>
      <c r="B50" s="298"/>
      <c r="C50" s="299"/>
      <c r="D50" s="297" t="s">
        <v>69</v>
      </c>
      <c r="E50" s="300"/>
      <c r="F50" s="300">
        <f>F51+F59+F71+F91+F95+F139</f>
        <v>1152103</v>
      </c>
      <c r="G50" s="300">
        <f>G51+G59+G71+G91+G95+G139</f>
        <v>834989</v>
      </c>
    </row>
    <row r="51" spans="1:7" ht="19.5" customHeight="1">
      <c r="A51" s="24"/>
      <c r="B51" s="82">
        <v>80101</v>
      </c>
      <c r="C51" s="82"/>
      <c r="D51" s="32" t="s">
        <v>173</v>
      </c>
      <c r="E51" s="290"/>
      <c r="F51" s="290">
        <f>F52</f>
        <v>38033</v>
      </c>
      <c r="G51" s="290">
        <f>G52</f>
        <v>2425</v>
      </c>
    </row>
    <row r="52" spans="1:7" ht="19.5" customHeight="1">
      <c r="A52" s="24"/>
      <c r="B52" s="208"/>
      <c r="C52" s="208"/>
      <c r="D52" s="121" t="s">
        <v>165</v>
      </c>
      <c r="E52" s="265"/>
      <c r="F52" s="265">
        <f>F58</f>
        <v>38033</v>
      </c>
      <c r="G52" s="265">
        <f>G58</f>
        <v>2425</v>
      </c>
    </row>
    <row r="53" spans="1:7" s="66" customFormat="1" ht="25.5" customHeight="1">
      <c r="A53" s="226"/>
      <c r="B53" s="226"/>
      <c r="C53" s="226"/>
      <c r="D53" s="304" t="s">
        <v>403</v>
      </c>
      <c r="E53" s="278"/>
      <c r="F53" s="278"/>
      <c r="G53" s="278">
        <v>2425</v>
      </c>
    </row>
    <row r="54" spans="1:7" s="66" customFormat="1" ht="25.5" customHeight="1">
      <c r="A54" s="226"/>
      <c r="B54" s="226"/>
      <c r="C54" s="226"/>
      <c r="D54" s="302" t="s">
        <v>265</v>
      </c>
      <c r="E54" s="448"/>
      <c r="F54" s="448">
        <v>4627</v>
      </c>
      <c r="G54" s="448"/>
    </row>
    <row r="55" spans="1:7" s="66" customFormat="1" ht="39.75" customHeight="1">
      <c r="A55" s="226"/>
      <c r="B55" s="226"/>
      <c r="C55" s="226"/>
      <c r="D55" s="302" t="s">
        <v>263</v>
      </c>
      <c r="E55" s="287"/>
      <c r="F55" s="287">
        <v>22060</v>
      </c>
      <c r="G55" s="287"/>
    </row>
    <row r="56" spans="1:7" s="66" customFormat="1" ht="41.25" customHeight="1">
      <c r="A56" s="226"/>
      <c r="B56" s="226"/>
      <c r="C56" s="226"/>
      <c r="D56" s="302" t="s">
        <v>264</v>
      </c>
      <c r="E56" s="448"/>
      <c r="F56" s="448">
        <v>6346</v>
      </c>
      <c r="G56" s="448"/>
    </row>
    <row r="57" spans="1:7" s="66" customFormat="1" ht="19.5" customHeight="1">
      <c r="A57" s="226"/>
      <c r="B57" s="226"/>
      <c r="C57" s="226"/>
      <c r="D57" s="302" t="s">
        <v>214</v>
      </c>
      <c r="E57" s="448"/>
      <c r="F57" s="448">
        <v>5000</v>
      </c>
      <c r="G57" s="448"/>
    </row>
    <row r="58" spans="1:7" s="66" customFormat="1" ht="19.5" customHeight="1">
      <c r="A58" s="222"/>
      <c r="B58" s="222"/>
      <c r="C58" s="222">
        <v>2540</v>
      </c>
      <c r="D58" s="223" t="s">
        <v>215</v>
      </c>
      <c r="E58" s="277"/>
      <c r="F58" s="277">
        <f>SUM(F53:F57)</f>
        <v>38033</v>
      </c>
      <c r="G58" s="277">
        <f>SUM(G53:G57)</f>
        <v>2425</v>
      </c>
    </row>
    <row r="59" spans="1:7" ht="19.5" customHeight="1">
      <c r="A59" s="24"/>
      <c r="B59" s="82">
        <v>80110</v>
      </c>
      <c r="C59" s="82"/>
      <c r="D59" s="32" t="s">
        <v>166</v>
      </c>
      <c r="E59" s="290"/>
      <c r="F59" s="290">
        <f>F60</f>
        <v>1076</v>
      </c>
      <c r="G59" s="290">
        <f>G60</f>
        <v>189021</v>
      </c>
    </row>
    <row r="60" spans="1:7" ht="19.5" customHeight="1">
      <c r="A60" s="24"/>
      <c r="B60" s="208"/>
      <c r="C60" s="208"/>
      <c r="D60" s="121" t="s">
        <v>212</v>
      </c>
      <c r="E60" s="265"/>
      <c r="F60" s="265">
        <f>F68+F70</f>
        <v>1076</v>
      </c>
      <c r="G60" s="265">
        <f>G68+G70</f>
        <v>189021</v>
      </c>
    </row>
    <row r="61" spans="1:7" s="66" customFormat="1" ht="27" customHeight="1">
      <c r="A61" s="226"/>
      <c r="B61" s="226"/>
      <c r="C61" s="226"/>
      <c r="D61" s="303" t="s">
        <v>266</v>
      </c>
      <c r="E61" s="278"/>
      <c r="F61" s="278"/>
      <c r="G61" s="278">
        <v>17520</v>
      </c>
    </row>
    <row r="62" spans="1:7" s="66" customFormat="1" ht="30" customHeight="1">
      <c r="A62" s="226"/>
      <c r="B62" s="226"/>
      <c r="C62" s="226"/>
      <c r="D62" s="302" t="s">
        <v>213</v>
      </c>
      <c r="E62" s="448"/>
      <c r="F62" s="448"/>
      <c r="G62" s="448">
        <v>12868</v>
      </c>
    </row>
    <row r="63" spans="1:7" s="66" customFormat="1" ht="30" customHeight="1">
      <c r="A63" s="226"/>
      <c r="B63" s="226"/>
      <c r="C63" s="226"/>
      <c r="D63" s="302" t="s">
        <v>269</v>
      </c>
      <c r="E63" s="287"/>
      <c r="F63" s="287"/>
      <c r="G63" s="287">
        <v>767</v>
      </c>
    </row>
    <row r="64" spans="1:7" s="66" customFormat="1" ht="30" customHeight="1">
      <c r="A64" s="226"/>
      <c r="B64" s="226"/>
      <c r="C64" s="226"/>
      <c r="D64" s="302" t="s">
        <v>270</v>
      </c>
      <c r="E64" s="448"/>
      <c r="F64" s="448"/>
      <c r="G64" s="448">
        <v>23104</v>
      </c>
    </row>
    <row r="65" spans="1:7" s="66" customFormat="1" ht="30" customHeight="1">
      <c r="A65" s="226"/>
      <c r="B65" s="226"/>
      <c r="C65" s="226"/>
      <c r="D65" s="302" t="s">
        <v>267</v>
      </c>
      <c r="E65" s="448"/>
      <c r="F65" s="448"/>
      <c r="G65" s="448">
        <v>8840</v>
      </c>
    </row>
    <row r="66" spans="1:7" s="66" customFormat="1" ht="30" customHeight="1">
      <c r="A66" s="226"/>
      <c r="B66" s="226"/>
      <c r="C66" s="226"/>
      <c r="D66" s="302" t="s">
        <v>271</v>
      </c>
      <c r="E66" s="287"/>
      <c r="F66" s="287">
        <v>1076</v>
      </c>
      <c r="G66" s="287"/>
    </row>
    <row r="67" spans="1:7" s="66" customFormat="1" ht="30" customHeight="1">
      <c r="A67" s="226"/>
      <c r="B67" s="226"/>
      <c r="C67" s="226"/>
      <c r="D67" s="302" t="s">
        <v>268</v>
      </c>
      <c r="E67" s="448"/>
      <c r="F67" s="448"/>
      <c r="G67" s="448">
        <v>26684</v>
      </c>
    </row>
    <row r="68" spans="1:7" s="66" customFormat="1" ht="19.5" customHeight="1">
      <c r="A68" s="226"/>
      <c r="B68" s="226"/>
      <c r="C68" s="222">
        <v>2540</v>
      </c>
      <c r="D68" s="223" t="s">
        <v>215</v>
      </c>
      <c r="E68" s="277"/>
      <c r="F68" s="277">
        <f>SUM(F61:F67)</f>
        <v>1076</v>
      </c>
      <c r="G68" s="277">
        <f>SUM(G61:G67)</f>
        <v>89783</v>
      </c>
    </row>
    <row r="69" spans="1:7" s="66" customFormat="1" ht="27.75" customHeight="1">
      <c r="A69" s="226"/>
      <c r="B69" s="226"/>
      <c r="C69" s="226"/>
      <c r="D69" s="449" t="s">
        <v>272</v>
      </c>
      <c r="E69" s="450"/>
      <c r="F69" s="450"/>
      <c r="G69" s="450">
        <v>99238</v>
      </c>
    </row>
    <row r="70" spans="1:7" s="66" customFormat="1" ht="41.25" customHeight="1">
      <c r="A70" s="226"/>
      <c r="B70" s="222"/>
      <c r="C70" s="222">
        <v>2590</v>
      </c>
      <c r="D70" s="223" t="s">
        <v>273</v>
      </c>
      <c r="E70" s="280"/>
      <c r="F70" s="280"/>
      <c r="G70" s="280">
        <f>G69</f>
        <v>99238</v>
      </c>
    </row>
    <row r="71" spans="1:7" ht="19.5" customHeight="1">
      <c r="A71" s="24"/>
      <c r="B71" s="82">
        <v>80120</v>
      </c>
      <c r="C71" s="82"/>
      <c r="D71" s="32" t="s">
        <v>100</v>
      </c>
      <c r="E71" s="290"/>
      <c r="F71" s="290">
        <f>F72</f>
        <v>267981</v>
      </c>
      <c r="G71" s="290">
        <f>G72</f>
        <v>241990</v>
      </c>
    </row>
    <row r="72" spans="1:7" ht="19.5" customHeight="1">
      <c r="A72" s="24"/>
      <c r="B72" s="24"/>
      <c r="C72" s="24"/>
      <c r="D72" s="121" t="s">
        <v>168</v>
      </c>
      <c r="E72" s="265"/>
      <c r="F72" s="265">
        <f>F88+F90</f>
        <v>267981</v>
      </c>
      <c r="G72" s="265">
        <f>G88+G90</f>
        <v>241990</v>
      </c>
    </row>
    <row r="73" spans="1:7" s="66" customFormat="1" ht="26.25" customHeight="1">
      <c r="A73" s="226"/>
      <c r="B73" s="226"/>
      <c r="C73" s="226"/>
      <c r="D73" s="303" t="s">
        <v>281</v>
      </c>
      <c r="E73" s="285"/>
      <c r="F73" s="285"/>
      <c r="G73" s="285">
        <v>3016</v>
      </c>
    </row>
    <row r="74" spans="1:7" s="66" customFormat="1" ht="42" customHeight="1">
      <c r="A74" s="226"/>
      <c r="B74" s="226"/>
      <c r="C74" s="226"/>
      <c r="D74" s="302" t="s">
        <v>274</v>
      </c>
      <c r="E74" s="292"/>
      <c r="F74" s="292">
        <v>7939</v>
      </c>
      <c r="G74" s="292"/>
    </row>
    <row r="75" spans="1:7" s="66" customFormat="1" ht="30" customHeight="1">
      <c r="A75" s="226"/>
      <c r="B75" s="226"/>
      <c r="C75" s="226"/>
      <c r="D75" s="302" t="s">
        <v>216</v>
      </c>
      <c r="E75" s="292"/>
      <c r="F75" s="292"/>
      <c r="G75" s="292">
        <v>34960</v>
      </c>
    </row>
    <row r="76" spans="1:7" s="66" customFormat="1" ht="26.25" customHeight="1">
      <c r="A76" s="226"/>
      <c r="B76" s="226"/>
      <c r="C76" s="226"/>
      <c r="D76" s="302" t="s">
        <v>275</v>
      </c>
      <c r="E76" s="292"/>
      <c r="F76" s="292">
        <v>1800</v>
      </c>
      <c r="G76" s="292"/>
    </row>
    <row r="77" spans="1:7" s="66" customFormat="1" ht="28.5" customHeight="1">
      <c r="A77" s="226"/>
      <c r="B77" s="226"/>
      <c r="C77" s="226"/>
      <c r="D77" s="302" t="s">
        <v>276</v>
      </c>
      <c r="E77" s="292"/>
      <c r="F77" s="292">
        <v>58400</v>
      </c>
      <c r="G77" s="292"/>
    </row>
    <row r="78" spans="1:7" s="66" customFormat="1" ht="39.75" customHeight="1">
      <c r="A78" s="226"/>
      <c r="B78" s="226"/>
      <c r="C78" s="226"/>
      <c r="D78" s="302" t="s">
        <v>277</v>
      </c>
      <c r="E78" s="292"/>
      <c r="F78" s="292"/>
      <c r="G78" s="292">
        <v>6800</v>
      </c>
    </row>
    <row r="79" spans="1:7" s="66" customFormat="1" ht="30" customHeight="1">
      <c r="A79" s="222"/>
      <c r="B79" s="222"/>
      <c r="C79" s="222"/>
      <c r="D79" s="605" t="s">
        <v>282</v>
      </c>
      <c r="E79" s="277"/>
      <c r="F79" s="277">
        <v>2900</v>
      </c>
      <c r="G79" s="277"/>
    </row>
    <row r="80" spans="1:7" s="66" customFormat="1" ht="26.25" customHeight="1">
      <c r="A80" s="226"/>
      <c r="B80" s="226"/>
      <c r="C80" s="226"/>
      <c r="D80" s="303" t="s">
        <v>278</v>
      </c>
      <c r="E80" s="292"/>
      <c r="F80" s="292"/>
      <c r="G80" s="292">
        <v>21250</v>
      </c>
    </row>
    <row r="81" spans="1:7" s="66" customFormat="1" ht="26.25" customHeight="1">
      <c r="A81" s="226"/>
      <c r="B81" s="226"/>
      <c r="C81" s="226"/>
      <c r="D81" s="303" t="s">
        <v>279</v>
      </c>
      <c r="E81" s="292"/>
      <c r="F81" s="292"/>
      <c r="G81" s="292">
        <v>11113</v>
      </c>
    </row>
    <row r="82" spans="1:7" s="66" customFormat="1" ht="30" customHeight="1">
      <c r="A82" s="226"/>
      <c r="B82" s="226"/>
      <c r="C82" s="226"/>
      <c r="D82" s="302" t="s">
        <v>9</v>
      </c>
      <c r="E82" s="292"/>
      <c r="F82" s="292">
        <v>12280</v>
      </c>
      <c r="G82" s="292"/>
    </row>
    <row r="83" spans="1:7" s="66" customFormat="1" ht="30" customHeight="1">
      <c r="A83" s="226"/>
      <c r="B83" s="226"/>
      <c r="C83" s="226"/>
      <c r="D83" s="302" t="s">
        <v>10</v>
      </c>
      <c r="E83" s="292"/>
      <c r="F83" s="292">
        <v>13840</v>
      </c>
      <c r="G83" s="292"/>
    </row>
    <row r="84" spans="1:7" s="66" customFormat="1" ht="41.25" customHeight="1">
      <c r="A84" s="226"/>
      <c r="B84" s="226"/>
      <c r="C84" s="226"/>
      <c r="D84" s="451" t="s">
        <v>280</v>
      </c>
      <c r="E84" s="292"/>
      <c r="F84" s="292">
        <v>18822</v>
      </c>
      <c r="G84" s="292"/>
    </row>
    <row r="85" spans="1:7" s="66" customFormat="1" ht="30" customHeight="1">
      <c r="A85" s="226"/>
      <c r="B85" s="226"/>
      <c r="C85" s="226"/>
      <c r="D85" s="451" t="s">
        <v>283</v>
      </c>
      <c r="E85" s="292"/>
      <c r="F85" s="292"/>
      <c r="G85" s="292">
        <v>18200</v>
      </c>
    </row>
    <row r="86" spans="1:7" s="66" customFormat="1" ht="30" customHeight="1">
      <c r="A86" s="226"/>
      <c r="B86" s="226"/>
      <c r="C86" s="226"/>
      <c r="D86" s="451" t="s">
        <v>284</v>
      </c>
      <c r="E86" s="292"/>
      <c r="F86" s="292">
        <v>76000</v>
      </c>
      <c r="G86" s="292"/>
    </row>
    <row r="87" spans="1:7" s="66" customFormat="1" ht="26.25" customHeight="1">
      <c r="A87" s="226"/>
      <c r="B87" s="226"/>
      <c r="C87" s="226"/>
      <c r="D87" s="302" t="s">
        <v>285</v>
      </c>
      <c r="E87" s="292"/>
      <c r="F87" s="292">
        <v>76000</v>
      </c>
      <c r="G87" s="292"/>
    </row>
    <row r="88" spans="1:7" s="66" customFormat="1" ht="19.5" customHeight="1">
      <c r="A88" s="226"/>
      <c r="B88" s="226"/>
      <c r="C88" s="222">
        <v>2540</v>
      </c>
      <c r="D88" s="223" t="s">
        <v>215</v>
      </c>
      <c r="E88" s="277"/>
      <c r="F88" s="277">
        <f>SUM(F73:F87)</f>
        <v>267981</v>
      </c>
      <c r="G88" s="277">
        <f>SUM(G73:G87)</f>
        <v>95339</v>
      </c>
    </row>
    <row r="89" spans="1:7" s="66" customFormat="1" ht="27.75" customHeight="1">
      <c r="A89" s="226"/>
      <c r="B89" s="226"/>
      <c r="C89" s="226"/>
      <c r="D89" s="449" t="s">
        <v>272</v>
      </c>
      <c r="E89" s="450"/>
      <c r="F89" s="450"/>
      <c r="G89" s="450">
        <v>146651</v>
      </c>
    </row>
    <row r="90" spans="1:7" s="66" customFormat="1" ht="41.25" customHeight="1">
      <c r="A90" s="226"/>
      <c r="B90" s="222"/>
      <c r="C90" s="222">
        <v>2590</v>
      </c>
      <c r="D90" s="223" t="s">
        <v>273</v>
      </c>
      <c r="E90" s="280"/>
      <c r="F90" s="280"/>
      <c r="G90" s="280">
        <f>G89</f>
        <v>146651</v>
      </c>
    </row>
    <row r="91" spans="1:7" ht="19.5" customHeight="1">
      <c r="A91" s="24"/>
      <c r="B91" s="82">
        <v>80123</v>
      </c>
      <c r="C91" s="82"/>
      <c r="D91" s="32" t="s">
        <v>115</v>
      </c>
      <c r="E91" s="290"/>
      <c r="F91" s="290"/>
      <c r="G91" s="290">
        <f>G92</f>
        <v>50021</v>
      </c>
    </row>
    <row r="92" spans="1:7" ht="19.5" customHeight="1">
      <c r="A92" s="24"/>
      <c r="B92" s="208"/>
      <c r="C92" s="208"/>
      <c r="D92" s="121" t="s">
        <v>169</v>
      </c>
      <c r="E92" s="265"/>
      <c r="F92" s="265"/>
      <c r="G92" s="265">
        <f>G94</f>
        <v>50021</v>
      </c>
    </row>
    <row r="93" spans="1:7" s="66" customFormat="1" ht="27.75" customHeight="1">
      <c r="A93" s="226"/>
      <c r="B93" s="226"/>
      <c r="C93" s="226"/>
      <c r="D93" s="303" t="s">
        <v>11</v>
      </c>
      <c r="E93" s="452"/>
      <c r="F93" s="452"/>
      <c r="G93" s="452">
        <v>50021</v>
      </c>
    </row>
    <row r="94" spans="1:7" s="66" customFormat="1" ht="41.25" customHeight="1">
      <c r="A94" s="226"/>
      <c r="B94" s="222"/>
      <c r="C94" s="222">
        <v>2590</v>
      </c>
      <c r="D94" s="223" t="s">
        <v>273</v>
      </c>
      <c r="E94" s="280"/>
      <c r="F94" s="280"/>
      <c r="G94" s="280">
        <f>G93</f>
        <v>50021</v>
      </c>
    </row>
    <row r="95" spans="1:7" ht="19.5" customHeight="1">
      <c r="A95" s="24"/>
      <c r="B95" s="82">
        <v>80130</v>
      </c>
      <c r="C95" s="82"/>
      <c r="D95" s="32" t="s">
        <v>170</v>
      </c>
      <c r="E95" s="290"/>
      <c r="F95" s="290">
        <f>F96</f>
        <v>843665</v>
      </c>
      <c r="G95" s="290">
        <f>G96</f>
        <v>351532</v>
      </c>
    </row>
    <row r="96" spans="1:7" ht="19.5" customHeight="1">
      <c r="A96" s="24"/>
      <c r="B96" s="24"/>
      <c r="C96" s="24"/>
      <c r="D96" s="121" t="s">
        <v>217</v>
      </c>
      <c r="E96" s="265"/>
      <c r="F96" s="265">
        <f>F134+F138</f>
        <v>843665</v>
      </c>
      <c r="G96" s="265">
        <f>G134+G138</f>
        <v>351532</v>
      </c>
    </row>
    <row r="97" spans="1:7" s="66" customFormat="1" ht="28.5" customHeight="1">
      <c r="A97" s="226"/>
      <c r="B97" s="226"/>
      <c r="C97" s="226"/>
      <c r="D97" s="453" t="s">
        <v>39</v>
      </c>
      <c r="E97" s="292"/>
      <c r="F97" s="292"/>
      <c r="G97" s="292">
        <v>46160</v>
      </c>
    </row>
    <row r="98" spans="1:7" s="66" customFormat="1" ht="28.5" customHeight="1">
      <c r="A98" s="226"/>
      <c r="B98" s="226"/>
      <c r="C98" s="226"/>
      <c r="D98" s="302" t="s">
        <v>40</v>
      </c>
      <c r="E98" s="287"/>
      <c r="F98" s="287"/>
      <c r="G98" s="287">
        <v>6988</v>
      </c>
    </row>
    <row r="99" spans="1:7" s="66" customFormat="1" ht="28.5" customHeight="1">
      <c r="A99" s="226"/>
      <c r="B99" s="226"/>
      <c r="C99" s="226"/>
      <c r="D99" s="302" t="s">
        <v>41</v>
      </c>
      <c r="E99" s="287"/>
      <c r="F99" s="287"/>
      <c r="G99" s="287">
        <v>24515</v>
      </c>
    </row>
    <row r="100" spans="1:7" s="66" customFormat="1" ht="30" customHeight="1">
      <c r="A100" s="222"/>
      <c r="B100" s="222"/>
      <c r="C100" s="222"/>
      <c r="D100" s="605" t="s">
        <v>17</v>
      </c>
      <c r="E100" s="606"/>
      <c r="F100" s="606">
        <v>8110</v>
      </c>
      <c r="G100" s="606"/>
    </row>
    <row r="101" spans="1:7" s="66" customFormat="1" ht="30" customHeight="1">
      <c r="A101" s="226"/>
      <c r="B101" s="226"/>
      <c r="C101" s="226"/>
      <c r="D101" s="303" t="s">
        <v>18</v>
      </c>
      <c r="E101" s="292"/>
      <c r="F101" s="292">
        <v>60000</v>
      </c>
      <c r="G101" s="292"/>
    </row>
    <row r="102" spans="1:7" s="66" customFormat="1" ht="28.5" customHeight="1">
      <c r="A102" s="226"/>
      <c r="B102" s="226"/>
      <c r="C102" s="226"/>
      <c r="D102" s="302" t="s">
        <v>12</v>
      </c>
      <c r="E102" s="287"/>
      <c r="F102" s="287">
        <v>60000</v>
      </c>
      <c r="G102" s="287"/>
    </row>
    <row r="103" spans="1:7" s="66" customFormat="1" ht="28.5" customHeight="1">
      <c r="A103" s="226"/>
      <c r="B103" s="226"/>
      <c r="C103" s="226"/>
      <c r="D103" s="302" t="s">
        <v>42</v>
      </c>
      <c r="E103" s="287"/>
      <c r="F103" s="287"/>
      <c r="G103" s="287">
        <v>3779</v>
      </c>
    </row>
    <row r="104" spans="1:7" s="66" customFormat="1" ht="28.5" customHeight="1">
      <c r="A104" s="226"/>
      <c r="B104" s="226"/>
      <c r="C104" s="226"/>
      <c r="D104" s="302" t="s">
        <v>13</v>
      </c>
      <c r="E104" s="287"/>
      <c r="F104" s="287">
        <v>13333</v>
      </c>
      <c r="G104" s="287"/>
    </row>
    <row r="105" spans="1:7" s="66" customFormat="1" ht="30" customHeight="1">
      <c r="A105" s="226"/>
      <c r="B105" s="226"/>
      <c r="C105" s="226"/>
      <c r="D105" s="302" t="s">
        <v>20</v>
      </c>
      <c r="E105" s="287"/>
      <c r="F105" s="287"/>
      <c r="G105" s="287">
        <v>2146</v>
      </c>
    </row>
    <row r="106" spans="1:7" s="66" customFormat="1" ht="30" customHeight="1">
      <c r="A106" s="226"/>
      <c r="B106" s="226"/>
      <c r="C106" s="226"/>
      <c r="D106" s="302" t="s">
        <v>19</v>
      </c>
      <c r="E106" s="287"/>
      <c r="F106" s="287">
        <v>2093</v>
      </c>
      <c r="G106" s="287"/>
    </row>
    <row r="107" spans="1:7" s="66" customFormat="1" ht="41.25" customHeight="1">
      <c r="A107" s="226"/>
      <c r="B107" s="226"/>
      <c r="C107" s="226"/>
      <c r="D107" s="302" t="s">
        <v>21</v>
      </c>
      <c r="E107" s="287"/>
      <c r="F107" s="287"/>
      <c r="G107" s="287">
        <v>32</v>
      </c>
    </row>
    <row r="108" spans="1:7" s="66" customFormat="1" ht="28.5" customHeight="1">
      <c r="A108" s="226"/>
      <c r="B108" s="226"/>
      <c r="C108" s="226"/>
      <c r="D108" s="302" t="s">
        <v>218</v>
      </c>
      <c r="E108" s="287"/>
      <c r="F108" s="287"/>
      <c r="G108" s="287">
        <v>335</v>
      </c>
    </row>
    <row r="109" spans="1:7" s="66" customFormat="1" ht="28.5" customHeight="1">
      <c r="A109" s="226"/>
      <c r="B109" s="226"/>
      <c r="C109" s="226"/>
      <c r="D109" s="302" t="s">
        <v>14</v>
      </c>
      <c r="E109" s="287"/>
      <c r="F109" s="287">
        <v>2747</v>
      </c>
      <c r="G109" s="287"/>
    </row>
    <row r="110" spans="1:7" s="66" customFormat="1" ht="30" customHeight="1">
      <c r="A110" s="226"/>
      <c r="B110" s="226"/>
      <c r="C110" s="226"/>
      <c r="D110" s="286" t="s">
        <v>22</v>
      </c>
      <c r="E110" s="287"/>
      <c r="F110" s="287">
        <v>8719</v>
      </c>
      <c r="G110" s="287"/>
    </row>
    <row r="111" spans="1:7" s="66" customFormat="1" ht="30" customHeight="1">
      <c r="A111" s="226"/>
      <c r="B111" s="226"/>
      <c r="C111" s="226"/>
      <c r="D111" s="286" t="s">
        <v>23</v>
      </c>
      <c r="E111" s="287"/>
      <c r="F111" s="287"/>
      <c r="G111" s="287">
        <v>7680</v>
      </c>
    </row>
    <row r="112" spans="1:7" s="66" customFormat="1" ht="39" customHeight="1">
      <c r="A112" s="226"/>
      <c r="B112" s="226"/>
      <c r="C112" s="226"/>
      <c r="D112" s="286" t="s">
        <v>24</v>
      </c>
      <c r="E112" s="287"/>
      <c r="F112" s="287">
        <v>54250</v>
      </c>
      <c r="G112" s="287"/>
    </row>
    <row r="113" spans="1:7" s="66" customFormat="1" ht="28.5" customHeight="1">
      <c r="A113" s="226"/>
      <c r="B113" s="226"/>
      <c r="C113" s="226"/>
      <c r="D113" s="302" t="s">
        <v>15</v>
      </c>
      <c r="E113" s="287"/>
      <c r="F113" s="287">
        <v>3888</v>
      </c>
      <c r="G113" s="287"/>
    </row>
    <row r="114" spans="1:7" s="66" customFormat="1" ht="39.75" customHeight="1">
      <c r="A114" s="226"/>
      <c r="B114" s="226"/>
      <c r="C114" s="226"/>
      <c r="D114" s="286" t="s">
        <v>25</v>
      </c>
      <c r="E114" s="287"/>
      <c r="F114" s="287">
        <v>12919</v>
      </c>
      <c r="G114" s="287"/>
    </row>
    <row r="115" spans="1:7" s="66" customFormat="1" ht="40.5" customHeight="1">
      <c r="A115" s="226"/>
      <c r="B115" s="226"/>
      <c r="C115" s="226"/>
      <c r="D115" s="286" t="s">
        <v>26</v>
      </c>
      <c r="E115" s="287"/>
      <c r="F115" s="287">
        <v>26093</v>
      </c>
      <c r="G115" s="287"/>
    </row>
    <row r="116" spans="1:7" s="66" customFormat="1" ht="39.75" customHeight="1">
      <c r="A116" s="226"/>
      <c r="B116" s="226"/>
      <c r="C116" s="226"/>
      <c r="D116" s="286" t="s">
        <v>27</v>
      </c>
      <c r="E116" s="287"/>
      <c r="F116" s="287">
        <v>2412</v>
      </c>
      <c r="G116" s="287"/>
    </row>
    <row r="117" spans="1:7" s="66" customFormat="1" ht="28.5" customHeight="1">
      <c r="A117" s="226"/>
      <c r="B117" s="226"/>
      <c r="C117" s="226"/>
      <c r="D117" s="286" t="s">
        <v>44</v>
      </c>
      <c r="E117" s="287"/>
      <c r="F117" s="287"/>
      <c r="G117" s="287">
        <v>85281</v>
      </c>
    </row>
    <row r="118" spans="1:7" s="66" customFormat="1" ht="28.5" customHeight="1">
      <c r="A118" s="226"/>
      <c r="B118" s="226"/>
      <c r="C118" s="226"/>
      <c r="D118" s="286" t="s">
        <v>16</v>
      </c>
      <c r="E118" s="287"/>
      <c r="F118" s="287">
        <v>6765</v>
      </c>
      <c r="G118" s="287"/>
    </row>
    <row r="119" spans="1:7" s="66" customFormat="1" ht="28.5" customHeight="1">
      <c r="A119" s="222"/>
      <c r="B119" s="222"/>
      <c r="C119" s="222"/>
      <c r="D119" s="570" t="s">
        <v>43</v>
      </c>
      <c r="E119" s="606"/>
      <c r="F119" s="606"/>
      <c r="G119" s="606">
        <v>11442</v>
      </c>
    </row>
    <row r="120" spans="1:7" s="66" customFormat="1" ht="40.5" customHeight="1">
      <c r="A120" s="226"/>
      <c r="B120" s="226"/>
      <c r="C120" s="226"/>
      <c r="D120" s="291" t="s">
        <v>28</v>
      </c>
      <c r="E120" s="292"/>
      <c r="F120" s="292">
        <v>45024</v>
      </c>
      <c r="G120" s="292"/>
    </row>
    <row r="121" spans="1:7" s="66" customFormat="1" ht="30" customHeight="1">
      <c r="A121" s="226"/>
      <c r="B121" s="226"/>
      <c r="C121" s="226"/>
      <c r="D121" s="286" t="s">
        <v>29</v>
      </c>
      <c r="E121" s="287"/>
      <c r="F121" s="287">
        <v>4891</v>
      </c>
      <c r="G121" s="287"/>
    </row>
    <row r="122" spans="1:7" s="66" customFormat="1" ht="28.5" customHeight="1">
      <c r="A122" s="226"/>
      <c r="B122" s="226"/>
      <c r="C122" s="226"/>
      <c r="D122" s="286" t="s">
        <v>404</v>
      </c>
      <c r="E122" s="287"/>
      <c r="F122" s="287">
        <v>6430</v>
      </c>
      <c r="G122" s="287"/>
    </row>
    <row r="123" spans="1:7" s="66" customFormat="1" ht="28.5" customHeight="1">
      <c r="A123" s="226"/>
      <c r="B123" s="226"/>
      <c r="C123" s="226"/>
      <c r="D123" s="286" t="s">
        <v>45</v>
      </c>
      <c r="E123" s="287"/>
      <c r="F123" s="287"/>
      <c r="G123" s="287">
        <v>7169</v>
      </c>
    </row>
    <row r="124" spans="1:7" s="66" customFormat="1" ht="28.5" customHeight="1">
      <c r="A124" s="226"/>
      <c r="B124" s="226"/>
      <c r="C124" s="226"/>
      <c r="D124" s="286" t="s">
        <v>30</v>
      </c>
      <c r="E124" s="287"/>
      <c r="F124" s="287">
        <v>247247</v>
      </c>
      <c r="G124" s="287"/>
    </row>
    <row r="125" spans="1:7" s="66" customFormat="1" ht="40.5" customHeight="1">
      <c r="A125" s="226"/>
      <c r="B125" s="226"/>
      <c r="C125" s="226"/>
      <c r="D125" s="286" t="s">
        <v>31</v>
      </c>
      <c r="E125" s="287"/>
      <c r="F125" s="287">
        <v>7772</v>
      </c>
      <c r="G125" s="287"/>
    </row>
    <row r="126" spans="1:7" s="66" customFormat="1" ht="30" customHeight="1">
      <c r="A126" s="226"/>
      <c r="B126" s="226"/>
      <c r="C126" s="226"/>
      <c r="D126" s="286" t="s">
        <v>32</v>
      </c>
      <c r="E126" s="287"/>
      <c r="F126" s="287">
        <v>121150</v>
      </c>
      <c r="G126" s="287"/>
    </row>
    <row r="127" spans="1:7" s="66" customFormat="1" ht="28.5" customHeight="1">
      <c r="A127" s="226"/>
      <c r="B127" s="226"/>
      <c r="C127" s="226"/>
      <c r="D127" s="286" t="s">
        <v>33</v>
      </c>
      <c r="E127" s="287"/>
      <c r="F127" s="287">
        <v>31088</v>
      </c>
      <c r="G127" s="287"/>
    </row>
    <row r="128" spans="1:7" s="66" customFormat="1" ht="30" customHeight="1">
      <c r="A128" s="226"/>
      <c r="B128" s="226"/>
      <c r="C128" s="226"/>
      <c r="D128" s="286" t="s">
        <v>34</v>
      </c>
      <c r="E128" s="287"/>
      <c r="F128" s="287">
        <v>40000</v>
      </c>
      <c r="G128" s="287"/>
    </row>
    <row r="129" spans="1:7" s="66" customFormat="1" ht="28.5" customHeight="1">
      <c r="A129" s="226"/>
      <c r="B129" s="226"/>
      <c r="C129" s="226"/>
      <c r="D129" s="286" t="s">
        <v>35</v>
      </c>
      <c r="E129" s="287"/>
      <c r="F129" s="287">
        <v>5963</v>
      </c>
      <c r="G129" s="287"/>
    </row>
    <row r="130" spans="1:7" s="66" customFormat="1" ht="28.5" customHeight="1">
      <c r="A130" s="226"/>
      <c r="B130" s="226"/>
      <c r="C130" s="226"/>
      <c r="D130" s="286" t="s">
        <v>36</v>
      </c>
      <c r="E130" s="287"/>
      <c r="F130" s="287">
        <v>8181</v>
      </c>
      <c r="G130" s="287"/>
    </row>
    <row r="131" spans="1:7" s="66" customFormat="1" ht="30" customHeight="1">
      <c r="A131" s="226"/>
      <c r="B131" s="226"/>
      <c r="C131" s="226"/>
      <c r="D131" s="286" t="s">
        <v>37</v>
      </c>
      <c r="E131" s="287"/>
      <c r="F131" s="287">
        <v>6030</v>
      </c>
      <c r="G131" s="287"/>
    </row>
    <row r="132" spans="1:7" s="66" customFormat="1" ht="26.25" customHeight="1">
      <c r="A132" s="226"/>
      <c r="B132" s="226"/>
      <c r="C132" s="226"/>
      <c r="D132" s="286" t="s">
        <v>38</v>
      </c>
      <c r="E132" s="287"/>
      <c r="F132" s="287">
        <v>9514</v>
      </c>
      <c r="G132" s="287"/>
    </row>
    <row r="133" spans="1:7" s="66" customFormat="1" ht="19.5" customHeight="1">
      <c r="A133" s="226"/>
      <c r="B133" s="226"/>
      <c r="C133" s="226"/>
      <c r="D133" s="286" t="s">
        <v>214</v>
      </c>
      <c r="E133" s="287"/>
      <c r="F133" s="287">
        <v>26631</v>
      </c>
      <c r="G133" s="287"/>
    </row>
    <row r="134" spans="1:7" s="66" customFormat="1" ht="19.5" customHeight="1">
      <c r="A134" s="260"/>
      <c r="B134" s="260"/>
      <c r="C134" s="288">
        <v>2540</v>
      </c>
      <c r="D134" s="223" t="s">
        <v>215</v>
      </c>
      <c r="E134" s="277"/>
      <c r="F134" s="277">
        <f>SUM(F97:F133)</f>
        <v>821250</v>
      </c>
      <c r="G134" s="277">
        <f>SUM(G97:G133)</f>
        <v>195527</v>
      </c>
    </row>
    <row r="135" spans="1:7" s="66" customFormat="1" ht="27.75" customHeight="1">
      <c r="A135" s="226"/>
      <c r="B135" s="226"/>
      <c r="C135" s="226"/>
      <c r="D135" s="454" t="s">
        <v>11</v>
      </c>
      <c r="E135" s="450"/>
      <c r="F135" s="450"/>
      <c r="G135" s="450">
        <v>156005</v>
      </c>
    </row>
    <row r="136" spans="1:7" s="66" customFormat="1" ht="27.75" customHeight="1">
      <c r="A136" s="226"/>
      <c r="B136" s="226"/>
      <c r="C136" s="226"/>
      <c r="D136" s="302" t="s">
        <v>46</v>
      </c>
      <c r="E136" s="378"/>
      <c r="F136" s="378">
        <v>7415</v>
      </c>
      <c r="G136" s="378"/>
    </row>
    <row r="137" spans="1:7" s="66" customFormat="1" ht="19.5" customHeight="1">
      <c r="A137" s="226"/>
      <c r="B137" s="226"/>
      <c r="C137" s="226"/>
      <c r="D137" s="286" t="s">
        <v>214</v>
      </c>
      <c r="E137" s="287"/>
      <c r="F137" s="287">
        <v>15000</v>
      </c>
      <c r="G137" s="287"/>
    </row>
    <row r="138" spans="1:7" s="66" customFormat="1" ht="41.25" customHeight="1">
      <c r="A138" s="226"/>
      <c r="B138" s="222"/>
      <c r="C138" s="222">
        <v>2590</v>
      </c>
      <c r="D138" s="223" t="s">
        <v>273</v>
      </c>
      <c r="E138" s="280"/>
      <c r="F138" s="280">
        <f>SUM(F135:F137)</f>
        <v>22415</v>
      </c>
      <c r="G138" s="280">
        <f>SUM(G135:G137)</f>
        <v>156005</v>
      </c>
    </row>
    <row r="139" spans="1:7" ht="19.5" customHeight="1">
      <c r="A139" s="24"/>
      <c r="B139" s="82">
        <v>80195</v>
      </c>
      <c r="C139" s="82"/>
      <c r="D139" s="32" t="s">
        <v>62</v>
      </c>
      <c r="E139" s="290"/>
      <c r="F139" s="290">
        <f>F140</f>
        <v>1348</v>
      </c>
      <c r="G139" s="290"/>
    </row>
    <row r="140" spans="1:7" s="22" customFormat="1" ht="25.5" customHeight="1">
      <c r="A140" s="28"/>
      <c r="B140" s="607"/>
      <c r="C140" s="607"/>
      <c r="D140" s="608" t="s">
        <v>190</v>
      </c>
      <c r="E140" s="609"/>
      <c r="F140" s="609">
        <f>F142</f>
        <v>1348</v>
      </c>
      <c r="G140" s="609"/>
    </row>
    <row r="141" spans="1:7" s="66" customFormat="1" ht="19.5" customHeight="1">
      <c r="A141" s="226"/>
      <c r="B141" s="226"/>
      <c r="C141" s="226"/>
      <c r="D141" s="291" t="s">
        <v>214</v>
      </c>
      <c r="E141" s="292"/>
      <c r="F141" s="292">
        <v>1348</v>
      </c>
      <c r="G141" s="292"/>
    </row>
    <row r="142" spans="1:7" s="66" customFormat="1" ht="41.25" customHeight="1">
      <c r="A142" s="222"/>
      <c r="B142" s="222"/>
      <c r="C142" s="222">
        <v>2590</v>
      </c>
      <c r="D142" s="223" t="s">
        <v>273</v>
      </c>
      <c r="E142" s="267"/>
      <c r="F142" s="267">
        <f>F141</f>
        <v>1348</v>
      </c>
      <c r="G142" s="267"/>
    </row>
    <row r="143" spans="1:7" ht="19.5" customHeight="1">
      <c r="A143" s="29">
        <v>854</v>
      </c>
      <c r="B143" s="29"/>
      <c r="C143" s="29"/>
      <c r="D143" s="29" t="s">
        <v>71</v>
      </c>
      <c r="E143" s="70"/>
      <c r="F143" s="70">
        <f>F144+F148</f>
        <v>60492</v>
      </c>
      <c r="G143" s="70"/>
    </row>
    <row r="144" spans="1:7" s="27" customFormat="1" ht="19.5" customHeight="1">
      <c r="A144" s="25"/>
      <c r="B144" s="31">
        <v>85403</v>
      </c>
      <c r="C144" s="31"/>
      <c r="D144" s="31" t="s">
        <v>178</v>
      </c>
      <c r="E144" s="305"/>
      <c r="F144" s="305">
        <f>F145</f>
        <v>41400</v>
      </c>
      <c r="G144" s="305"/>
    </row>
    <row r="145" spans="1:7" s="22" customFormat="1" ht="19.5" customHeight="1">
      <c r="A145" s="24"/>
      <c r="B145" s="24"/>
      <c r="C145" s="24"/>
      <c r="D145" s="455" t="s">
        <v>47</v>
      </c>
      <c r="E145" s="456"/>
      <c r="F145" s="456">
        <f>F147</f>
        <v>41400</v>
      </c>
      <c r="G145" s="456"/>
    </row>
    <row r="146" spans="1:7" s="66" customFormat="1" ht="26.25" customHeight="1">
      <c r="A146" s="226"/>
      <c r="B146" s="226"/>
      <c r="C146" s="226"/>
      <c r="D146" s="303" t="s">
        <v>48</v>
      </c>
      <c r="E146" s="292"/>
      <c r="F146" s="292">
        <v>41400</v>
      </c>
      <c r="G146" s="292"/>
    </row>
    <row r="147" spans="1:7" s="66" customFormat="1" ht="19.5" customHeight="1">
      <c r="A147" s="226"/>
      <c r="B147" s="222"/>
      <c r="C147" s="222">
        <v>2540</v>
      </c>
      <c r="D147" s="223" t="s">
        <v>215</v>
      </c>
      <c r="E147" s="277"/>
      <c r="F147" s="277">
        <f>F146</f>
        <v>41400</v>
      </c>
      <c r="G147" s="277"/>
    </row>
    <row r="148" spans="1:7" ht="19.5" customHeight="1">
      <c r="A148" s="24"/>
      <c r="B148" s="82">
        <v>85410</v>
      </c>
      <c r="C148" s="82"/>
      <c r="D148" s="32" t="s">
        <v>102</v>
      </c>
      <c r="E148" s="290"/>
      <c r="F148" s="290">
        <f>F149</f>
        <v>19092</v>
      </c>
      <c r="G148" s="290"/>
    </row>
    <row r="149" spans="1:7" s="22" customFormat="1" ht="19.5" customHeight="1">
      <c r="A149" s="24"/>
      <c r="B149" s="24"/>
      <c r="C149" s="24"/>
      <c r="D149" s="455" t="s">
        <v>47</v>
      </c>
      <c r="E149" s="456"/>
      <c r="F149" s="456">
        <f>F153</f>
        <v>19092</v>
      </c>
      <c r="G149" s="456"/>
    </row>
    <row r="150" spans="1:7" s="66" customFormat="1" ht="26.25" customHeight="1">
      <c r="A150" s="226"/>
      <c r="B150" s="226"/>
      <c r="C150" s="226"/>
      <c r="D150" s="303" t="s">
        <v>49</v>
      </c>
      <c r="E150" s="292"/>
      <c r="F150" s="292">
        <v>2906</v>
      </c>
      <c r="G150" s="292"/>
    </row>
    <row r="151" spans="1:7" s="66" customFormat="1" ht="26.25" customHeight="1">
      <c r="A151" s="226"/>
      <c r="B151" s="226"/>
      <c r="C151" s="226"/>
      <c r="D151" s="302" t="s">
        <v>50</v>
      </c>
      <c r="E151" s="287"/>
      <c r="F151" s="287">
        <v>5750</v>
      </c>
      <c r="G151" s="287"/>
    </row>
    <row r="152" spans="1:7" s="66" customFormat="1" ht="26.25" customHeight="1">
      <c r="A152" s="226"/>
      <c r="B152" s="226"/>
      <c r="C152" s="226"/>
      <c r="D152" s="302" t="s">
        <v>51</v>
      </c>
      <c r="E152" s="287"/>
      <c r="F152" s="287">
        <v>10436</v>
      </c>
      <c r="G152" s="287"/>
    </row>
    <row r="153" spans="1:7" s="66" customFormat="1" ht="19.5" customHeight="1">
      <c r="A153" s="226"/>
      <c r="B153" s="226"/>
      <c r="C153" s="222">
        <v>2540</v>
      </c>
      <c r="D153" s="223" t="s">
        <v>215</v>
      </c>
      <c r="E153" s="277"/>
      <c r="F153" s="277">
        <f>SUM(F150:F152)</f>
        <v>19092</v>
      </c>
      <c r="G153" s="277"/>
    </row>
    <row r="154" spans="1:8" ht="23.25" customHeight="1">
      <c r="A154" s="259"/>
      <c r="B154" s="259"/>
      <c r="C154" s="260"/>
      <c r="D154" s="257" t="s">
        <v>3</v>
      </c>
      <c r="E154" s="258"/>
      <c r="F154" s="258">
        <f>F155</f>
        <v>2745000</v>
      </c>
      <c r="G154" s="258">
        <f>G155</f>
        <v>725000</v>
      </c>
      <c r="H154" s="47"/>
    </row>
    <row r="155" spans="1:7" s="66" customFormat="1" ht="18.75" customHeight="1" thickBot="1">
      <c r="A155" s="288"/>
      <c r="B155" s="288"/>
      <c r="C155" s="288"/>
      <c r="D155" s="262" t="s">
        <v>85</v>
      </c>
      <c r="E155" s="263"/>
      <c r="F155" s="263">
        <f>F156+F163+F172+F177</f>
        <v>2745000</v>
      </c>
      <c r="G155" s="263">
        <f>G156+G163+G172+G177</f>
        <v>725000</v>
      </c>
    </row>
    <row r="156" spans="1:7" ht="18.75" customHeight="1" thickTop="1">
      <c r="A156" s="29">
        <v>700</v>
      </c>
      <c r="B156" s="29"/>
      <c r="C156" s="29"/>
      <c r="D156" s="29" t="s">
        <v>117</v>
      </c>
      <c r="E156" s="70"/>
      <c r="F156" s="70"/>
      <c r="G156" s="70">
        <f>G157</f>
        <v>480000</v>
      </c>
    </row>
    <row r="157" spans="1:7" ht="18.75" customHeight="1">
      <c r="A157" s="24"/>
      <c r="B157" s="26">
        <v>70001</v>
      </c>
      <c r="C157" s="26"/>
      <c r="D157" s="31" t="s">
        <v>184</v>
      </c>
      <c r="E157" s="264"/>
      <c r="F157" s="264"/>
      <c r="G157" s="264">
        <f>G158</f>
        <v>480000</v>
      </c>
    </row>
    <row r="158" spans="1:7" ht="18.75" customHeight="1">
      <c r="A158" s="24"/>
      <c r="B158" s="24"/>
      <c r="C158" s="24"/>
      <c r="D158" s="121" t="s">
        <v>185</v>
      </c>
      <c r="E158" s="265"/>
      <c r="F158" s="265"/>
      <c r="G158" s="265">
        <f>G162</f>
        <v>480000</v>
      </c>
    </row>
    <row r="159" spans="1:7" ht="18.75" customHeight="1">
      <c r="A159" s="24"/>
      <c r="B159" s="24"/>
      <c r="C159" s="226"/>
      <c r="D159" s="301" t="s">
        <v>187</v>
      </c>
      <c r="E159" s="464"/>
      <c r="F159" s="464"/>
      <c r="G159" s="464">
        <v>230000</v>
      </c>
    </row>
    <row r="160" spans="1:7" ht="18.75" customHeight="1">
      <c r="A160" s="24"/>
      <c r="B160" s="24"/>
      <c r="C160" s="226"/>
      <c r="D160" s="304" t="s">
        <v>388</v>
      </c>
      <c r="E160" s="472"/>
      <c r="F160" s="472"/>
      <c r="G160" s="472">
        <v>200000</v>
      </c>
    </row>
    <row r="161" spans="1:7" ht="18.75" customHeight="1">
      <c r="A161" s="24"/>
      <c r="B161" s="24"/>
      <c r="C161" s="226"/>
      <c r="D161" s="302" t="s">
        <v>389</v>
      </c>
      <c r="E161" s="448"/>
      <c r="F161" s="448"/>
      <c r="G161" s="448">
        <v>50000</v>
      </c>
    </row>
    <row r="162" spans="1:7" ht="18.75" customHeight="1">
      <c r="A162" s="28"/>
      <c r="B162" s="28"/>
      <c r="C162" s="222">
        <v>2650</v>
      </c>
      <c r="D162" s="223" t="s">
        <v>53</v>
      </c>
      <c r="E162" s="267"/>
      <c r="F162" s="267"/>
      <c r="G162" s="267">
        <f>SUM(G159:G161)</f>
        <v>480000</v>
      </c>
    </row>
    <row r="163" spans="1:7" ht="18.75" customHeight="1">
      <c r="A163" s="29">
        <v>851</v>
      </c>
      <c r="B163" s="29"/>
      <c r="C163" s="29"/>
      <c r="D163" s="29" t="s">
        <v>179</v>
      </c>
      <c r="E163" s="70"/>
      <c r="F163" s="70">
        <f>F164+F168</f>
        <v>2745000</v>
      </c>
      <c r="G163" s="70"/>
    </row>
    <row r="164" spans="1:7" ht="18.75" customHeight="1">
      <c r="A164" s="24"/>
      <c r="B164" s="26">
        <v>85121</v>
      </c>
      <c r="C164" s="82"/>
      <c r="D164" s="31" t="s">
        <v>180</v>
      </c>
      <c r="E164" s="264"/>
      <c r="F164" s="264">
        <f>F165</f>
        <v>2545000</v>
      </c>
      <c r="G164" s="264"/>
    </row>
    <row r="165" spans="1:7" ht="25.5" customHeight="1">
      <c r="A165" s="24"/>
      <c r="B165" s="24"/>
      <c r="C165" s="212"/>
      <c r="D165" s="121" t="s">
        <v>181</v>
      </c>
      <c r="E165" s="265"/>
      <c r="F165" s="265">
        <f>F166</f>
        <v>2545000</v>
      </c>
      <c r="G165" s="265"/>
    </row>
    <row r="166" spans="1:7" ht="25.5" customHeight="1">
      <c r="A166" s="24"/>
      <c r="B166" s="24"/>
      <c r="C166" s="226">
        <v>4160</v>
      </c>
      <c r="D166" s="304" t="s">
        <v>287</v>
      </c>
      <c r="E166" s="610"/>
      <c r="F166" s="610">
        <f>1545000+1000000</f>
        <v>2545000</v>
      </c>
      <c r="G166" s="610"/>
    </row>
    <row r="167" spans="1:7" ht="25.5" customHeight="1">
      <c r="A167" s="110"/>
      <c r="B167" s="110"/>
      <c r="C167" s="586"/>
      <c r="D167" s="603"/>
      <c r="E167" s="611"/>
      <c r="F167" s="611"/>
      <c r="G167" s="611"/>
    </row>
    <row r="168" spans="1:7" ht="18.75" customHeight="1">
      <c r="A168" s="24"/>
      <c r="B168" s="31">
        <v>85154</v>
      </c>
      <c r="C168" s="82"/>
      <c r="D168" s="31" t="s">
        <v>377</v>
      </c>
      <c r="E168" s="305"/>
      <c r="F168" s="305">
        <f>F169</f>
        <v>200000</v>
      </c>
      <c r="G168" s="305"/>
    </row>
    <row r="169" spans="1:7" ht="25.5" customHeight="1">
      <c r="A169" s="24"/>
      <c r="B169" s="24"/>
      <c r="C169" s="212"/>
      <c r="D169" s="121" t="s">
        <v>378</v>
      </c>
      <c r="E169" s="265"/>
      <c r="F169" s="265">
        <f>F170</f>
        <v>200000</v>
      </c>
      <c r="G169" s="265"/>
    </row>
    <row r="170" spans="1:7" ht="25.5" customHeight="1">
      <c r="A170" s="24"/>
      <c r="B170" s="24"/>
      <c r="C170" s="191"/>
      <c r="D170" s="560" t="s">
        <v>390</v>
      </c>
      <c r="E170" s="569"/>
      <c r="F170" s="569">
        <f>F171</f>
        <v>200000</v>
      </c>
      <c r="G170" s="569"/>
    </row>
    <row r="171" spans="1:7" ht="18.75" customHeight="1">
      <c r="A171" s="28"/>
      <c r="B171" s="28"/>
      <c r="C171" s="222">
        <v>4300</v>
      </c>
      <c r="D171" s="223" t="s">
        <v>203</v>
      </c>
      <c r="E171" s="293"/>
      <c r="F171" s="293">
        <v>200000</v>
      </c>
      <c r="G171" s="293"/>
    </row>
    <row r="172" spans="1:7" ht="18.75" customHeight="1">
      <c r="A172" s="29">
        <v>852</v>
      </c>
      <c r="B172" s="29"/>
      <c r="C172" s="29"/>
      <c r="D172" s="29" t="s">
        <v>70</v>
      </c>
      <c r="E172" s="70"/>
      <c r="F172" s="70"/>
      <c r="G172" s="70">
        <f>G173</f>
        <v>200000</v>
      </c>
    </row>
    <row r="173" spans="1:7" ht="18.75" customHeight="1">
      <c r="A173" s="24"/>
      <c r="B173" s="26">
        <v>85232</v>
      </c>
      <c r="C173" s="82"/>
      <c r="D173" s="31" t="s">
        <v>383</v>
      </c>
      <c r="E173" s="264"/>
      <c r="F173" s="264"/>
      <c r="G173" s="264">
        <f>G174</f>
        <v>200000</v>
      </c>
    </row>
    <row r="174" spans="1:7" ht="18.75" customHeight="1">
      <c r="A174" s="24"/>
      <c r="B174" s="24"/>
      <c r="C174" s="212"/>
      <c r="D174" s="121" t="s">
        <v>400</v>
      </c>
      <c r="E174" s="265"/>
      <c r="F174" s="265"/>
      <c r="G174" s="265">
        <f>G176</f>
        <v>200000</v>
      </c>
    </row>
    <row r="175" spans="1:7" ht="18.75" customHeight="1">
      <c r="A175" s="24"/>
      <c r="B175" s="24"/>
      <c r="C175" s="226"/>
      <c r="D175" s="301" t="s">
        <v>384</v>
      </c>
      <c r="E175" s="464"/>
      <c r="F175" s="464"/>
      <c r="G175" s="464">
        <v>15000</v>
      </c>
    </row>
    <row r="176" spans="1:7" ht="18.75" customHeight="1">
      <c r="A176" s="28"/>
      <c r="B176" s="28"/>
      <c r="C176" s="222">
        <v>2660</v>
      </c>
      <c r="D176" s="223" t="s">
        <v>380</v>
      </c>
      <c r="E176" s="568"/>
      <c r="F176" s="267"/>
      <c r="G176" s="267">
        <v>200000</v>
      </c>
    </row>
    <row r="177" spans="1:7" ht="19.5" customHeight="1">
      <c r="A177" s="29">
        <v>921</v>
      </c>
      <c r="B177" s="29"/>
      <c r="C177" s="29"/>
      <c r="D177" s="271" t="s">
        <v>135</v>
      </c>
      <c r="E177" s="296"/>
      <c r="F177" s="296"/>
      <c r="G177" s="468">
        <f>G178</f>
        <v>45000</v>
      </c>
    </row>
    <row r="178" spans="1:7" ht="18.75" customHeight="1">
      <c r="A178" s="24"/>
      <c r="B178" s="31">
        <v>92116</v>
      </c>
      <c r="C178" s="31"/>
      <c r="D178" s="26" t="s">
        <v>182</v>
      </c>
      <c r="E178" s="264"/>
      <c r="F178" s="264"/>
      <c r="G178" s="264">
        <f>G179</f>
        <v>45000</v>
      </c>
    </row>
    <row r="179" spans="1:7" ht="18.75" customHeight="1">
      <c r="A179" s="24"/>
      <c r="B179" s="80"/>
      <c r="C179" s="80"/>
      <c r="D179" s="121" t="s">
        <v>183</v>
      </c>
      <c r="E179" s="265"/>
      <c r="F179" s="265"/>
      <c r="G179" s="265">
        <f>G180</f>
        <v>45000</v>
      </c>
    </row>
    <row r="180" spans="1:7" ht="18.75" customHeight="1">
      <c r="A180" s="24"/>
      <c r="B180" s="226"/>
      <c r="C180" s="222">
        <v>2480</v>
      </c>
      <c r="D180" s="223" t="s">
        <v>297</v>
      </c>
      <c r="E180" s="267"/>
      <c r="F180" s="267"/>
      <c r="G180" s="267">
        <v>45000</v>
      </c>
    </row>
    <row r="181" spans="1:8" ht="21.75" customHeight="1">
      <c r="A181" s="259"/>
      <c r="B181" s="259"/>
      <c r="C181" s="260"/>
      <c r="D181" s="257" t="s">
        <v>375</v>
      </c>
      <c r="E181" s="258"/>
      <c r="F181" s="258">
        <f>F182</f>
        <v>5030000</v>
      </c>
      <c r="G181" s="258">
        <f>G182</f>
        <v>3340000</v>
      </c>
      <c r="H181" s="47">
        <f>G181-F181</f>
        <v>-1690000</v>
      </c>
    </row>
    <row r="182" spans="1:7" ht="16.5" customHeight="1" thickBot="1">
      <c r="A182" s="279"/>
      <c r="B182" s="279"/>
      <c r="C182" s="279"/>
      <c r="D182" s="262" t="s">
        <v>85</v>
      </c>
      <c r="E182" s="263"/>
      <c r="F182" s="263">
        <f>F183+F193+F198+F203+F213+F222</f>
        <v>5030000</v>
      </c>
      <c r="G182" s="263">
        <f>G183+G193+G198+G203+G213+G222</f>
        <v>3340000</v>
      </c>
    </row>
    <row r="183" spans="1:7" ht="19.5" customHeight="1" thickTop="1">
      <c r="A183" s="29">
        <v>600</v>
      </c>
      <c r="B183" s="29"/>
      <c r="C183" s="29"/>
      <c r="D183" s="29" t="s">
        <v>111</v>
      </c>
      <c r="E183" s="29"/>
      <c r="F183" s="276">
        <f>F184+F189</f>
        <v>1090000</v>
      </c>
      <c r="G183" s="276"/>
    </row>
    <row r="184" spans="1:7" ht="19.5" customHeight="1">
      <c r="A184" s="24"/>
      <c r="B184" s="26">
        <v>60015</v>
      </c>
      <c r="C184" s="26"/>
      <c r="D184" s="26" t="s">
        <v>112</v>
      </c>
      <c r="E184" s="26"/>
      <c r="F184" s="274">
        <f>F185</f>
        <v>990000</v>
      </c>
      <c r="G184" s="274"/>
    </row>
    <row r="185" spans="1:7" ht="19.5" customHeight="1">
      <c r="A185" s="260"/>
      <c r="B185" s="260"/>
      <c r="C185" s="24"/>
      <c r="D185" s="121" t="s">
        <v>206</v>
      </c>
      <c r="E185" s="121"/>
      <c r="F185" s="265">
        <f>F188</f>
        <v>990000</v>
      </c>
      <c r="G185" s="265"/>
    </row>
    <row r="186" spans="1:7" ht="19.5" customHeight="1">
      <c r="A186" s="260"/>
      <c r="B186" s="260"/>
      <c r="C186" s="260"/>
      <c r="D186" s="308" t="s">
        <v>151</v>
      </c>
      <c r="E186" s="308"/>
      <c r="F186" s="309">
        <v>190000</v>
      </c>
      <c r="G186" s="309"/>
    </row>
    <row r="187" spans="1:7" ht="19.5" customHeight="1">
      <c r="A187" s="260"/>
      <c r="B187" s="260"/>
      <c r="C187" s="260"/>
      <c r="D187" s="286" t="s">
        <v>156</v>
      </c>
      <c r="E187" s="286"/>
      <c r="F187" s="310">
        <v>800000</v>
      </c>
      <c r="G187" s="310"/>
    </row>
    <row r="188" spans="1:7" ht="19.5" customHeight="1">
      <c r="A188" s="260"/>
      <c r="B188" s="288"/>
      <c r="C188" s="288">
        <v>6050</v>
      </c>
      <c r="D188" s="288" t="s">
        <v>207</v>
      </c>
      <c r="E188" s="288"/>
      <c r="F188" s="311">
        <f>SUM(F186:F187)</f>
        <v>990000</v>
      </c>
      <c r="G188" s="311"/>
    </row>
    <row r="189" spans="1:7" ht="19.5" customHeight="1">
      <c r="A189" s="24"/>
      <c r="B189" s="82">
        <v>60017</v>
      </c>
      <c r="C189" s="82"/>
      <c r="D189" s="32" t="s">
        <v>381</v>
      </c>
      <c r="E189" s="264"/>
      <c r="F189" s="264">
        <f>F190</f>
        <v>100000</v>
      </c>
      <c r="G189" s="264"/>
    </row>
    <row r="190" spans="1:7" ht="19.5" customHeight="1">
      <c r="A190" s="24"/>
      <c r="B190" s="24"/>
      <c r="C190" s="24"/>
      <c r="D190" s="121" t="s">
        <v>206</v>
      </c>
      <c r="E190" s="265"/>
      <c r="F190" s="265">
        <f>F192</f>
        <v>100000</v>
      </c>
      <c r="G190" s="265"/>
    </row>
    <row r="191" spans="1:7" ht="19.5" customHeight="1">
      <c r="A191" s="24"/>
      <c r="B191" s="24"/>
      <c r="C191" s="260"/>
      <c r="D191" s="284" t="s">
        <v>382</v>
      </c>
      <c r="E191" s="285"/>
      <c r="F191" s="285">
        <v>100000</v>
      </c>
      <c r="G191" s="285"/>
    </row>
    <row r="192" spans="1:7" ht="19.5" customHeight="1">
      <c r="A192" s="24"/>
      <c r="B192" s="28"/>
      <c r="C192" s="288">
        <v>6050</v>
      </c>
      <c r="D192" s="288" t="s">
        <v>207</v>
      </c>
      <c r="E192" s="185"/>
      <c r="F192" s="185">
        <f>F191</f>
        <v>100000</v>
      </c>
      <c r="G192" s="185"/>
    </row>
    <row r="193" spans="1:7" ht="19.5" customHeight="1">
      <c r="A193" s="123">
        <v>700</v>
      </c>
      <c r="B193" s="123"/>
      <c r="C193" s="123"/>
      <c r="D193" s="123" t="s">
        <v>117</v>
      </c>
      <c r="E193" s="70"/>
      <c r="F193" s="70"/>
      <c r="G193" s="70">
        <f>G194</f>
        <v>1000000</v>
      </c>
    </row>
    <row r="194" spans="1:7" ht="19.5" customHeight="1">
      <c r="A194" s="24"/>
      <c r="B194" s="82">
        <v>70095</v>
      </c>
      <c r="C194" s="82"/>
      <c r="D194" s="32" t="s">
        <v>62</v>
      </c>
      <c r="E194" s="264"/>
      <c r="F194" s="264"/>
      <c r="G194" s="264">
        <f>G195</f>
        <v>1000000</v>
      </c>
    </row>
    <row r="195" spans="1:7" ht="19.5" customHeight="1">
      <c r="A195" s="24"/>
      <c r="B195" s="24"/>
      <c r="C195" s="24"/>
      <c r="D195" s="121" t="s">
        <v>108</v>
      </c>
      <c r="E195" s="265"/>
      <c r="F195" s="265"/>
      <c r="G195" s="265">
        <f>G197</f>
        <v>1000000</v>
      </c>
    </row>
    <row r="196" spans="1:7" ht="19.5" customHeight="1">
      <c r="A196" s="24"/>
      <c r="B196" s="24"/>
      <c r="C196" s="260"/>
      <c r="D196" s="284" t="s">
        <v>374</v>
      </c>
      <c r="E196" s="285"/>
      <c r="F196" s="285"/>
      <c r="G196" s="285">
        <v>1000000</v>
      </c>
    </row>
    <row r="197" spans="1:7" ht="19.5" customHeight="1">
      <c r="A197" s="28"/>
      <c r="B197" s="28"/>
      <c r="C197" s="222">
        <v>6050</v>
      </c>
      <c r="D197" s="222" t="s">
        <v>207</v>
      </c>
      <c r="E197" s="185"/>
      <c r="F197" s="185"/>
      <c r="G197" s="185">
        <f>G196</f>
        <v>1000000</v>
      </c>
    </row>
    <row r="198" spans="1:7" ht="19.5" customHeight="1">
      <c r="A198" s="123">
        <v>852</v>
      </c>
      <c r="B198" s="123"/>
      <c r="C198" s="123"/>
      <c r="D198" s="123" t="s">
        <v>70</v>
      </c>
      <c r="E198" s="70"/>
      <c r="F198" s="70"/>
      <c r="G198" s="70">
        <f>G199</f>
        <v>50000</v>
      </c>
    </row>
    <row r="199" spans="1:7" ht="19.5" customHeight="1">
      <c r="A199" s="24"/>
      <c r="B199" s="82">
        <v>85202</v>
      </c>
      <c r="C199" s="82"/>
      <c r="D199" s="32" t="s">
        <v>143</v>
      </c>
      <c r="E199" s="264"/>
      <c r="F199" s="264"/>
      <c r="G199" s="264">
        <f>G200</f>
        <v>50000</v>
      </c>
    </row>
    <row r="200" spans="1:7" ht="19.5" customHeight="1">
      <c r="A200" s="24"/>
      <c r="B200" s="24"/>
      <c r="C200" s="24"/>
      <c r="D200" s="121" t="s">
        <v>206</v>
      </c>
      <c r="E200" s="265"/>
      <c r="F200" s="265"/>
      <c r="G200" s="265">
        <f>G202</f>
        <v>50000</v>
      </c>
    </row>
    <row r="201" spans="1:7" ht="19.5" customHeight="1">
      <c r="A201" s="24"/>
      <c r="B201" s="24"/>
      <c r="C201" s="260"/>
      <c r="D201" s="284" t="s">
        <v>289</v>
      </c>
      <c r="E201" s="285"/>
      <c r="F201" s="285"/>
      <c r="G201" s="285">
        <v>50000</v>
      </c>
    </row>
    <row r="202" spans="1:7" ht="19.5" customHeight="1">
      <c r="A202" s="24"/>
      <c r="B202" s="28"/>
      <c r="C202" s="222">
        <v>6050</v>
      </c>
      <c r="D202" s="222" t="s">
        <v>207</v>
      </c>
      <c r="E202" s="185"/>
      <c r="F202" s="185"/>
      <c r="G202" s="185">
        <f>G201</f>
        <v>50000</v>
      </c>
    </row>
    <row r="203" spans="1:7" ht="18.75" customHeight="1">
      <c r="A203" s="123">
        <v>900</v>
      </c>
      <c r="B203" s="123"/>
      <c r="C203" s="123"/>
      <c r="D203" s="123" t="s">
        <v>205</v>
      </c>
      <c r="E203" s="70"/>
      <c r="F203" s="70">
        <f>F204+F208</f>
        <v>3500000</v>
      </c>
      <c r="G203" s="70">
        <f>G204+G208</f>
        <v>2150000</v>
      </c>
    </row>
    <row r="204" spans="1:7" ht="18.75" customHeight="1">
      <c r="A204" s="24"/>
      <c r="B204" s="26">
        <v>90002</v>
      </c>
      <c r="C204" s="26"/>
      <c r="D204" s="26" t="s">
        <v>150</v>
      </c>
      <c r="E204" s="264"/>
      <c r="F204" s="264">
        <f>F205</f>
        <v>3500000</v>
      </c>
      <c r="G204" s="264"/>
    </row>
    <row r="205" spans="1:7" ht="18.75" customHeight="1">
      <c r="A205" s="24"/>
      <c r="B205" s="24"/>
      <c r="C205" s="24"/>
      <c r="D205" s="121" t="s">
        <v>206</v>
      </c>
      <c r="E205" s="265"/>
      <c r="F205" s="265">
        <f>F207</f>
        <v>3500000</v>
      </c>
      <c r="G205" s="265"/>
    </row>
    <row r="206" spans="1:7" ht="18.75" customHeight="1">
      <c r="A206" s="24"/>
      <c r="B206" s="260"/>
      <c r="C206" s="260"/>
      <c r="D206" s="301" t="s">
        <v>292</v>
      </c>
      <c r="E206" s="292"/>
      <c r="F206" s="312">
        <v>3500000</v>
      </c>
      <c r="G206" s="312"/>
    </row>
    <row r="207" spans="1:7" ht="18.75" customHeight="1">
      <c r="A207" s="24"/>
      <c r="B207" s="288"/>
      <c r="C207" s="288">
        <v>6050</v>
      </c>
      <c r="D207" s="288" t="s">
        <v>207</v>
      </c>
      <c r="E207" s="289"/>
      <c r="F207" s="311">
        <f>F206</f>
        <v>3500000</v>
      </c>
      <c r="G207" s="311"/>
    </row>
    <row r="208" spans="1:7" ht="18.75" customHeight="1">
      <c r="A208" s="24"/>
      <c r="B208" s="26">
        <v>90095</v>
      </c>
      <c r="C208" s="26"/>
      <c r="D208" s="26" t="s">
        <v>62</v>
      </c>
      <c r="E208" s="264"/>
      <c r="F208" s="264"/>
      <c r="G208" s="264">
        <f>G209</f>
        <v>2150000</v>
      </c>
    </row>
    <row r="209" spans="1:7" ht="18.75" customHeight="1">
      <c r="A209" s="24"/>
      <c r="B209" s="24"/>
      <c r="C209" s="24"/>
      <c r="D209" s="121" t="s">
        <v>206</v>
      </c>
      <c r="E209" s="265"/>
      <c r="F209" s="265"/>
      <c r="G209" s="265">
        <f>G212</f>
        <v>2150000</v>
      </c>
    </row>
    <row r="210" spans="1:7" s="66" customFormat="1" ht="18.75" customHeight="1">
      <c r="A210" s="226"/>
      <c r="B210" s="226"/>
      <c r="C210" s="226"/>
      <c r="D210" s="301" t="s">
        <v>293</v>
      </c>
      <c r="E210" s="285"/>
      <c r="F210" s="285"/>
      <c r="G210" s="285">
        <v>800000</v>
      </c>
    </row>
    <row r="211" spans="1:7" ht="20.25" customHeight="1">
      <c r="A211" s="24"/>
      <c r="B211" s="260"/>
      <c r="C211" s="260"/>
      <c r="D211" s="291" t="s">
        <v>219</v>
      </c>
      <c r="E211" s="292"/>
      <c r="F211" s="310"/>
      <c r="G211" s="310">
        <f>350000+1000000</f>
        <v>1350000</v>
      </c>
    </row>
    <row r="212" spans="1:7" ht="18.75" customHeight="1">
      <c r="A212" s="28"/>
      <c r="B212" s="288"/>
      <c r="C212" s="288">
        <v>6050</v>
      </c>
      <c r="D212" s="288" t="s">
        <v>207</v>
      </c>
      <c r="E212" s="289"/>
      <c r="F212" s="311"/>
      <c r="G212" s="311">
        <f>SUM(G210:G211)</f>
        <v>2150000</v>
      </c>
    </row>
    <row r="213" spans="1:7" ht="18.75" customHeight="1">
      <c r="A213" s="29">
        <v>921</v>
      </c>
      <c r="B213" s="29"/>
      <c r="C213" s="29"/>
      <c r="D213" s="271" t="s">
        <v>135</v>
      </c>
      <c r="E213" s="296"/>
      <c r="F213" s="296">
        <f>F214+F217</f>
        <v>440000</v>
      </c>
      <c r="G213" s="306">
        <f>G214+G217</f>
        <v>40000</v>
      </c>
    </row>
    <row r="214" spans="1:7" ht="18.75" customHeight="1">
      <c r="A214" s="24"/>
      <c r="B214" s="26">
        <v>92113</v>
      </c>
      <c r="C214" s="26"/>
      <c r="D214" s="26" t="s">
        <v>149</v>
      </c>
      <c r="E214" s="264"/>
      <c r="F214" s="264">
        <f>F215</f>
        <v>90000</v>
      </c>
      <c r="G214" s="264"/>
    </row>
    <row r="215" spans="1:7" ht="27.75" customHeight="1">
      <c r="A215" s="24"/>
      <c r="B215" s="24"/>
      <c r="C215" s="24"/>
      <c r="D215" s="121" t="s">
        <v>220</v>
      </c>
      <c r="E215" s="265"/>
      <c r="F215" s="265">
        <f>F216</f>
        <v>90000</v>
      </c>
      <c r="G215" s="265"/>
    </row>
    <row r="216" spans="1:7" ht="18.75" customHeight="1">
      <c r="A216" s="260"/>
      <c r="B216" s="288"/>
      <c r="C216" s="288">
        <v>6050</v>
      </c>
      <c r="D216" s="288" t="s">
        <v>207</v>
      </c>
      <c r="E216" s="289"/>
      <c r="F216" s="289">
        <v>90000</v>
      </c>
      <c r="G216" s="289"/>
    </row>
    <row r="217" spans="1:7" ht="18.75" customHeight="1">
      <c r="A217" s="24"/>
      <c r="B217" s="31">
        <v>92120</v>
      </c>
      <c r="C217" s="31"/>
      <c r="D217" s="207" t="s">
        <v>157</v>
      </c>
      <c r="E217" s="264"/>
      <c r="F217" s="264">
        <f>F218+F220</f>
        <v>350000</v>
      </c>
      <c r="G217" s="264">
        <f>G218+G220</f>
        <v>40000</v>
      </c>
    </row>
    <row r="218" spans="1:7" s="22" customFormat="1" ht="18.75" customHeight="1">
      <c r="A218" s="259"/>
      <c r="B218" s="259"/>
      <c r="C218" s="80"/>
      <c r="D218" s="121" t="s">
        <v>158</v>
      </c>
      <c r="E218" s="265"/>
      <c r="F218" s="265">
        <f>F219</f>
        <v>350000</v>
      </c>
      <c r="G218" s="265"/>
    </row>
    <row r="219" spans="1:7" ht="18.75" customHeight="1">
      <c r="A219" s="260"/>
      <c r="B219" s="260"/>
      <c r="C219" s="222">
        <v>4270</v>
      </c>
      <c r="D219" s="223" t="s">
        <v>298</v>
      </c>
      <c r="E219" s="289"/>
      <c r="F219" s="289">
        <v>350000</v>
      </c>
      <c r="G219" s="289"/>
    </row>
    <row r="220" spans="1:7" s="22" customFormat="1" ht="18.75" customHeight="1">
      <c r="A220" s="24"/>
      <c r="B220" s="24"/>
      <c r="C220" s="24"/>
      <c r="D220" s="121" t="s">
        <v>159</v>
      </c>
      <c r="E220" s="456"/>
      <c r="F220" s="456"/>
      <c r="G220" s="456">
        <f>G221</f>
        <v>40000</v>
      </c>
    </row>
    <row r="221" spans="1:7" ht="18.75" customHeight="1">
      <c r="A221" s="288"/>
      <c r="B221" s="288"/>
      <c r="C221" s="222">
        <v>4270</v>
      </c>
      <c r="D221" s="223" t="s">
        <v>296</v>
      </c>
      <c r="E221" s="289"/>
      <c r="F221" s="289"/>
      <c r="G221" s="289">
        <v>40000</v>
      </c>
    </row>
    <row r="222" spans="1:7" ht="19.5" customHeight="1">
      <c r="A222" s="29">
        <v>926</v>
      </c>
      <c r="B222" s="29"/>
      <c r="C222" s="29"/>
      <c r="D222" s="29" t="s">
        <v>385</v>
      </c>
      <c r="E222" s="29"/>
      <c r="F222" s="276"/>
      <c r="G222" s="276">
        <f>G223</f>
        <v>100000</v>
      </c>
    </row>
    <row r="223" spans="1:7" ht="19.5" customHeight="1">
      <c r="A223" s="24"/>
      <c r="B223" s="26">
        <v>92604</v>
      </c>
      <c r="C223" s="26"/>
      <c r="D223" s="26" t="s">
        <v>386</v>
      </c>
      <c r="E223" s="26"/>
      <c r="F223" s="274"/>
      <c r="G223" s="274">
        <f>G224</f>
        <v>100000</v>
      </c>
    </row>
    <row r="224" spans="1:7" ht="19.5" customHeight="1">
      <c r="A224" s="260"/>
      <c r="B224" s="260"/>
      <c r="C224" s="24"/>
      <c r="D224" s="121" t="s">
        <v>387</v>
      </c>
      <c r="E224" s="121"/>
      <c r="F224" s="265"/>
      <c r="G224" s="265">
        <f>G225</f>
        <v>100000</v>
      </c>
    </row>
    <row r="225" spans="1:7" ht="19.5" customHeight="1">
      <c r="A225" s="260"/>
      <c r="B225" s="260"/>
      <c r="C225" s="260"/>
      <c r="D225" s="308" t="s">
        <v>206</v>
      </c>
      <c r="E225" s="308"/>
      <c r="F225" s="629"/>
      <c r="G225" s="629">
        <f>G227</f>
        <v>100000</v>
      </c>
    </row>
    <row r="226" spans="1:7" ht="19.5" customHeight="1">
      <c r="A226" s="260"/>
      <c r="B226" s="260"/>
      <c r="C226" s="260"/>
      <c r="D226" s="286" t="s">
        <v>382</v>
      </c>
      <c r="E226" s="286"/>
      <c r="F226" s="572"/>
      <c r="G226" s="572">
        <v>100000</v>
      </c>
    </row>
    <row r="227" spans="1:7" s="22" customFormat="1" ht="27" customHeight="1">
      <c r="A227" s="288"/>
      <c r="B227" s="288"/>
      <c r="C227" s="288">
        <v>6210</v>
      </c>
      <c r="D227" s="223" t="s">
        <v>391</v>
      </c>
      <c r="E227" s="275"/>
      <c r="F227" s="289"/>
      <c r="G227" s="289">
        <f>G226</f>
        <v>100000</v>
      </c>
    </row>
    <row r="228" spans="1:8" ht="28.5" customHeight="1">
      <c r="A228" s="259"/>
      <c r="B228" s="259"/>
      <c r="C228" s="260"/>
      <c r="D228" s="257" t="s">
        <v>223</v>
      </c>
      <c r="E228" s="258"/>
      <c r="F228" s="258">
        <f>F229+F240</f>
        <v>107000</v>
      </c>
      <c r="G228" s="258">
        <f>G229+G240</f>
        <v>107000</v>
      </c>
      <c r="H228" s="47"/>
    </row>
    <row r="229" spans="1:7" ht="17.25" customHeight="1" thickBot="1">
      <c r="A229" s="261"/>
      <c r="B229" s="261"/>
      <c r="C229" s="313"/>
      <c r="D229" s="270" t="s">
        <v>85</v>
      </c>
      <c r="E229" s="314"/>
      <c r="F229" s="314"/>
      <c r="G229" s="314">
        <f>G230</f>
        <v>107000</v>
      </c>
    </row>
    <row r="230" spans="1:7" ht="18.75" customHeight="1" thickTop="1">
      <c r="A230" s="271">
        <v>852</v>
      </c>
      <c r="B230" s="271"/>
      <c r="C230" s="271"/>
      <c r="D230" s="271" t="s">
        <v>70</v>
      </c>
      <c r="E230" s="34"/>
      <c r="F230" s="34"/>
      <c r="G230" s="470">
        <f>G231</f>
        <v>107000</v>
      </c>
    </row>
    <row r="231" spans="1:7" ht="18.75" customHeight="1">
      <c r="A231" s="24"/>
      <c r="B231" s="82">
        <v>85201</v>
      </c>
      <c r="C231" s="82"/>
      <c r="D231" s="31" t="s">
        <v>160</v>
      </c>
      <c r="E231" s="200"/>
      <c r="F231" s="200"/>
      <c r="G231" s="200">
        <f>G232+G234+G238</f>
        <v>107000</v>
      </c>
    </row>
    <row r="232" spans="1:7" ht="18.75" customHeight="1">
      <c r="A232" s="24"/>
      <c r="B232" s="118"/>
      <c r="C232" s="118"/>
      <c r="D232" s="121" t="s">
        <v>113</v>
      </c>
      <c r="E232" s="211"/>
      <c r="F232" s="211"/>
      <c r="G232" s="211">
        <f>G233</f>
        <v>60000</v>
      </c>
    </row>
    <row r="233" spans="1:7" ht="18.75" customHeight="1">
      <c r="A233" s="24"/>
      <c r="B233" s="173"/>
      <c r="C233" s="88">
        <v>4010</v>
      </c>
      <c r="D233" s="223" t="s">
        <v>208</v>
      </c>
      <c r="E233" s="275"/>
      <c r="F233" s="275"/>
      <c r="G233" s="275">
        <v>60000</v>
      </c>
    </row>
    <row r="234" spans="1:7" ht="18.75" customHeight="1">
      <c r="A234" s="24"/>
      <c r="B234" s="208"/>
      <c r="C234" s="208"/>
      <c r="D234" s="121" t="s">
        <v>163</v>
      </c>
      <c r="E234" s="211"/>
      <c r="F234" s="211"/>
      <c r="G234" s="211">
        <f>SUM(G235:G237)</f>
        <v>37000</v>
      </c>
    </row>
    <row r="235" spans="1:7" ht="18.75" customHeight="1">
      <c r="A235" s="24"/>
      <c r="B235" s="173"/>
      <c r="C235" s="173">
        <v>4210</v>
      </c>
      <c r="D235" s="222" t="s">
        <v>176</v>
      </c>
      <c r="E235" s="280"/>
      <c r="F235" s="280"/>
      <c r="G235" s="280">
        <v>15000</v>
      </c>
    </row>
    <row r="236" spans="1:7" ht="18.75" customHeight="1">
      <c r="A236" s="24"/>
      <c r="B236" s="173"/>
      <c r="C236" s="358">
        <v>4220</v>
      </c>
      <c r="D236" s="469" t="s">
        <v>288</v>
      </c>
      <c r="E236" s="471"/>
      <c r="F236" s="471"/>
      <c r="G236" s="471">
        <v>20000</v>
      </c>
    </row>
    <row r="237" spans="1:7" ht="18.75" customHeight="1">
      <c r="A237" s="24"/>
      <c r="B237" s="173"/>
      <c r="C237" s="358">
        <v>4240</v>
      </c>
      <c r="D237" s="469" t="s">
        <v>258</v>
      </c>
      <c r="E237" s="471"/>
      <c r="F237" s="471"/>
      <c r="G237" s="471">
        <v>2000</v>
      </c>
    </row>
    <row r="238" spans="1:7" ht="18.75" customHeight="1">
      <c r="A238" s="24"/>
      <c r="B238" s="208"/>
      <c r="C238" s="208"/>
      <c r="D238" s="283" t="s">
        <v>114</v>
      </c>
      <c r="E238" s="459"/>
      <c r="F238" s="459"/>
      <c r="G238" s="459">
        <f>G239</f>
        <v>10000</v>
      </c>
    </row>
    <row r="239" spans="1:7" ht="18.75" customHeight="1">
      <c r="A239" s="24"/>
      <c r="B239" s="173"/>
      <c r="C239" s="88">
        <v>4110</v>
      </c>
      <c r="D239" s="223" t="s">
        <v>209</v>
      </c>
      <c r="E239" s="275"/>
      <c r="F239" s="275"/>
      <c r="G239" s="275">
        <v>10000</v>
      </c>
    </row>
    <row r="240" spans="1:7" ht="26.25" customHeight="1" thickBot="1">
      <c r="A240" s="261"/>
      <c r="B240" s="261"/>
      <c r="C240" s="313"/>
      <c r="D240" s="270" t="s">
        <v>224</v>
      </c>
      <c r="E240" s="314"/>
      <c r="F240" s="314">
        <f>F241</f>
        <v>107000</v>
      </c>
      <c r="G240" s="314"/>
    </row>
    <row r="241" spans="1:7" ht="18.75" customHeight="1" thickTop="1">
      <c r="A241" s="271">
        <v>852</v>
      </c>
      <c r="B241" s="271"/>
      <c r="C241" s="271"/>
      <c r="D241" s="271" t="s">
        <v>70</v>
      </c>
      <c r="E241" s="34"/>
      <c r="F241" s="34">
        <f>F242</f>
        <v>107000</v>
      </c>
      <c r="G241" s="34"/>
    </row>
    <row r="242" spans="1:7" ht="18.75" customHeight="1">
      <c r="A242" s="24"/>
      <c r="B242" s="82">
        <v>85201</v>
      </c>
      <c r="C242" s="82"/>
      <c r="D242" s="31" t="s">
        <v>160</v>
      </c>
      <c r="E242" s="200"/>
      <c r="F242" s="200">
        <f>F243+F245+F249</f>
        <v>107000</v>
      </c>
      <c r="G242" s="200"/>
    </row>
    <row r="243" spans="1:7" ht="18.75" customHeight="1">
      <c r="A243" s="24"/>
      <c r="B243" s="118"/>
      <c r="C243" s="118"/>
      <c r="D243" s="121" t="s">
        <v>113</v>
      </c>
      <c r="E243" s="211"/>
      <c r="F243" s="211">
        <f>F244</f>
        <v>60000</v>
      </c>
      <c r="G243" s="211"/>
    </row>
    <row r="244" spans="1:7" ht="18.75" customHeight="1">
      <c r="A244" s="24"/>
      <c r="B244" s="173"/>
      <c r="C244" s="88">
        <v>4010</v>
      </c>
      <c r="D244" s="223" t="s">
        <v>208</v>
      </c>
      <c r="E244" s="275"/>
      <c r="F244" s="275">
        <v>60000</v>
      </c>
      <c r="G244" s="275"/>
    </row>
    <row r="245" spans="1:7" ht="18.75" customHeight="1">
      <c r="A245" s="24"/>
      <c r="B245" s="208"/>
      <c r="C245" s="208"/>
      <c r="D245" s="121" t="s">
        <v>163</v>
      </c>
      <c r="E245" s="211"/>
      <c r="F245" s="211">
        <f>SUM(F246:F248)</f>
        <v>37000</v>
      </c>
      <c r="G245" s="211"/>
    </row>
    <row r="246" spans="1:7" ht="18.75" customHeight="1">
      <c r="A246" s="24"/>
      <c r="B246" s="173"/>
      <c r="C246" s="173">
        <v>4210</v>
      </c>
      <c r="D246" s="222" t="s">
        <v>176</v>
      </c>
      <c r="E246" s="280"/>
      <c r="F246" s="280">
        <v>15000</v>
      </c>
      <c r="G246" s="280"/>
    </row>
    <row r="247" spans="1:7" ht="18.75" customHeight="1">
      <c r="A247" s="24"/>
      <c r="B247" s="173"/>
      <c r="C247" s="358">
        <v>4220</v>
      </c>
      <c r="D247" s="469" t="s">
        <v>288</v>
      </c>
      <c r="E247" s="471"/>
      <c r="F247" s="471">
        <v>20000</v>
      </c>
      <c r="G247" s="471"/>
    </row>
    <row r="248" spans="1:7" ht="18.75" customHeight="1">
      <c r="A248" s="24"/>
      <c r="B248" s="173"/>
      <c r="C248" s="358">
        <v>4240</v>
      </c>
      <c r="D248" s="469" t="s">
        <v>258</v>
      </c>
      <c r="E248" s="471"/>
      <c r="F248" s="471">
        <v>2000</v>
      </c>
      <c r="G248" s="471"/>
    </row>
    <row r="249" spans="1:7" ht="18.75" customHeight="1">
      <c r="A249" s="24"/>
      <c r="B249" s="208"/>
      <c r="C249" s="208"/>
      <c r="D249" s="283" t="s">
        <v>114</v>
      </c>
      <c r="E249" s="459"/>
      <c r="F249" s="459">
        <f>F250</f>
        <v>10000</v>
      </c>
      <c r="G249" s="459"/>
    </row>
    <row r="250" spans="1:7" ht="18.75" customHeight="1">
      <c r="A250" s="24"/>
      <c r="B250" s="173"/>
      <c r="C250" s="88">
        <v>4110</v>
      </c>
      <c r="D250" s="223" t="s">
        <v>209</v>
      </c>
      <c r="E250" s="275"/>
      <c r="F250" s="275">
        <v>10000</v>
      </c>
      <c r="G250" s="275"/>
    </row>
    <row r="251" spans="1:8" ht="24.75" customHeight="1">
      <c r="A251" s="259"/>
      <c r="B251" s="259"/>
      <c r="C251" s="260"/>
      <c r="D251" s="257" t="s">
        <v>6</v>
      </c>
      <c r="E251" s="258"/>
      <c r="F251" s="258"/>
      <c r="G251" s="258">
        <f>G252</f>
        <v>10000</v>
      </c>
      <c r="H251" s="47"/>
    </row>
    <row r="252" spans="1:7" ht="18" customHeight="1" thickBot="1">
      <c r="A252" s="261"/>
      <c r="B252" s="261"/>
      <c r="C252" s="313"/>
      <c r="D252" s="270" t="s">
        <v>85</v>
      </c>
      <c r="E252" s="314"/>
      <c r="F252" s="314"/>
      <c r="G252" s="314">
        <f>G253</f>
        <v>10000</v>
      </c>
    </row>
    <row r="253" spans="1:7" ht="18.75" customHeight="1" thickTop="1">
      <c r="A253" s="271">
        <v>852</v>
      </c>
      <c r="B253" s="271"/>
      <c r="C253" s="271"/>
      <c r="D253" s="271" t="s">
        <v>70</v>
      </c>
      <c r="E253" s="34"/>
      <c r="F253" s="34"/>
      <c r="G253" s="470">
        <f>G254</f>
        <v>10000</v>
      </c>
    </row>
    <row r="254" spans="1:7" ht="18.75" customHeight="1">
      <c r="A254" s="24"/>
      <c r="B254" s="82">
        <v>85201</v>
      </c>
      <c r="C254" s="82"/>
      <c r="D254" s="31" t="s">
        <v>160</v>
      </c>
      <c r="E254" s="200"/>
      <c r="F254" s="200"/>
      <c r="G254" s="200">
        <f>G255</f>
        <v>10000</v>
      </c>
    </row>
    <row r="255" spans="1:7" ht="18.75" customHeight="1">
      <c r="A255" s="24"/>
      <c r="B255" s="118"/>
      <c r="C255" s="118"/>
      <c r="D255" s="121" t="s">
        <v>163</v>
      </c>
      <c r="E255" s="211"/>
      <c r="F255" s="211"/>
      <c r="G255" s="211">
        <f>G256</f>
        <v>10000</v>
      </c>
    </row>
    <row r="256" spans="1:7" ht="18.75" customHeight="1">
      <c r="A256" s="24"/>
      <c r="B256" s="173"/>
      <c r="C256" s="173">
        <v>4210</v>
      </c>
      <c r="D256" s="226" t="s">
        <v>176</v>
      </c>
      <c r="E256" s="571"/>
      <c r="F256" s="571"/>
      <c r="G256" s="571">
        <v>10000</v>
      </c>
    </row>
    <row r="257" spans="1:7" ht="25.5" customHeight="1">
      <c r="A257" s="110"/>
      <c r="B257" s="585"/>
      <c r="C257" s="585"/>
      <c r="D257" s="586"/>
      <c r="E257" s="612"/>
      <c r="F257" s="612"/>
      <c r="G257" s="612"/>
    </row>
    <row r="258" spans="1:7" ht="18.75" customHeight="1">
      <c r="A258" s="52"/>
      <c r="B258" s="24"/>
      <c r="C258" s="316"/>
      <c r="D258" s="318" t="s">
        <v>7</v>
      </c>
      <c r="E258" s="319"/>
      <c r="F258" s="319">
        <f>F259+F266</f>
        <v>139000</v>
      </c>
      <c r="G258" s="319">
        <f>G259+G266</f>
        <v>129000</v>
      </c>
    </row>
    <row r="259" spans="1:7" ht="26.25" customHeight="1" thickBot="1">
      <c r="A259" s="261"/>
      <c r="B259" s="261"/>
      <c r="C259" s="313"/>
      <c r="D259" s="270" t="s">
        <v>85</v>
      </c>
      <c r="E259" s="314"/>
      <c r="F259" s="314">
        <f aca="true" t="shared" si="2" ref="F259:G261">F260</f>
        <v>128000</v>
      </c>
      <c r="G259" s="314">
        <f t="shared" si="2"/>
        <v>11000</v>
      </c>
    </row>
    <row r="260" spans="1:7" ht="19.5" customHeight="1" thickTop="1">
      <c r="A260" s="271">
        <v>852</v>
      </c>
      <c r="B260" s="271"/>
      <c r="C260" s="271"/>
      <c r="D260" s="271" t="s">
        <v>70</v>
      </c>
      <c r="E260" s="34"/>
      <c r="F260" s="34">
        <f t="shared" si="2"/>
        <v>128000</v>
      </c>
      <c r="G260" s="34">
        <f t="shared" si="2"/>
        <v>11000</v>
      </c>
    </row>
    <row r="261" spans="1:7" ht="19.5" customHeight="1">
      <c r="A261" s="272"/>
      <c r="B261" s="199">
        <v>85201</v>
      </c>
      <c r="C261" s="207"/>
      <c r="D261" s="207" t="s">
        <v>160</v>
      </c>
      <c r="E261" s="315"/>
      <c r="F261" s="315">
        <f t="shared" si="2"/>
        <v>128000</v>
      </c>
      <c r="G261" s="315">
        <f t="shared" si="2"/>
        <v>11000</v>
      </c>
    </row>
    <row r="262" spans="1:7" ht="18.75" customHeight="1">
      <c r="A262" s="24"/>
      <c r="B262" s="80"/>
      <c r="C262" s="80"/>
      <c r="D262" s="121" t="s">
        <v>162</v>
      </c>
      <c r="E262" s="268"/>
      <c r="F262" s="268">
        <f>F265</f>
        <v>128000</v>
      </c>
      <c r="G262" s="268">
        <f>G265</f>
        <v>11000</v>
      </c>
    </row>
    <row r="263" spans="1:7" ht="25.5" customHeight="1">
      <c r="A263" s="24"/>
      <c r="B263" s="24"/>
      <c r="C263" s="226"/>
      <c r="D263" s="451" t="s">
        <v>291</v>
      </c>
      <c r="E263" s="472"/>
      <c r="F263" s="472"/>
      <c r="G263" s="472">
        <v>11000</v>
      </c>
    </row>
    <row r="264" spans="1:7" ht="25.5" customHeight="1">
      <c r="A264" s="24"/>
      <c r="B264" s="24"/>
      <c r="C264" s="226"/>
      <c r="D264" s="302" t="s">
        <v>405</v>
      </c>
      <c r="E264" s="448"/>
      <c r="F264" s="448">
        <f>118000+10000</f>
        <v>128000</v>
      </c>
      <c r="G264" s="448"/>
    </row>
    <row r="265" spans="1:7" ht="25.5" customHeight="1">
      <c r="A265" s="24"/>
      <c r="B265" s="24"/>
      <c r="C265" s="222">
        <v>2580</v>
      </c>
      <c r="D265" s="223" t="s">
        <v>290</v>
      </c>
      <c r="E265" s="267"/>
      <c r="F265" s="267">
        <f>SUM(F263:F264)</f>
        <v>128000</v>
      </c>
      <c r="G265" s="267">
        <f>SUM(G263:G264)</f>
        <v>11000</v>
      </c>
    </row>
    <row r="266" spans="1:7" ht="26.25" customHeight="1" thickBot="1">
      <c r="A266" s="261"/>
      <c r="B266" s="261"/>
      <c r="C266" s="313"/>
      <c r="D266" s="270" t="s">
        <v>224</v>
      </c>
      <c r="E266" s="314"/>
      <c r="F266" s="314">
        <f aca="true" t="shared" si="3" ref="F266:G268">F267</f>
        <v>11000</v>
      </c>
      <c r="G266" s="314">
        <f t="shared" si="3"/>
        <v>118000</v>
      </c>
    </row>
    <row r="267" spans="1:7" ht="18.75" customHeight="1" thickTop="1">
      <c r="A267" s="271">
        <v>852</v>
      </c>
      <c r="B267" s="271"/>
      <c r="C267" s="271"/>
      <c r="D267" s="271" t="s">
        <v>70</v>
      </c>
      <c r="E267" s="34"/>
      <c r="F267" s="34">
        <f t="shared" si="3"/>
        <v>11000</v>
      </c>
      <c r="G267" s="34">
        <f t="shared" si="3"/>
        <v>118000</v>
      </c>
    </row>
    <row r="268" spans="1:7" ht="19.5" customHeight="1">
      <c r="A268" s="272"/>
      <c r="B268" s="199">
        <v>85201</v>
      </c>
      <c r="C268" s="207"/>
      <c r="D268" s="207" t="s">
        <v>160</v>
      </c>
      <c r="E268" s="315"/>
      <c r="F268" s="315">
        <f t="shared" si="3"/>
        <v>11000</v>
      </c>
      <c r="G268" s="315">
        <f t="shared" si="3"/>
        <v>118000</v>
      </c>
    </row>
    <row r="269" spans="1:7" ht="18.75" customHeight="1">
      <c r="A269" s="24"/>
      <c r="B269" s="80"/>
      <c r="C269" s="80"/>
      <c r="D269" s="121" t="s">
        <v>162</v>
      </c>
      <c r="E269" s="268"/>
      <c r="F269" s="268">
        <f>F272</f>
        <v>11000</v>
      </c>
      <c r="G269" s="268">
        <f>G272</f>
        <v>118000</v>
      </c>
    </row>
    <row r="270" spans="1:7" ht="25.5" customHeight="1">
      <c r="A270" s="24"/>
      <c r="B270" s="24"/>
      <c r="C270" s="226"/>
      <c r="D270" s="451" t="s">
        <v>291</v>
      </c>
      <c r="E270" s="472"/>
      <c r="F270" s="472">
        <v>11000</v>
      </c>
      <c r="G270" s="472"/>
    </row>
    <row r="271" spans="1:7" ht="25.5" customHeight="1">
      <c r="A271" s="24"/>
      <c r="B271" s="24"/>
      <c r="C271" s="226"/>
      <c r="D271" s="302" t="s">
        <v>405</v>
      </c>
      <c r="E271" s="448"/>
      <c r="F271" s="448"/>
      <c r="G271" s="448">
        <v>118000</v>
      </c>
    </row>
    <row r="272" spans="1:7" ht="25.5" customHeight="1">
      <c r="A272" s="24"/>
      <c r="B272" s="24"/>
      <c r="C272" s="222">
        <v>2580</v>
      </c>
      <c r="D272" s="223" t="s">
        <v>290</v>
      </c>
      <c r="E272" s="267"/>
      <c r="F272" s="267">
        <f>SUM(F270:F271)</f>
        <v>11000</v>
      </c>
      <c r="G272" s="267">
        <f>SUM(G270:G271)</f>
        <v>118000</v>
      </c>
    </row>
    <row r="273" spans="1:7" ht="24" customHeight="1">
      <c r="A273" s="52"/>
      <c r="B273" s="52"/>
      <c r="C273" s="52"/>
      <c r="D273" s="377" t="s">
        <v>8</v>
      </c>
      <c r="E273" s="440"/>
      <c r="F273" s="440"/>
      <c r="G273" s="440">
        <f>G274</f>
        <v>985606</v>
      </c>
    </row>
    <row r="274" spans="1:22" ht="19.5" customHeight="1" thickBot="1">
      <c r="A274" s="52"/>
      <c r="B274" s="52"/>
      <c r="C274" s="52"/>
      <c r="D274" s="441" t="s">
        <v>406</v>
      </c>
      <c r="E274" s="374"/>
      <c r="F274" s="374"/>
      <c r="G274" s="374">
        <f>G275+G285+G294+G303+G314+G324+G331+841666</f>
        <v>985606</v>
      </c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</row>
    <row r="275" spans="1:9" ht="24" customHeight="1" thickTop="1">
      <c r="A275" s="52"/>
      <c r="B275" s="52"/>
      <c r="C275" s="52"/>
      <c r="D275" s="377" t="s">
        <v>254</v>
      </c>
      <c r="E275" s="440"/>
      <c r="F275" s="440"/>
      <c r="G275" s="440">
        <f>G276</f>
        <v>25520</v>
      </c>
      <c r="I275" s="47">
        <f>G275+G285+G294+G303+G314+G324+G331</f>
        <v>143940</v>
      </c>
    </row>
    <row r="276" spans="1:22" ht="21.75" customHeight="1" thickBot="1">
      <c r="A276" s="117"/>
      <c r="B276" s="117"/>
      <c r="C276" s="117"/>
      <c r="D276" s="307" t="s">
        <v>85</v>
      </c>
      <c r="E276" s="374"/>
      <c r="F276" s="374"/>
      <c r="G276" s="374">
        <f>G277</f>
        <v>25520</v>
      </c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</row>
    <row r="277" spans="1:7" ht="21" customHeight="1" thickTop="1">
      <c r="A277" s="29">
        <v>801</v>
      </c>
      <c r="B277" s="29"/>
      <c r="C277" s="29"/>
      <c r="D277" s="29" t="s">
        <v>69</v>
      </c>
      <c r="E277" s="276"/>
      <c r="F277" s="276"/>
      <c r="G277" s="276">
        <f>G278</f>
        <v>25520</v>
      </c>
    </row>
    <row r="278" spans="1:7" ht="21" customHeight="1">
      <c r="A278" s="24"/>
      <c r="B278" s="31">
        <v>80101</v>
      </c>
      <c r="C278" s="31"/>
      <c r="D278" s="32" t="s">
        <v>173</v>
      </c>
      <c r="E278" s="274"/>
      <c r="F278" s="274"/>
      <c r="G278" s="274">
        <f>G279</f>
        <v>25520</v>
      </c>
    </row>
    <row r="279" spans="1:7" ht="21" customHeight="1">
      <c r="A279" s="24"/>
      <c r="B279" s="24"/>
      <c r="C279" s="24"/>
      <c r="D279" s="444" t="s">
        <v>174</v>
      </c>
      <c r="E279" s="445"/>
      <c r="F279" s="445"/>
      <c r="G279" s="445">
        <f>SUM(G280:G283)</f>
        <v>25520</v>
      </c>
    </row>
    <row r="280" spans="1:7" s="74" customFormat="1" ht="21" customHeight="1">
      <c r="A280" s="204"/>
      <c r="B280" s="204"/>
      <c r="C280" s="222">
        <v>4211</v>
      </c>
      <c r="D280" s="222" t="s">
        <v>176</v>
      </c>
      <c r="E280" s="281"/>
      <c r="F280" s="281"/>
      <c r="G280" s="281">
        <v>100</v>
      </c>
    </row>
    <row r="281" spans="1:7" s="74" customFormat="1" ht="21" customHeight="1">
      <c r="A281" s="204"/>
      <c r="B281" s="204"/>
      <c r="C281" s="294">
        <v>4241</v>
      </c>
      <c r="D281" s="294" t="s">
        <v>258</v>
      </c>
      <c r="E281" s="437"/>
      <c r="F281" s="437"/>
      <c r="G281" s="437">
        <v>200</v>
      </c>
    </row>
    <row r="282" spans="1:7" s="74" customFormat="1" ht="21" customHeight="1">
      <c r="A282" s="204"/>
      <c r="B282" s="204"/>
      <c r="C282" s="294">
        <v>4301</v>
      </c>
      <c r="D282" s="294" t="s">
        <v>203</v>
      </c>
      <c r="E282" s="281"/>
      <c r="F282" s="281"/>
      <c r="G282" s="281">
        <v>7300</v>
      </c>
    </row>
    <row r="283" spans="1:7" s="74" customFormat="1" ht="21" customHeight="1">
      <c r="A283" s="119"/>
      <c r="B283" s="119"/>
      <c r="C283" s="294">
        <v>4421</v>
      </c>
      <c r="D283" s="294" t="s">
        <v>222</v>
      </c>
      <c r="E283" s="281"/>
      <c r="F283" s="281"/>
      <c r="G283" s="281">
        <v>17920</v>
      </c>
    </row>
    <row r="284" spans="1:7" s="74" customFormat="1" ht="21" customHeight="1">
      <c r="A284" s="615"/>
      <c r="B284" s="615"/>
      <c r="C284" s="586"/>
      <c r="D284" s="586"/>
      <c r="E284" s="616"/>
      <c r="F284" s="616"/>
      <c r="G284" s="616"/>
    </row>
    <row r="285" spans="1:7" ht="21" customHeight="1">
      <c r="A285" s="52"/>
      <c r="B285" s="52"/>
      <c r="C285" s="52"/>
      <c r="D285" s="377" t="s">
        <v>256</v>
      </c>
      <c r="E285" s="440"/>
      <c r="F285" s="440"/>
      <c r="G285" s="440">
        <f>G286</f>
        <v>23480</v>
      </c>
    </row>
    <row r="286" spans="1:22" ht="19.5" customHeight="1" thickBot="1">
      <c r="A286" s="117"/>
      <c r="B286" s="117"/>
      <c r="C286" s="117"/>
      <c r="D286" s="307" t="s">
        <v>85</v>
      </c>
      <c r="E286" s="374"/>
      <c r="F286" s="374"/>
      <c r="G286" s="374">
        <f>G287</f>
        <v>23480</v>
      </c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</row>
    <row r="287" spans="1:7" ht="19.5" customHeight="1" thickTop="1">
      <c r="A287" s="29">
        <v>801</v>
      </c>
      <c r="B287" s="29"/>
      <c r="C287" s="29"/>
      <c r="D287" s="29" t="s">
        <v>69</v>
      </c>
      <c r="E287" s="276"/>
      <c r="F287" s="276"/>
      <c r="G287" s="276">
        <f>G288</f>
        <v>23480</v>
      </c>
    </row>
    <row r="288" spans="1:7" ht="19.5" customHeight="1">
      <c r="A288" s="24"/>
      <c r="B288" s="31">
        <v>80101</v>
      </c>
      <c r="C288" s="31"/>
      <c r="D288" s="32" t="s">
        <v>173</v>
      </c>
      <c r="E288" s="274"/>
      <c r="F288" s="274"/>
      <c r="G288" s="274">
        <f>G289</f>
        <v>23480</v>
      </c>
    </row>
    <row r="289" spans="1:7" ht="19.5" customHeight="1">
      <c r="A289" s="24"/>
      <c r="B289" s="24"/>
      <c r="C289" s="24"/>
      <c r="D289" s="444" t="s">
        <v>174</v>
      </c>
      <c r="E289" s="445"/>
      <c r="F289" s="445"/>
      <c r="G289" s="445">
        <f>SUM(G290:G293)</f>
        <v>23480</v>
      </c>
    </row>
    <row r="290" spans="1:7" s="74" customFormat="1" ht="19.5" customHeight="1">
      <c r="A290" s="204"/>
      <c r="B290" s="204"/>
      <c r="C290" s="222">
        <v>4211</v>
      </c>
      <c r="D290" s="222" t="s">
        <v>176</v>
      </c>
      <c r="E290" s="281"/>
      <c r="F290" s="281"/>
      <c r="G290" s="281">
        <v>5100</v>
      </c>
    </row>
    <row r="291" spans="1:7" s="74" customFormat="1" ht="19.5" customHeight="1">
      <c r="A291" s="204"/>
      <c r="B291" s="204"/>
      <c r="C291" s="294">
        <v>4301</v>
      </c>
      <c r="D291" s="294" t="s">
        <v>203</v>
      </c>
      <c r="E291" s="281"/>
      <c r="F291" s="281"/>
      <c r="G291" s="281">
        <v>400</v>
      </c>
    </row>
    <row r="292" spans="1:7" s="74" customFormat="1" ht="19.5" customHeight="1">
      <c r="A292" s="204"/>
      <c r="B292" s="204"/>
      <c r="C292" s="294">
        <v>4411</v>
      </c>
      <c r="D292" s="294" t="s">
        <v>221</v>
      </c>
      <c r="E292" s="281"/>
      <c r="F292" s="281"/>
      <c r="G292" s="281">
        <v>100</v>
      </c>
    </row>
    <row r="293" spans="1:7" s="74" customFormat="1" ht="19.5" customHeight="1">
      <c r="A293" s="204"/>
      <c r="B293" s="204"/>
      <c r="C293" s="294">
        <v>4421</v>
      </c>
      <c r="D293" s="294" t="s">
        <v>222</v>
      </c>
      <c r="E293" s="281"/>
      <c r="F293" s="281"/>
      <c r="G293" s="281">
        <v>17880</v>
      </c>
    </row>
    <row r="294" spans="1:7" ht="21" customHeight="1">
      <c r="A294" s="52"/>
      <c r="B294" s="52"/>
      <c r="C294" s="52"/>
      <c r="D294" s="377" t="s">
        <v>259</v>
      </c>
      <c r="E294" s="440"/>
      <c r="F294" s="440"/>
      <c r="G294" s="440">
        <f>G295</f>
        <v>24000</v>
      </c>
    </row>
    <row r="295" spans="1:22" ht="21.75" customHeight="1" thickBot="1">
      <c r="A295" s="117"/>
      <c r="B295" s="117"/>
      <c r="C295" s="117"/>
      <c r="D295" s="307" t="s">
        <v>85</v>
      </c>
      <c r="E295" s="374"/>
      <c r="F295" s="374"/>
      <c r="G295" s="374">
        <f>G296</f>
        <v>24000</v>
      </c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</row>
    <row r="296" spans="1:7" ht="21" customHeight="1" thickTop="1">
      <c r="A296" s="29">
        <v>801</v>
      </c>
      <c r="B296" s="29"/>
      <c r="C296" s="29"/>
      <c r="D296" s="29" t="s">
        <v>69</v>
      </c>
      <c r="E296" s="276"/>
      <c r="F296" s="276"/>
      <c r="G296" s="276">
        <f>G297</f>
        <v>24000</v>
      </c>
    </row>
    <row r="297" spans="1:7" ht="21" customHeight="1">
      <c r="A297" s="24"/>
      <c r="B297" s="31">
        <v>80110</v>
      </c>
      <c r="C297" s="31"/>
      <c r="D297" s="32" t="s">
        <v>166</v>
      </c>
      <c r="E297" s="274"/>
      <c r="F297" s="274"/>
      <c r="G297" s="274">
        <f>G298</f>
        <v>24000</v>
      </c>
    </row>
    <row r="298" spans="1:7" ht="21" customHeight="1">
      <c r="A298" s="24"/>
      <c r="B298" s="24"/>
      <c r="C298" s="24"/>
      <c r="D298" s="444" t="s">
        <v>174</v>
      </c>
      <c r="E298" s="445"/>
      <c r="F298" s="445"/>
      <c r="G298" s="445">
        <f>SUM(G299:G302)</f>
        <v>24000</v>
      </c>
    </row>
    <row r="299" spans="1:7" s="74" customFormat="1" ht="21" customHeight="1">
      <c r="A299" s="204"/>
      <c r="B299" s="204"/>
      <c r="C299" s="222">
        <v>4211</v>
      </c>
      <c r="D299" s="222" t="s">
        <v>176</v>
      </c>
      <c r="E299" s="281"/>
      <c r="F299" s="281"/>
      <c r="G299" s="281">
        <v>2000</v>
      </c>
    </row>
    <row r="300" spans="1:7" s="74" customFormat="1" ht="21" customHeight="1">
      <c r="A300" s="204"/>
      <c r="B300" s="204"/>
      <c r="C300" s="294">
        <v>4241</v>
      </c>
      <c r="D300" s="294" t="s">
        <v>258</v>
      </c>
      <c r="E300" s="437"/>
      <c r="F300" s="437"/>
      <c r="G300" s="437">
        <v>1560</v>
      </c>
    </row>
    <row r="301" spans="1:7" s="74" customFormat="1" ht="21" customHeight="1">
      <c r="A301" s="204"/>
      <c r="B301" s="204"/>
      <c r="C301" s="294">
        <v>4301</v>
      </c>
      <c r="D301" s="294" t="s">
        <v>203</v>
      </c>
      <c r="E301" s="281"/>
      <c r="F301" s="281"/>
      <c r="G301" s="281">
        <v>10640</v>
      </c>
    </row>
    <row r="302" spans="1:7" s="74" customFormat="1" ht="21" customHeight="1">
      <c r="A302" s="204"/>
      <c r="B302" s="204"/>
      <c r="C302" s="294">
        <v>4421</v>
      </c>
      <c r="D302" s="294" t="s">
        <v>222</v>
      </c>
      <c r="E302" s="281"/>
      <c r="F302" s="281"/>
      <c r="G302" s="281">
        <v>9800</v>
      </c>
    </row>
    <row r="303" spans="1:7" ht="21" customHeight="1">
      <c r="A303" s="52"/>
      <c r="B303" s="52"/>
      <c r="C303" s="52"/>
      <c r="D303" s="377" t="s">
        <v>260</v>
      </c>
      <c r="E303" s="440"/>
      <c r="F303" s="440"/>
      <c r="G303" s="440">
        <f>G304</f>
        <v>5600</v>
      </c>
    </row>
    <row r="304" spans="1:22" ht="21.75" customHeight="1" thickBot="1">
      <c r="A304" s="117"/>
      <c r="B304" s="117"/>
      <c r="C304" s="117"/>
      <c r="D304" s="307" t="s">
        <v>85</v>
      </c>
      <c r="E304" s="374"/>
      <c r="F304" s="374"/>
      <c r="G304" s="374">
        <f>G305</f>
        <v>5600</v>
      </c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</row>
    <row r="305" spans="1:7" ht="21" customHeight="1" thickTop="1">
      <c r="A305" s="29">
        <v>801</v>
      </c>
      <c r="B305" s="29"/>
      <c r="C305" s="29"/>
      <c r="D305" s="29" t="s">
        <v>69</v>
      </c>
      <c r="E305" s="276"/>
      <c r="F305" s="276"/>
      <c r="G305" s="276">
        <f>G306</f>
        <v>5600</v>
      </c>
    </row>
    <row r="306" spans="1:7" ht="21" customHeight="1">
      <c r="A306" s="24"/>
      <c r="B306" s="31">
        <v>80120</v>
      </c>
      <c r="C306" s="31"/>
      <c r="D306" s="32" t="s">
        <v>100</v>
      </c>
      <c r="E306" s="274"/>
      <c r="F306" s="274"/>
      <c r="G306" s="274">
        <f>G307</f>
        <v>5600</v>
      </c>
    </row>
    <row r="307" spans="1:7" ht="21" customHeight="1">
      <c r="A307" s="24"/>
      <c r="B307" s="24"/>
      <c r="C307" s="24"/>
      <c r="D307" s="444" t="s">
        <v>174</v>
      </c>
      <c r="E307" s="445"/>
      <c r="F307" s="445"/>
      <c r="G307" s="445">
        <f>SUM(G308:G311)</f>
        <v>5600</v>
      </c>
    </row>
    <row r="308" spans="1:7" s="66" customFormat="1" ht="21" customHeight="1">
      <c r="A308" s="226"/>
      <c r="B308" s="226"/>
      <c r="C308" s="222">
        <v>4171</v>
      </c>
      <c r="D308" s="222" t="s">
        <v>211</v>
      </c>
      <c r="E308" s="281"/>
      <c r="F308" s="281"/>
      <c r="G308" s="281">
        <v>300</v>
      </c>
    </row>
    <row r="309" spans="1:7" s="74" customFormat="1" ht="21" customHeight="1">
      <c r="A309" s="204"/>
      <c r="B309" s="204"/>
      <c r="C309" s="222">
        <v>4211</v>
      </c>
      <c r="D309" s="222" t="s">
        <v>176</v>
      </c>
      <c r="E309" s="280"/>
      <c r="F309" s="280"/>
      <c r="G309" s="280">
        <v>1320</v>
      </c>
    </row>
    <row r="310" spans="1:7" s="74" customFormat="1" ht="21" customHeight="1">
      <c r="A310" s="204"/>
      <c r="B310" s="204"/>
      <c r="C310" s="294">
        <v>4241</v>
      </c>
      <c r="D310" s="294" t="s">
        <v>258</v>
      </c>
      <c r="E310" s="437"/>
      <c r="F310" s="437"/>
      <c r="G310" s="437">
        <v>920</v>
      </c>
    </row>
    <row r="311" spans="1:7" s="74" customFormat="1" ht="21" customHeight="1">
      <c r="A311" s="204"/>
      <c r="B311" s="204"/>
      <c r="C311" s="613">
        <v>4301</v>
      </c>
      <c r="D311" s="613" t="s">
        <v>203</v>
      </c>
      <c r="E311" s="614"/>
      <c r="F311" s="614"/>
      <c r="G311" s="614">
        <v>3060</v>
      </c>
    </row>
    <row r="312" spans="1:7" s="74" customFormat="1" ht="21" customHeight="1">
      <c r="A312" s="615"/>
      <c r="B312" s="615"/>
      <c r="C312" s="586"/>
      <c r="D312" s="586"/>
      <c r="E312" s="616"/>
      <c r="F312" s="616"/>
      <c r="G312" s="616"/>
    </row>
    <row r="313" spans="1:7" s="74" customFormat="1" ht="21" customHeight="1">
      <c r="A313" s="617"/>
      <c r="B313" s="617"/>
      <c r="C313" s="575"/>
      <c r="D313" s="575"/>
      <c r="E313" s="215"/>
      <c r="F313" s="215"/>
      <c r="G313" s="215"/>
    </row>
    <row r="314" spans="1:7" ht="21" customHeight="1">
      <c r="A314" s="52"/>
      <c r="B314" s="52"/>
      <c r="C314" s="52"/>
      <c r="D314" s="377" t="s">
        <v>261</v>
      </c>
      <c r="E314" s="440"/>
      <c r="F314" s="440"/>
      <c r="G314" s="440">
        <f>G315</f>
        <v>19040</v>
      </c>
    </row>
    <row r="315" spans="1:22" ht="21.75" customHeight="1" thickBot="1">
      <c r="A315" s="117"/>
      <c r="B315" s="117"/>
      <c r="C315" s="117"/>
      <c r="D315" s="307" t="s">
        <v>85</v>
      </c>
      <c r="E315" s="374"/>
      <c r="F315" s="374"/>
      <c r="G315" s="374">
        <f>G316</f>
        <v>19040</v>
      </c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</row>
    <row r="316" spans="1:7" ht="21" customHeight="1" thickTop="1">
      <c r="A316" s="29">
        <v>801</v>
      </c>
      <c r="B316" s="29"/>
      <c r="C316" s="29"/>
      <c r="D316" s="29" t="s">
        <v>69</v>
      </c>
      <c r="E316" s="276"/>
      <c r="F316" s="276"/>
      <c r="G316" s="276">
        <f>G317</f>
        <v>19040</v>
      </c>
    </row>
    <row r="317" spans="1:7" ht="21" customHeight="1">
      <c r="A317" s="24"/>
      <c r="B317" s="31">
        <v>80130</v>
      </c>
      <c r="C317" s="31"/>
      <c r="D317" s="32" t="s">
        <v>170</v>
      </c>
      <c r="E317" s="274"/>
      <c r="F317" s="274"/>
      <c r="G317" s="274">
        <f>G318</f>
        <v>19040</v>
      </c>
    </row>
    <row r="318" spans="1:7" ht="21" customHeight="1">
      <c r="A318" s="24"/>
      <c r="B318" s="24"/>
      <c r="C318" s="24"/>
      <c r="D318" s="444" t="s">
        <v>174</v>
      </c>
      <c r="E318" s="445"/>
      <c r="F318" s="445"/>
      <c r="G318" s="445">
        <f>SUM(G319:G323)</f>
        <v>19040</v>
      </c>
    </row>
    <row r="319" spans="1:7" s="74" customFormat="1" ht="21" customHeight="1">
      <c r="A319" s="204"/>
      <c r="B319" s="204"/>
      <c r="C319" s="222">
        <v>4211</v>
      </c>
      <c r="D319" s="222" t="s">
        <v>176</v>
      </c>
      <c r="E319" s="280"/>
      <c r="F319" s="280"/>
      <c r="G319" s="280">
        <v>330</v>
      </c>
    </row>
    <row r="320" spans="1:7" s="74" customFormat="1" ht="21" customHeight="1">
      <c r="A320" s="204"/>
      <c r="B320" s="204"/>
      <c r="C320" s="294">
        <v>4241</v>
      </c>
      <c r="D320" s="294" t="s">
        <v>258</v>
      </c>
      <c r="E320" s="437"/>
      <c r="F320" s="437"/>
      <c r="G320" s="437">
        <v>300</v>
      </c>
    </row>
    <row r="321" spans="1:7" s="74" customFormat="1" ht="21" customHeight="1">
      <c r="A321" s="204"/>
      <c r="B321" s="204"/>
      <c r="C321" s="294">
        <v>4301</v>
      </c>
      <c r="D321" s="294" t="s">
        <v>203</v>
      </c>
      <c r="E321" s="281"/>
      <c r="F321" s="281"/>
      <c r="G321" s="281">
        <v>4490</v>
      </c>
    </row>
    <row r="322" spans="1:7" s="74" customFormat="1" ht="19.5" customHeight="1">
      <c r="A322" s="204"/>
      <c r="B322" s="204"/>
      <c r="C322" s="294">
        <v>4411</v>
      </c>
      <c r="D322" s="294" t="s">
        <v>221</v>
      </c>
      <c r="E322" s="437"/>
      <c r="F322" s="437"/>
      <c r="G322" s="437">
        <v>480</v>
      </c>
    </row>
    <row r="323" spans="1:7" s="74" customFormat="1" ht="19.5" customHeight="1">
      <c r="A323" s="204"/>
      <c r="B323" s="204"/>
      <c r="C323" s="294">
        <v>4421</v>
      </c>
      <c r="D323" s="294" t="s">
        <v>222</v>
      </c>
      <c r="E323" s="280"/>
      <c r="F323" s="280"/>
      <c r="G323" s="280">
        <v>13440</v>
      </c>
    </row>
    <row r="324" spans="1:7" ht="19.5" customHeight="1">
      <c r="A324" s="52"/>
      <c r="B324" s="52"/>
      <c r="C324" s="52"/>
      <c r="D324" s="377" t="s">
        <v>262</v>
      </c>
      <c r="E324" s="440"/>
      <c r="F324" s="440"/>
      <c r="G324" s="440">
        <f>G325</f>
        <v>20670</v>
      </c>
    </row>
    <row r="325" spans="1:22" ht="25.5" customHeight="1" thickBot="1">
      <c r="A325" s="117"/>
      <c r="B325" s="117"/>
      <c r="C325" s="117"/>
      <c r="D325" s="307" t="s">
        <v>85</v>
      </c>
      <c r="E325" s="374"/>
      <c r="F325" s="374"/>
      <c r="G325" s="374">
        <f>G326</f>
        <v>20670</v>
      </c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</row>
    <row r="326" spans="1:7" ht="21" customHeight="1" thickTop="1">
      <c r="A326" s="29">
        <v>801</v>
      </c>
      <c r="B326" s="29"/>
      <c r="C326" s="29"/>
      <c r="D326" s="29" t="s">
        <v>69</v>
      </c>
      <c r="E326" s="276"/>
      <c r="F326" s="276"/>
      <c r="G326" s="276">
        <f>G327</f>
        <v>20670</v>
      </c>
    </row>
    <row r="327" spans="1:7" ht="30" customHeight="1">
      <c r="A327" s="24"/>
      <c r="B327" s="31">
        <v>80140</v>
      </c>
      <c r="C327" s="31"/>
      <c r="D327" s="32" t="s">
        <v>175</v>
      </c>
      <c r="E327" s="274"/>
      <c r="F327" s="274"/>
      <c r="G327" s="274">
        <f>G328</f>
        <v>20670</v>
      </c>
    </row>
    <row r="328" spans="1:7" ht="21" customHeight="1">
      <c r="A328" s="24"/>
      <c r="B328" s="24"/>
      <c r="C328" s="24"/>
      <c r="D328" s="444" t="s">
        <v>174</v>
      </c>
      <c r="E328" s="445"/>
      <c r="F328" s="445"/>
      <c r="G328" s="445">
        <f>SUM(G329:G330)</f>
        <v>20670</v>
      </c>
    </row>
    <row r="329" spans="1:7" s="74" customFormat="1" ht="21" customHeight="1">
      <c r="A329" s="204"/>
      <c r="B329" s="204"/>
      <c r="C329" s="222">
        <v>4211</v>
      </c>
      <c r="D329" s="222" t="s">
        <v>176</v>
      </c>
      <c r="E329" s="280"/>
      <c r="F329" s="280"/>
      <c r="G329" s="280">
        <v>5600</v>
      </c>
    </row>
    <row r="330" spans="1:7" s="74" customFormat="1" ht="19.5" customHeight="1">
      <c r="A330" s="204"/>
      <c r="B330" s="204"/>
      <c r="C330" s="294">
        <v>4421</v>
      </c>
      <c r="D330" s="294" t="s">
        <v>222</v>
      </c>
      <c r="E330" s="280"/>
      <c r="F330" s="280"/>
      <c r="G330" s="280">
        <v>15070</v>
      </c>
    </row>
    <row r="331" spans="1:7" ht="33.75" customHeight="1">
      <c r="A331" s="52"/>
      <c r="B331" s="52"/>
      <c r="C331" s="52"/>
      <c r="D331" s="318" t="s">
        <v>1</v>
      </c>
      <c r="E331" s="440"/>
      <c r="F331" s="440"/>
      <c r="G331" s="440">
        <f>G332</f>
        <v>25630</v>
      </c>
    </row>
    <row r="332" spans="1:22" ht="23.25" customHeight="1" thickBot="1">
      <c r="A332" s="117"/>
      <c r="B332" s="117"/>
      <c r="C332" s="117"/>
      <c r="D332" s="307" t="s">
        <v>85</v>
      </c>
      <c r="E332" s="374"/>
      <c r="F332" s="374"/>
      <c r="G332" s="374">
        <f>G333</f>
        <v>25630</v>
      </c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</row>
    <row r="333" spans="1:7" ht="19.5" customHeight="1" thickTop="1">
      <c r="A333" s="29">
        <v>854</v>
      </c>
      <c r="B333" s="29"/>
      <c r="C333" s="29"/>
      <c r="D333" s="29" t="s">
        <v>71</v>
      </c>
      <c r="E333" s="276"/>
      <c r="F333" s="276"/>
      <c r="G333" s="276">
        <f>G334</f>
        <v>25630</v>
      </c>
    </row>
    <row r="334" spans="1:7" ht="19.5" customHeight="1">
      <c r="A334" s="24"/>
      <c r="B334" s="31">
        <v>85403</v>
      </c>
      <c r="C334" s="31"/>
      <c r="D334" s="32" t="s">
        <v>178</v>
      </c>
      <c r="E334" s="274"/>
      <c r="F334" s="274"/>
      <c r="G334" s="274">
        <f>G335</f>
        <v>25630</v>
      </c>
    </row>
    <row r="335" spans="1:7" ht="19.5" customHeight="1">
      <c r="A335" s="24"/>
      <c r="B335" s="24"/>
      <c r="C335" s="24"/>
      <c r="D335" s="444" t="s">
        <v>174</v>
      </c>
      <c r="E335" s="446"/>
      <c r="F335" s="445"/>
      <c r="G335" s="445">
        <f>SUM(G336:G339)</f>
        <v>25630</v>
      </c>
    </row>
    <row r="336" spans="1:7" s="74" customFormat="1" ht="19.5" customHeight="1">
      <c r="A336" s="204"/>
      <c r="B336" s="204"/>
      <c r="C336" s="222">
        <v>4211</v>
      </c>
      <c r="D336" s="222" t="s">
        <v>176</v>
      </c>
      <c r="E336" s="447"/>
      <c r="F336" s="281"/>
      <c r="G336" s="281">
        <v>9770</v>
      </c>
    </row>
    <row r="337" spans="1:7" s="74" customFormat="1" ht="19.5" customHeight="1">
      <c r="A337" s="204"/>
      <c r="B337" s="204"/>
      <c r="C337" s="294">
        <v>4301</v>
      </c>
      <c r="D337" s="294" t="s">
        <v>203</v>
      </c>
      <c r="E337" s="447"/>
      <c r="F337" s="281"/>
      <c r="G337" s="281">
        <v>8000</v>
      </c>
    </row>
    <row r="338" spans="1:7" s="74" customFormat="1" ht="19.5" customHeight="1">
      <c r="A338" s="204"/>
      <c r="B338" s="204"/>
      <c r="C338" s="294">
        <v>4411</v>
      </c>
      <c r="D338" s="294" t="s">
        <v>221</v>
      </c>
      <c r="E338" s="447"/>
      <c r="F338" s="281"/>
      <c r="G338" s="281">
        <v>260</v>
      </c>
    </row>
    <row r="339" spans="1:7" s="74" customFormat="1" ht="19.5" customHeight="1">
      <c r="A339" s="119"/>
      <c r="B339" s="119"/>
      <c r="C339" s="294">
        <v>4421</v>
      </c>
      <c r="D339" s="294" t="s">
        <v>222</v>
      </c>
      <c r="E339" s="280"/>
      <c r="F339" s="280"/>
      <c r="G339" s="280">
        <v>7600</v>
      </c>
    </row>
    <row r="345" spans="2:5" ht="12.75">
      <c r="B345" t="s">
        <v>412</v>
      </c>
      <c r="E345" t="s">
        <v>415</v>
      </c>
    </row>
    <row r="346" spans="2:5" ht="12.75">
      <c r="B346" t="s">
        <v>413</v>
      </c>
      <c r="E346" s="47" t="s">
        <v>416</v>
      </c>
    </row>
    <row r="347" spans="2:5" ht="12.75">
      <c r="B347" t="s">
        <v>414</v>
      </c>
      <c r="E347" s="47" t="s">
        <v>417</v>
      </c>
    </row>
  </sheetData>
  <mergeCells count="5">
    <mergeCell ref="F7:G7"/>
    <mergeCell ref="A7:A8"/>
    <mergeCell ref="B7:B8"/>
    <mergeCell ref="C7:C8"/>
    <mergeCell ref="D7:D8"/>
  </mergeCells>
  <printOptions horizontalCentered="1"/>
  <pageMargins left="0.5905511811023623" right="0.5905511811023623" top="0.4724409448818898" bottom="0.6692913385826772" header="0.5118110236220472" footer="0.5118110236220472"/>
  <pageSetup firstPageNumber="12" useFirstPageNumber="1" horizontalDpi="600" verticalDpi="600" orientation="landscape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B37">
      <selection activeCell="B47" sqref="B46:B47"/>
    </sheetView>
  </sheetViews>
  <sheetFormatPr defaultColWidth="9.00390625" defaultRowHeight="12.75"/>
  <cols>
    <col min="1" max="1" width="0.74609375" style="494" hidden="1" customWidth="1"/>
    <col min="2" max="2" width="51.00390625" style="497" customWidth="1"/>
    <col min="3" max="3" width="18.875" style="497" customWidth="1"/>
    <col min="4" max="5" width="16.875" style="497" customWidth="1"/>
    <col min="6" max="6" width="16.25390625" style="497" customWidth="1"/>
    <col min="7" max="7" width="14.375" style="500" customWidth="1"/>
    <col min="8" max="8" width="10.75390625" style="498" customWidth="1"/>
    <col min="9" max="16384" width="9.125" style="498" customWidth="1"/>
  </cols>
  <sheetData>
    <row r="1" spans="2:7" ht="15.75" customHeight="1">
      <c r="B1" s="495" t="s">
        <v>407</v>
      </c>
      <c r="D1" s="496"/>
      <c r="E1" s="496"/>
      <c r="F1" s="496"/>
      <c r="G1" s="497"/>
    </row>
    <row r="2" spans="1:7" ht="13.5" thickBot="1">
      <c r="A2" s="499"/>
      <c r="G2" s="574" t="s">
        <v>64</v>
      </c>
    </row>
    <row r="3" spans="1:7" ht="26.25" customHeight="1" thickTop="1">
      <c r="A3" s="593"/>
      <c r="B3" s="594"/>
      <c r="C3" s="595" t="s">
        <v>308</v>
      </c>
      <c r="D3" s="640" t="s">
        <v>309</v>
      </c>
      <c r="E3" s="641"/>
      <c r="F3" s="597" t="s">
        <v>394</v>
      </c>
      <c r="G3" s="596"/>
    </row>
    <row r="4" spans="1:7" s="504" customFormat="1" ht="12">
      <c r="A4" s="501"/>
      <c r="B4" s="502" t="s">
        <v>310</v>
      </c>
      <c r="C4" s="502" t="s">
        <v>311</v>
      </c>
      <c r="D4" s="502" t="s">
        <v>312</v>
      </c>
      <c r="E4" s="503" t="s">
        <v>313</v>
      </c>
      <c r="F4" s="591" t="s">
        <v>395</v>
      </c>
      <c r="G4" s="505"/>
    </row>
    <row r="5" spans="1:7" s="504" customFormat="1" ht="12">
      <c r="A5" s="501"/>
      <c r="B5" s="503" t="s">
        <v>314</v>
      </c>
      <c r="C5" s="502" t="s">
        <v>308</v>
      </c>
      <c r="D5" s="502" t="s">
        <v>315</v>
      </c>
      <c r="E5" s="503" t="s">
        <v>316</v>
      </c>
      <c r="F5" s="591" t="s">
        <v>396</v>
      </c>
      <c r="G5" s="505"/>
    </row>
    <row r="6" spans="1:7" s="504" customFormat="1" ht="12">
      <c r="A6" s="501"/>
      <c r="B6" s="503"/>
      <c r="C6" s="502" t="s">
        <v>317</v>
      </c>
      <c r="D6" s="502" t="s">
        <v>318</v>
      </c>
      <c r="E6" s="503" t="s">
        <v>319</v>
      </c>
      <c r="F6" s="591" t="s">
        <v>397</v>
      </c>
      <c r="G6" s="505"/>
    </row>
    <row r="7" spans="1:7" s="504" customFormat="1" ht="12">
      <c r="A7" s="501"/>
      <c r="B7" s="503"/>
      <c r="C7" s="502" t="s">
        <v>320</v>
      </c>
      <c r="D7" s="502" t="s">
        <v>321</v>
      </c>
      <c r="E7" s="503" t="s">
        <v>322</v>
      </c>
      <c r="F7" s="591" t="s">
        <v>408</v>
      </c>
      <c r="G7" s="505" t="s">
        <v>323</v>
      </c>
    </row>
    <row r="8" spans="1:7" s="504" customFormat="1" ht="12">
      <c r="A8" s="501"/>
      <c r="B8" s="506" t="s">
        <v>310</v>
      </c>
      <c r="C8" s="502"/>
      <c r="D8" s="502"/>
      <c r="E8" s="503" t="s">
        <v>324</v>
      </c>
      <c r="F8" s="591" t="s">
        <v>398</v>
      </c>
      <c r="G8" s="505"/>
    </row>
    <row r="9" spans="1:7" s="504" customFormat="1" ht="12" customHeight="1">
      <c r="A9" s="501"/>
      <c r="B9" s="506" t="s">
        <v>325</v>
      </c>
      <c r="C9" s="507"/>
      <c r="D9" s="507"/>
      <c r="E9" s="508"/>
      <c r="F9" s="592" t="s">
        <v>399</v>
      </c>
      <c r="G9" s="509"/>
    </row>
    <row r="10" spans="1:7" s="512" customFormat="1" ht="12.75">
      <c r="A10" s="494"/>
      <c r="B10" s="510">
        <v>1</v>
      </c>
      <c r="C10" s="511">
        <v>2</v>
      </c>
      <c r="D10" s="544">
        <v>3</v>
      </c>
      <c r="E10" s="511">
        <v>4</v>
      </c>
      <c r="F10" s="511">
        <v>5</v>
      </c>
      <c r="G10" s="547">
        <v>6</v>
      </c>
    </row>
    <row r="11" spans="1:7" s="516" customFormat="1" ht="18" customHeight="1" thickBot="1">
      <c r="A11" s="513"/>
      <c r="B11" s="514" t="s">
        <v>85</v>
      </c>
      <c r="C11" s="515">
        <f>C12</f>
        <v>765666</v>
      </c>
      <c r="D11" s="545">
        <f>D12</f>
        <v>50000</v>
      </c>
      <c r="E11" s="515">
        <f>E12</f>
        <v>6000</v>
      </c>
      <c r="F11" s="515">
        <f>F12</f>
        <v>20000</v>
      </c>
      <c r="G11" s="515">
        <f>SUM(C11:F11)</f>
        <v>841666</v>
      </c>
    </row>
    <row r="12" spans="1:7" s="520" customFormat="1" ht="18" customHeight="1" thickBot="1" thickTop="1">
      <c r="A12" s="517"/>
      <c r="B12" s="518" t="s">
        <v>409</v>
      </c>
      <c r="C12" s="519">
        <f>C13+C34+C36</f>
        <v>765666</v>
      </c>
      <c r="D12" s="546">
        <f>D13+D34+D36</f>
        <v>50000</v>
      </c>
      <c r="E12" s="519">
        <f>E13+E34+E36</f>
        <v>6000</v>
      </c>
      <c r="F12" s="519">
        <f>F13</f>
        <v>20000</v>
      </c>
      <c r="G12" s="602">
        <f aca="true" t="shared" si="0" ref="G12:G43">SUM(C12:F12)</f>
        <v>841666</v>
      </c>
    </row>
    <row r="13" spans="1:7" s="524" customFormat="1" ht="18" customHeight="1" thickBot="1">
      <c r="A13" s="521">
        <v>80101</v>
      </c>
      <c r="B13" s="522" t="s">
        <v>326</v>
      </c>
      <c r="C13" s="523">
        <f>SUM(C14:C15)</f>
        <v>161606</v>
      </c>
      <c r="D13" s="523">
        <f>SUM(D14:D15)</f>
        <v>25000</v>
      </c>
      <c r="E13" s="523">
        <f>SUM(E14:E15)</f>
        <v>3000</v>
      </c>
      <c r="F13" s="548">
        <f>SUM(F14:F15)</f>
        <v>20000</v>
      </c>
      <c r="G13" s="601">
        <f t="shared" si="0"/>
        <v>209606</v>
      </c>
    </row>
    <row r="14" spans="1:7" s="524" customFormat="1" ht="18" customHeight="1">
      <c r="A14" s="588"/>
      <c r="B14" s="526" t="s">
        <v>411</v>
      </c>
      <c r="C14" s="589"/>
      <c r="D14" s="589"/>
      <c r="E14" s="589"/>
      <c r="F14" s="590">
        <v>20000</v>
      </c>
      <c r="G14" s="630">
        <f t="shared" si="0"/>
        <v>20000</v>
      </c>
    </row>
    <row r="15" spans="1:7" s="524" customFormat="1" ht="18" customHeight="1" thickBot="1">
      <c r="A15" s="525">
        <v>2</v>
      </c>
      <c r="B15" s="526" t="s">
        <v>52</v>
      </c>
      <c r="C15" s="527">
        <v>161606</v>
      </c>
      <c r="D15" s="527">
        <v>25000</v>
      </c>
      <c r="E15" s="527">
        <v>3000</v>
      </c>
      <c r="F15" s="549"/>
      <c r="G15" s="631">
        <f t="shared" si="0"/>
        <v>189606</v>
      </c>
    </row>
    <row r="16" spans="1:7" s="533" customFormat="1" ht="18" customHeight="1" hidden="1">
      <c r="A16" s="528" t="s">
        <v>336</v>
      </c>
      <c r="B16" s="526" t="s">
        <v>254</v>
      </c>
      <c r="C16" s="534"/>
      <c r="D16" s="534"/>
      <c r="E16" s="534"/>
      <c r="F16" s="550"/>
      <c r="G16" s="599">
        <f t="shared" si="0"/>
        <v>0</v>
      </c>
    </row>
    <row r="17" spans="1:7" s="533" customFormat="1" ht="18" customHeight="1" hidden="1">
      <c r="A17" s="528" t="s">
        <v>337</v>
      </c>
      <c r="B17" s="526" t="s">
        <v>327</v>
      </c>
      <c r="C17" s="534"/>
      <c r="D17" s="534"/>
      <c r="E17" s="534"/>
      <c r="F17" s="550"/>
      <c r="G17" s="515">
        <f t="shared" si="0"/>
        <v>0</v>
      </c>
    </row>
    <row r="18" spans="1:7" s="533" customFormat="1" ht="18" customHeight="1" hidden="1">
      <c r="A18" s="528" t="s">
        <v>338</v>
      </c>
      <c r="B18" s="526" t="s">
        <v>329</v>
      </c>
      <c r="C18" s="534"/>
      <c r="D18" s="534"/>
      <c r="E18" s="534"/>
      <c r="F18" s="550"/>
      <c r="G18" s="515">
        <f t="shared" si="0"/>
        <v>0</v>
      </c>
    </row>
    <row r="19" spans="1:7" s="533" customFormat="1" ht="18" customHeight="1" hidden="1">
      <c r="A19" s="528" t="s">
        <v>339</v>
      </c>
      <c r="B19" s="526" t="s">
        <v>330</v>
      </c>
      <c r="C19" s="534"/>
      <c r="D19" s="534"/>
      <c r="E19" s="534"/>
      <c r="F19" s="550"/>
      <c r="G19" s="515">
        <f t="shared" si="0"/>
        <v>0</v>
      </c>
    </row>
    <row r="20" spans="1:7" s="533" customFormat="1" ht="18" customHeight="1" hidden="1">
      <c r="A20" s="528" t="s">
        <v>340</v>
      </c>
      <c r="B20" s="526" t="s">
        <v>341</v>
      </c>
      <c r="C20" s="534"/>
      <c r="D20" s="534"/>
      <c r="E20" s="534"/>
      <c r="F20" s="550"/>
      <c r="G20" s="515">
        <f t="shared" si="0"/>
        <v>0</v>
      </c>
    </row>
    <row r="21" spans="1:7" s="533" customFormat="1" ht="18" customHeight="1" hidden="1">
      <c r="A21" s="528" t="s">
        <v>342</v>
      </c>
      <c r="B21" s="526" t="s">
        <v>343</v>
      </c>
      <c r="C21" s="534"/>
      <c r="D21" s="534"/>
      <c r="E21" s="534"/>
      <c r="F21" s="550"/>
      <c r="G21" s="515">
        <f t="shared" si="0"/>
        <v>0</v>
      </c>
    </row>
    <row r="22" spans="1:7" s="533" customFormat="1" ht="18" customHeight="1" hidden="1">
      <c r="A22" s="528" t="s">
        <v>344</v>
      </c>
      <c r="B22" s="526" t="s">
        <v>331</v>
      </c>
      <c r="C22" s="534"/>
      <c r="D22" s="534"/>
      <c r="E22" s="534"/>
      <c r="F22" s="550"/>
      <c r="G22" s="515">
        <f t="shared" si="0"/>
        <v>0</v>
      </c>
    </row>
    <row r="23" spans="1:7" s="533" customFormat="1" ht="18" customHeight="1" hidden="1">
      <c r="A23" s="528" t="s">
        <v>345</v>
      </c>
      <c r="B23" s="526" t="s">
        <v>346</v>
      </c>
      <c r="C23" s="534"/>
      <c r="D23" s="534"/>
      <c r="E23" s="534"/>
      <c r="F23" s="550"/>
      <c r="G23" s="515">
        <f t="shared" si="0"/>
        <v>0</v>
      </c>
    </row>
    <row r="24" spans="1:7" s="533" customFormat="1" ht="18" customHeight="1" hidden="1">
      <c r="A24" s="528" t="s">
        <v>347</v>
      </c>
      <c r="B24" s="526" t="s">
        <v>348</v>
      </c>
      <c r="C24" s="534"/>
      <c r="D24" s="534"/>
      <c r="E24" s="534"/>
      <c r="F24" s="550"/>
      <c r="G24" s="515">
        <f t="shared" si="0"/>
        <v>0</v>
      </c>
    </row>
    <row r="25" spans="1:7" s="533" customFormat="1" ht="18" customHeight="1" hidden="1">
      <c r="A25" s="528" t="s">
        <v>349</v>
      </c>
      <c r="B25" s="526" t="s">
        <v>259</v>
      </c>
      <c r="C25" s="534"/>
      <c r="D25" s="534"/>
      <c r="E25" s="534"/>
      <c r="F25" s="550"/>
      <c r="G25" s="515">
        <f t="shared" si="0"/>
        <v>0</v>
      </c>
    </row>
    <row r="26" spans="1:7" s="533" customFormat="1" ht="18" customHeight="1" hidden="1">
      <c r="A26" s="528" t="s">
        <v>350</v>
      </c>
      <c r="B26" s="526" t="s">
        <v>351</v>
      </c>
      <c r="C26" s="534"/>
      <c r="D26" s="534"/>
      <c r="E26" s="534"/>
      <c r="F26" s="550"/>
      <c r="G26" s="515">
        <f t="shared" si="0"/>
        <v>0</v>
      </c>
    </row>
    <row r="27" spans="1:7" s="533" customFormat="1" ht="18" customHeight="1" hidden="1">
      <c r="A27" s="528" t="s">
        <v>352</v>
      </c>
      <c r="B27" s="526" t="s">
        <v>332</v>
      </c>
      <c r="C27" s="534"/>
      <c r="D27" s="534"/>
      <c r="E27" s="534"/>
      <c r="F27" s="550"/>
      <c r="G27" s="515">
        <f t="shared" si="0"/>
        <v>0</v>
      </c>
    </row>
    <row r="28" spans="1:7" s="533" customFormat="1" ht="18" customHeight="1" hidden="1">
      <c r="A28" s="528" t="s">
        <v>353</v>
      </c>
      <c r="B28" s="526" t="s">
        <v>333</v>
      </c>
      <c r="C28" s="534"/>
      <c r="D28" s="534"/>
      <c r="E28" s="534"/>
      <c r="F28" s="550"/>
      <c r="G28" s="515">
        <f t="shared" si="0"/>
        <v>0</v>
      </c>
    </row>
    <row r="29" spans="1:7" s="533" customFormat="1" ht="18" customHeight="1" hidden="1">
      <c r="A29" s="528" t="s">
        <v>354</v>
      </c>
      <c r="B29" s="526" t="s">
        <v>355</v>
      </c>
      <c r="C29" s="534"/>
      <c r="D29" s="534"/>
      <c r="E29" s="534"/>
      <c r="F29" s="550"/>
      <c r="G29" s="515">
        <f t="shared" si="0"/>
        <v>0</v>
      </c>
    </row>
    <row r="30" spans="1:7" s="533" customFormat="1" ht="18" customHeight="1" hidden="1">
      <c r="A30" s="528" t="s">
        <v>356</v>
      </c>
      <c r="B30" s="526" t="s">
        <v>334</v>
      </c>
      <c r="C30" s="534"/>
      <c r="D30" s="534"/>
      <c r="E30" s="534"/>
      <c r="F30" s="550"/>
      <c r="G30" s="515">
        <f t="shared" si="0"/>
        <v>0</v>
      </c>
    </row>
    <row r="31" spans="1:7" s="533" customFormat="1" ht="18" customHeight="1" hidden="1">
      <c r="A31" s="528" t="s">
        <v>357</v>
      </c>
      <c r="B31" s="526" t="s">
        <v>335</v>
      </c>
      <c r="C31" s="534"/>
      <c r="D31" s="534"/>
      <c r="E31" s="534"/>
      <c r="F31" s="550"/>
      <c r="G31" s="515">
        <f t="shared" si="0"/>
        <v>0</v>
      </c>
    </row>
    <row r="32" spans="1:7" s="533" customFormat="1" ht="18" customHeight="1" hidden="1">
      <c r="A32" s="535" t="s">
        <v>358</v>
      </c>
      <c r="B32" s="536" t="s">
        <v>359</v>
      </c>
      <c r="C32" s="537"/>
      <c r="D32" s="537"/>
      <c r="E32" s="537"/>
      <c r="F32" s="551"/>
      <c r="G32" s="515">
        <f t="shared" si="0"/>
        <v>0</v>
      </c>
    </row>
    <row r="33" spans="1:7" s="533" customFormat="1" ht="18" customHeight="1" hidden="1">
      <c r="A33" s="538"/>
      <c r="B33" s="539" t="s">
        <v>360</v>
      </c>
      <c r="C33" s="540"/>
      <c r="D33" s="540"/>
      <c r="E33" s="540"/>
      <c r="F33" s="543"/>
      <c r="G33" s="598">
        <f t="shared" si="0"/>
        <v>0</v>
      </c>
    </row>
    <row r="34" spans="1:7" s="524" customFormat="1" ht="18" customHeight="1" thickBot="1">
      <c r="A34" s="521">
        <v>80101</v>
      </c>
      <c r="B34" s="522" t="s">
        <v>328</v>
      </c>
      <c r="C34" s="523">
        <f>C35</f>
        <v>160000</v>
      </c>
      <c r="D34" s="523">
        <f>D35</f>
        <v>25000</v>
      </c>
      <c r="E34" s="523">
        <f>E35</f>
        <v>3000</v>
      </c>
      <c r="F34" s="548"/>
      <c r="G34" s="600">
        <f t="shared" si="0"/>
        <v>188000</v>
      </c>
    </row>
    <row r="35" spans="1:7" s="524" customFormat="1" ht="18" customHeight="1" thickBot="1">
      <c r="A35" s="525">
        <v>2</v>
      </c>
      <c r="B35" s="526" t="s">
        <v>259</v>
      </c>
      <c r="C35" s="527">
        <v>160000</v>
      </c>
      <c r="D35" s="527">
        <v>25000</v>
      </c>
      <c r="E35" s="527">
        <v>3000</v>
      </c>
      <c r="F35" s="549"/>
      <c r="G35" s="632">
        <f t="shared" si="0"/>
        <v>188000</v>
      </c>
    </row>
    <row r="36" spans="1:7" s="533" customFormat="1" ht="19.5" customHeight="1" thickBot="1">
      <c r="A36" s="531">
        <v>80120</v>
      </c>
      <c r="B36" s="522" t="s">
        <v>361</v>
      </c>
      <c r="C36" s="529">
        <f>SUM(C37:C43)</f>
        <v>444060</v>
      </c>
      <c r="D36" s="529"/>
      <c r="E36" s="529"/>
      <c r="F36" s="552"/>
      <c r="G36" s="600">
        <f t="shared" si="0"/>
        <v>444060</v>
      </c>
    </row>
    <row r="37" spans="1:7" s="533" customFormat="1" ht="18" customHeight="1">
      <c r="A37" s="532" t="s">
        <v>362</v>
      </c>
      <c r="B37" s="541" t="s">
        <v>364</v>
      </c>
      <c r="C37" s="530">
        <v>40870</v>
      </c>
      <c r="D37" s="530"/>
      <c r="E37" s="530"/>
      <c r="F37" s="553"/>
      <c r="G37" s="632">
        <f t="shared" si="0"/>
        <v>40870</v>
      </c>
    </row>
    <row r="38" spans="1:7" s="533" customFormat="1" ht="18" customHeight="1">
      <c r="A38" s="528"/>
      <c r="B38" s="542" t="s">
        <v>365</v>
      </c>
      <c r="C38" s="534">
        <v>109130</v>
      </c>
      <c r="D38" s="534"/>
      <c r="E38" s="534"/>
      <c r="F38" s="550"/>
      <c r="G38" s="633">
        <f t="shared" si="0"/>
        <v>109130</v>
      </c>
    </row>
    <row r="39" spans="1:7" s="533" customFormat="1" ht="18" customHeight="1">
      <c r="A39" s="528" t="s">
        <v>363</v>
      </c>
      <c r="B39" s="542" t="s">
        <v>0</v>
      </c>
      <c r="C39" s="534">
        <v>80000</v>
      </c>
      <c r="D39" s="534"/>
      <c r="E39" s="534"/>
      <c r="F39" s="550"/>
      <c r="G39" s="633">
        <f t="shared" si="0"/>
        <v>80000</v>
      </c>
    </row>
    <row r="40" spans="1:7" s="533" customFormat="1" ht="18" customHeight="1">
      <c r="A40" s="528" t="s">
        <v>366</v>
      </c>
      <c r="B40" s="542" t="s">
        <v>367</v>
      </c>
      <c r="C40" s="534">
        <v>50000</v>
      </c>
      <c r="D40" s="534"/>
      <c r="E40" s="534"/>
      <c r="F40" s="550"/>
      <c r="G40" s="633">
        <f t="shared" si="0"/>
        <v>50000</v>
      </c>
    </row>
    <row r="41" spans="1:7" s="533" customFormat="1" ht="18" customHeight="1">
      <c r="A41" s="528" t="s">
        <v>368</v>
      </c>
      <c r="B41" s="542" t="s">
        <v>369</v>
      </c>
      <c r="C41" s="534">
        <v>70000</v>
      </c>
      <c r="D41" s="534"/>
      <c r="E41" s="534"/>
      <c r="F41" s="550"/>
      <c r="G41" s="633">
        <f t="shared" si="0"/>
        <v>70000</v>
      </c>
    </row>
    <row r="42" spans="1:7" s="533" customFormat="1" ht="18" customHeight="1">
      <c r="A42" s="528" t="s">
        <v>370</v>
      </c>
      <c r="B42" s="542" t="s">
        <v>373</v>
      </c>
      <c r="C42" s="534">
        <v>40000</v>
      </c>
      <c r="D42" s="534"/>
      <c r="E42" s="534"/>
      <c r="F42" s="550"/>
      <c r="G42" s="633">
        <f t="shared" si="0"/>
        <v>40000</v>
      </c>
    </row>
    <row r="43" spans="1:7" s="533" customFormat="1" ht="15" customHeight="1">
      <c r="A43" s="528" t="s">
        <v>371</v>
      </c>
      <c r="B43" s="542" t="s">
        <v>372</v>
      </c>
      <c r="C43" s="534">
        <v>54060</v>
      </c>
      <c r="D43" s="534"/>
      <c r="E43" s="534"/>
      <c r="F43" s="550"/>
      <c r="G43" s="633">
        <f t="shared" si="0"/>
        <v>54060</v>
      </c>
    </row>
    <row r="48" spans="2:3" ht="12.75">
      <c r="B48" t="s">
        <v>412</v>
      </c>
      <c r="C48" t="s">
        <v>415</v>
      </c>
    </row>
    <row r="49" spans="2:3" ht="12.75">
      <c r="B49" t="s">
        <v>413</v>
      </c>
      <c r="C49" s="47" t="s">
        <v>416</v>
      </c>
    </row>
    <row r="50" spans="2:3" ht="12.75">
      <c r="B50" t="s">
        <v>414</v>
      </c>
      <c r="C50" s="47" t="s">
        <v>417</v>
      </c>
    </row>
  </sheetData>
  <mergeCells count="1">
    <mergeCell ref="D3:E3"/>
  </mergeCells>
  <printOptions horizontalCentered="1"/>
  <pageMargins left="0.3937007874015748" right="0.3937007874015748" top="0.984251968503937" bottom="0.984251968503937" header="0.5118110236220472" footer="0.5118110236220472"/>
  <pageSetup firstPageNumber="25" useFirstPageNumber="1" horizontalDpi="600" verticalDpi="600" orientation="landscape" paperSize="9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2">
      <selection activeCell="B27" sqref="B27"/>
    </sheetView>
  </sheetViews>
  <sheetFormatPr defaultColWidth="9.00390625" defaultRowHeight="12.75"/>
  <cols>
    <col min="1" max="1" width="9.375" style="22" customWidth="1"/>
    <col min="2" max="2" width="64.625" style="22" customWidth="1"/>
    <col min="3" max="3" width="21.75390625" style="22" customWidth="1"/>
    <col min="4" max="5" width="21.75390625" style="22" hidden="1" customWidth="1"/>
    <col min="6" max="6" width="21.75390625" style="22" customWidth="1"/>
    <col min="7" max="7" width="17.125" style="22" customWidth="1"/>
    <col min="8" max="8" width="19.125" style="22" customWidth="1"/>
    <col min="9" max="10" width="9.125" style="22" customWidth="1"/>
    <col min="11" max="11" width="17.625" style="22" customWidth="1"/>
    <col min="12" max="16384" width="9.125" style="22" customWidth="1"/>
  </cols>
  <sheetData>
    <row r="1" spans="2:7" ht="15.75" customHeight="1">
      <c r="B1" s="94"/>
      <c r="C1" s="95"/>
      <c r="D1" s="95"/>
      <c r="E1" s="95"/>
      <c r="G1" s="220" t="s">
        <v>109</v>
      </c>
    </row>
    <row r="2" spans="2:7" ht="15.75" customHeight="1">
      <c r="B2" s="96" t="s">
        <v>103</v>
      </c>
      <c r="C2" s="95"/>
      <c r="D2" s="95"/>
      <c r="E2" s="95"/>
      <c r="G2" s="220" t="s">
        <v>401</v>
      </c>
    </row>
    <row r="3" spans="2:7" ht="15.75" customHeight="1">
      <c r="B3" s="96" t="s">
        <v>104</v>
      </c>
      <c r="C3" s="95"/>
      <c r="D3" s="95"/>
      <c r="E3" s="95"/>
      <c r="G3" s="220" t="s">
        <v>193</v>
      </c>
    </row>
    <row r="4" spans="2:7" ht="15.75" customHeight="1">
      <c r="B4" s="97"/>
      <c r="C4" s="95"/>
      <c r="D4" s="95"/>
      <c r="E4" s="95"/>
      <c r="G4" s="22" t="s">
        <v>402</v>
      </c>
    </row>
    <row r="5" ht="13.5" customHeight="1">
      <c r="B5" s="97"/>
    </row>
    <row r="6" spans="1:8" ht="13.5" thickBot="1">
      <c r="A6" s="98"/>
      <c r="B6" s="99"/>
      <c r="C6" s="99"/>
      <c r="D6" s="99"/>
      <c r="E6" s="99"/>
      <c r="F6" s="100"/>
      <c r="G6" s="99"/>
      <c r="H6" s="90" t="s">
        <v>64</v>
      </c>
    </row>
    <row r="7" spans="1:8" ht="89.25" customHeight="1" thickBot="1" thickTop="1">
      <c r="A7" s="21" t="s">
        <v>105</v>
      </c>
      <c r="B7" s="101" t="s">
        <v>73</v>
      </c>
      <c r="C7" s="93" t="s">
        <v>107</v>
      </c>
      <c r="D7" s="102" t="s">
        <v>72</v>
      </c>
      <c r="E7" s="93" t="s">
        <v>139</v>
      </c>
      <c r="F7" s="102" t="s">
        <v>72</v>
      </c>
      <c r="G7" s="93" t="s">
        <v>152</v>
      </c>
      <c r="H7" s="93" t="s">
        <v>155</v>
      </c>
    </row>
    <row r="8" spans="1:8" ht="14.25" thickBot="1" thickTop="1">
      <c r="A8" s="72">
        <v>1</v>
      </c>
      <c r="B8" s="103">
        <v>2</v>
      </c>
      <c r="C8" s="72">
        <v>3</v>
      </c>
      <c r="D8" s="72">
        <v>4</v>
      </c>
      <c r="E8" s="72">
        <v>5</v>
      </c>
      <c r="F8" s="72">
        <v>4</v>
      </c>
      <c r="G8" s="72">
        <v>5</v>
      </c>
      <c r="H8" s="72">
        <v>6</v>
      </c>
    </row>
    <row r="9" spans="1:8" ht="21.75" customHeight="1" thickTop="1">
      <c r="A9" s="104"/>
      <c r="B9" s="105" t="s">
        <v>68</v>
      </c>
      <c r="C9" s="106">
        <v>45025452</v>
      </c>
      <c r="D9" s="106">
        <f>D10</f>
        <v>0</v>
      </c>
      <c r="E9" s="106">
        <f>C9+D9</f>
        <v>45025452</v>
      </c>
      <c r="F9" s="43">
        <f>F12</f>
        <v>-3690000</v>
      </c>
      <c r="G9" s="106">
        <f>C9+F9</f>
        <v>41335452</v>
      </c>
      <c r="H9" s="43">
        <v>27830000</v>
      </c>
    </row>
    <row r="10" spans="1:8" s="38" customFormat="1" ht="29.25" customHeight="1" hidden="1">
      <c r="A10" s="107">
        <v>951</v>
      </c>
      <c r="B10" s="149" t="s">
        <v>136</v>
      </c>
      <c r="C10" s="44"/>
      <c r="D10" s="44">
        <f>D11</f>
        <v>0</v>
      </c>
      <c r="E10" s="44">
        <f>C10+D10</f>
        <v>0</v>
      </c>
      <c r="F10" s="44"/>
      <c r="G10" s="44"/>
      <c r="H10" s="44"/>
    </row>
    <row r="11" spans="1:8" s="38" customFormat="1" ht="29.25" customHeight="1" hidden="1">
      <c r="A11" s="108"/>
      <c r="B11" s="174" t="s">
        <v>140</v>
      </c>
      <c r="C11" s="109"/>
      <c r="D11" s="109"/>
      <c r="E11" s="109">
        <f>D11</f>
        <v>0</v>
      </c>
      <c r="F11" s="44"/>
      <c r="G11" s="109"/>
      <c r="H11" s="44"/>
    </row>
    <row r="12" spans="1:8" s="38" customFormat="1" ht="19.5" customHeight="1">
      <c r="A12" s="107">
        <v>952</v>
      </c>
      <c r="B12" s="149" t="s">
        <v>153</v>
      </c>
      <c r="C12" s="44">
        <v>38117500</v>
      </c>
      <c r="D12" s="44"/>
      <c r="E12" s="44"/>
      <c r="F12" s="44">
        <f>F13</f>
        <v>-3690000</v>
      </c>
      <c r="G12" s="44">
        <f>C12+F12</f>
        <v>34427500</v>
      </c>
      <c r="H12" s="44"/>
    </row>
    <row r="13" spans="1:8" s="38" customFormat="1" ht="19.5" customHeight="1">
      <c r="A13" s="108"/>
      <c r="B13" s="40" t="s">
        <v>154</v>
      </c>
      <c r="C13" s="109">
        <v>38117500</v>
      </c>
      <c r="D13" s="109"/>
      <c r="E13" s="109"/>
      <c r="F13" s="109">
        <v>-3690000</v>
      </c>
      <c r="G13" s="109">
        <f>C13+F13</f>
        <v>34427500</v>
      </c>
      <c r="H13" s="109"/>
    </row>
    <row r="14" spans="1:8" ht="18" customHeight="1">
      <c r="A14" s="110"/>
      <c r="B14" s="110"/>
      <c r="C14" s="110"/>
      <c r="D14" s="110"/>
      <c r="E14" s="110"/>
      <c r="F14" s="110"/>
      <c r="G14" s="110"/>
      <c r="H14" s="110"/>
    </row>
    <row r="15" spans="1:8" ht="15.75" customHeight="1">
      <c r="A15" s="99"/>
      <c r="B15" s="214" t="s">
        <v>106</v>
      </c>
      <c r="C15" s="99"/>
      <c r="D15" s="99"/>
      <c r="E15" s="99"/>
      <c r="F15" s="215"/>
      <c r="G15" s="99"/>
      <c r="H15" s="215"/>
    </row>
    <row r="16" spans="2:8" ht="15.75" customHeight="1">
      <c r="B16" s="216" t="s">
        <v>189</v>
      </c>
      <c r="F16" s="73"/>
      <c r="H16" s="73"/>
    </row>
    <row r="17" ht="15.75" customHeight="1">
      <c r="B17" s="22" t="s">
        <v>188</v>
      </c>
    </row>
    <row r="18" ht="15.75" customHeight="1">
      <c r="B18" s="22" t="s">
        <v>116</v>
      </c>
    </row>
    <row r="19" s="202" customFormat="1" ht="15.75" customHeight="1"/>
    <row r="20" s="202" customFormat="1" ht="15.75" customHeight="1"/>
    <row r="21" s="202" customFormat="1" ht="15.75" customHeight="1"/>
    <row r="22" s="202" customFormat="1" ht="15.75" customHeight="1"/>
    <row r="23" s="202" customFormat="1" ht="15.75" customHeight="1"/>
    <row r="24" spans="2:3" s="202" customFormat="1" ht="15.75" customHeight="1">
      <c r="B24" t="s">
        <v>412</v>
      </c>
      <c r="C24" t="s">
        <v>415</v>
      </c>
    </row>
    <row r="25" spans="2:6" s="202" customFormat="1" ht="15.75" customHeight="1">
      <c r="B25" t="s">
        <v>413</v>
      </c>
      <c r="C25" s="47" t="s">
        <v>416</v>
      </c>
      <c r="F25" s="203"/>
    </row>
    <row r="26" spans="2:6" s="202" customFormat="1" ht="15.75" customHeight="1">
      <c r="B26" t="s">
        <v>414</v>
      </c>
      <c r="C26" s="47" t="s">
        <v>417</v>
      </c>
      <c r="F26" s="203"/>
    </row>
  </sheetData>
  <printOptions/>
  <pageMargins left="0.5905511811023623" right="0.5905511811023623" top="0.984251968503937" bottom="0.984251968503937" header="0.5118110236220472" footer="0.5118110236220472"/>
  <pageSetup firstPageNumber="26" useFirstPageNumber="1" horizontalDpi="600" verticalDpi="600" orientation="landscape" paperSize="9" scale="8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zoomScale="75" zoomScaleNormal="75" workbookViewId="0" topLeftCell="A34">
      <selection activeCell="C56" sqref="C56"/>
    </sheetView>
  </sheetViews>
  <sheetFormatPr defaultColWidth="9.00390625" defaultRowHeight="12.75"/>
  <cols>
    <col min="1" max="1" width="7.375" style="38" customWidth="1"/>
    <col min="2" max="2" width="8.125" style="38" customWidth="1"/>
    <col min="3" max="3" width="74.00390625" style="38" customWidth="1"/>
    <col min="4" max="4" width="26.375" style="38" customWidth="1"/>
    <col min="5" max="5" width="18.00390625" style="38" customWidth="1"/>
    <col min="6" max="6" width="23.75390625" style="38" customWidth="1"/>
  </cols>
  <sheetData>
    <row r="1" spans="4:5" ht="14.25">
      <c r="D1" s="126"/>
      <c r="E1" s="73" t="s">
        <v>243</v>
      </c>
    </row>
    <row r="2" spans="2:5" ht="15.75">
      <c r="B2" s="19" t="s">
        <v>120</v>
      </c>
      <c r="D2" s="126"/>
      <c r="E2" s="73" t="s">
        <v>401</v>
      </c>
    </row>
    <row r="3" spans="1:5" ht="15.75">
      <c r="A3" s="19"/>
      <c r="B3" s="19" t="s">
        <v>121</v>
      </c>
      <c r="D3" s="126"/>
      <c r="E3" s="73" t="s">
        <v>193</v>
      </c>
    </row>
    <row r="4" spans="2:5" ht="15.75">
      <c r="B4" s="19" t="s">
        <v>90</v>
      </c>
      <c r="D4" s="126"/>
      <c r="E4" s="73" t="s">
        <v>402</v>
      </c>
    </row>
    <row r="5" spans="1:6" ht="15.75">
      <c r="A5" s="19"/>
      <c r="C5" s="19"/>
      <c r="D5" s="19"/>
      <c r="E5" s="19"/>
      <c r="F5" s="19"/>
    </row>
    <row r="6" spans="3:6" ht="15.75" thickBot="1">
      <c r="C6" s="127"/>
      <c r="D6" s="128"/>
      <c r="E6" s="128"/>
      <c r="F6" s="129" t="s">
        <v>64</v>
      </c>
    </row>
    <row r="7" spans="1:6" ht="33" customHeight="1" thickTop="1">
      <c r="A7" s="39"/>
      <c r="B7" s="130"/>
      <c r="C7" s="131" t="s">
        <v>73</v>
      </c>
      <c r="D7" s="642" t="s">
        <v>122</v>
      </c>
      <c r="E7" s="642" t="s">
        <v>72</v>
      </c>
      <c r="F7" s="642" t="s">
        <v>75</v>
      </c>
    </row>
    <row r="8" spans="1:6" ht="45.75" customHeight="1" thickBot="1">
      <c r="A8" s="132" t="s">
        <v>57</v>
      </c>
      <c r="B8" s="133" t="s">
        <v>123</v>
      </c>
      <c r="C8" s="132" t="s">
        <v>124</v>
      </c>
      <c r="D8" s="643" t="s">
        <v>125</v>
      </c>
      <c r="E8" s="643"/>
      <c r="F8" s="643"/>
    </row>
    <row r="9" spans="1:6" ht="14.25" thickBot="1" thickTop="1">
      <c r="A9" s="134">
        <v>1</v>
      </c>
      <c r="B9" s="134">
        <v>2</v>
      </c>
      <c r="C9" s="134">
        <v>3</v>
      </c>
      <c r="D9" s="135">
        <v>4</v>
      </c>
      <c r="E9" s="135">
        <v>5</v>
      </c>
      <c r="F9" s="135">
        <v>6</v>
      </c>
    </row>
    <row r="10" spans="1:8" ht="24.75" customHeight="1" thickTop="1">
      <c r="A10" s="136"/>
      <c r="B10" s="136"/>
      <c r="C10" s="137" t="s">
        <v>126</v>
      </c>
      <c r="D10" s="138">
        <v>476420</v>
      </c>
      <c r="E10" s="138"/>
      <c r="F10" s="138">
        <f>E10+D10</f>
        <v>476420</v>
      </c>
      <c r="H10" s="47"/>
    </row>
    <row r="11" spans="1:6" ht="21.75" customHeight="1" hidden="1">
      <c r="A11" s="139"/>
      <c r="B11" s="139"/>
      <c r="C11" s="140" t="s">
        <v>127</v>
      </c>
      <c r="D11" s="141"/>
      <c r="E11" s="141"/>
      <c r="F11" s="141"/>
    </row>
    <row r="12" spans="1:6" ht="19.5" customHeight="1">
      <c r="A12" s="148"/>
      <c r="B12" s="403"/>
      <c r="C12" s="143" t="s">
        <v>128</v>
      </c>
      <c r="D12" s="144">
        <v>3105800</v>
      </c>
      <c r="E12" s="144">
        <f>E13</f>
        <v>2500</v>
      </c>
      <c r="F12" s="144">
        <f>E12+D12</f>
        <v>3108300</v>
      </c>
    </row>
    <row r="13" spans="1:6" ht="19.5" customHeight="1">
      <c r="A13" s="401"/>
      <c r="B13" s="401"/>
      <c r="C13" s="404" t="s">
        <v>238</v>
      </c>
      <c r="D13" s="402">
        <v>3105800</v>
      </c>
      <c r="E13" s="402">
        <f>E14</f>
        <v>2500</v>
      </c>
      <c r="F13" s="402">
        <f>D13+E13</f>
        <v>3108300</v>
      </c>
    </row>
    <row r="14" spans="1:6" ht="19.5" customHeight="1">
      <c r="A14" s="145">
        <v>900</v>
      </c>
      <c r="B14" s="146"/>
      <c r="C14" s="147" t="s">
        <v>118</v>
      </c>
      <c r="D14" s="43">
        <v>3105800</v>
      </c>
      <c r="E14" s="43">
        <f>E15</f>
        <v>2500</v>
      </c>
      <c r="F14" s="43">
        <f>E14+D14</f>
        <v>3108300</v>
      </c>
    </row>
    <row r="15" spans="1:6" ht="19.5" customHeight="1">
      <c r="A15" s="148"/>
      <c r="B15" s="41">
        <v>90011</v>
      </c>
      <c r="C15" s="149" t="s">
        <v>129</v>
      </c>
      <c r="D15" s="150">
        <v>3105800</v>
      </c>
      <c r="E15" s="150">
        <f>E16</f>
        <v>2500</v>
      </c>
      <c r="F15" s="150">
        <f>E15+D15</f>
        <v>3108300</v>
      </c>
    </row>
    <row r="16" spans="1:6" ht="30" customHeight="1">
      <c r="A16" s="148"/>
      <c r="B16" s="148"/>
      <c r="C16" s="151" t="s">
        <v>130</v>
      </c>
      <c r="D16" s="152">
        <v>80800</v>
      </c>
      <c r="E16" s="152">
        <f>E17</f>
        <v>2500</v>
      </c>
      <c r="F16" s="152">
        <f>E16+D16</f>
        <v>83300</v>
      </c>
    </row>
    <row r="17" spans="1:6" ht="19.5" customHeight="1">
      <c r="A17" s="148"/>
      <c r="B17" s="153">
        <v>2960</v>
      </c>
      <c r="C17" s="140" t="s">
        <v>131</v>
      </c>
      <c r="D17" s="154">
        <v>80800</v>
      </c>
      <c r="E17" s="154">
        <v>2500</v>
      </c>
      <c r="F17" s="154">
        <f>E17+D17</f>
        <v>83300</v>
      </c>
    </row>
    <row r="18" spans="1:8" ht="21.75" customHeight="1">
      <c r="A18" s="42"/>
      <c r="B18" s="42"/>
      <c r="C18" s="155" t="s">
        <v>132</v>
      </c>
      <c r="D18" s="156">
        <v>3582220</v>
      </c>
      <c r="E18" s="156"/>
      <c r="F18" s="156">
        <f>F12+F10</f>
        <v>3584720</v>
      </c>
      <c r="H18" s="47"/>
    </row>
    <row r="19" spans="1:6" ht="19.5" customHeight="1">
      <c r="A19" s="408"/>
      <c r="B19" s="409"/>
      <c r="C19" s="157" t="s">
        <v>74</v>
      </c>
      <c r="D19" s="158">
        <v>3481000</v>
      </c>
      <c r="E19" s="158">
        <f>E20</f>
        <v>2500</v>
      </c>
      <c r="F19" s="158">
        <f aca="true" t="shared" si="0" ref="F19:F39">E19+D19</f>
        <v>3483500</v>
      </c>
    </row>
    <row r="20" spans="1:6" s="218" customFormat="1" ht="19.5" customHeight="1">
      <c r="A20" s="410"/>
      <c r="B20" s="411"/>
      <c r="C20" s="412" t="s">
        <v>239</v>
      </c>
      <c r="D20" s="407">
        <v>3436800</v>
      </c>
      <c r="E20" s="407">
        <f>E21+E34</f>
        <v>2500</v>
      </c>
      <c r="F20" s="407">
        <f t="shared" si="0"/>
        <v>3439300</v>
      </c>
    </row>
    <row r="21" spans="1:6" s="218" customFormat="1" ht="19.5" customHeight="1">
      <c r="A21" s="405"/>
      <c r="B21" s="406"/>
      <c r="C21" s="412" t="s">
        <v>240</v>
      </c>
      <c r="D21" s="407">
        <v>1846800</v>
      </c>
      <c r="E21" s="407">
        <f>E22</f>
        <v>2500</v>
      </c>
      <c r="F21" s="407">
        <f t="shared" si="0"/>
        <v>1849300</v>
      </c>
    </row>
    <row r="22" spans="1:6" ht="19.5" customHeight="1">
      <c r="A22" s="145">
        <v>900</v>
      </c>
      <c r="B22" s="146"/>
      <c r="C22" s="147" t="s">
        <v>118</v>
      </c>
      <c r="D22" s="43">
        <v>1846800</v>
      </c>
      <c r="E22" s="43">
        <f>E23</f>
        <v>2500</v>
      </c>
      <c r="F22" s="43">
        <f t="shared" si="0"/>
        <v>1849300</v>
      </c>
    </row>
    <row r="23" spans="1:6" ht="19.5" customHeight="1">
      <c r="A23" s="148"/>
      <c r="B23" s="41">
        <v>90011</v>
      </c>
      <c r="C23" s="149" t="s">
        <v>129</v>
      </c>
      <c r="D23" s="150">
        <v>1846800</v>
      </c>
      <c r="E23" s="150">
        <f>E24+E26+E28+E30+E32</f>
        <v>2500</v>
      </c>
      <c r="F23" s="150">
        <f t="shared" si="0"/>
        <v>1849300</v>
      </c>
    </row>
    <row r="24" spans="1:6" ht="20.25" customHeight="1">
      <c r="A24" s="162"/>
      <c r="B24" s="159"/>
      <c r="C24" s="163" t="s">
        <v>161</v>
      </c>
      <c r="D24" s="160">
        <v>206600</v>
      </c>
      <c r="E24" s="160">
        <f>E25</f>
        <v>2500</v>
      </c>
      <c r="F24" s="160">
        <f t="shared" si="0"/>
        <v>209100</v>
      </c>
    </row>
    <row r="25" spans="1:6" ht="19.5" customHeight="1">
      <c r="A25" s="162"/>
      <c r="B25" s="153">
        <v>4210</v>
      </c>
      <c r="C25" s="475" t="s">
        <v>176</v>
      </c>
      <c r="D25" s="164">
        <v>30000</v>
      </c>
      <c r="E25" s="164">
        <v>2500</v>
      </c>
      <c r="F25" s="164">
        <f t="shared" si="0"/>
        <v>32500</v>
      </c>
    </row>
    <row r="26" spans="1:6" s="22" customFormat="1" ht="25.5" customHeight="1">
      <c r="A26" s="148"/>
      <c r="B26" s="159"/>
      <c r="C26" s="151" t="s">
        <v>299</v>
      </c>
      <c r="D26" s="160">
        <v>100000</v>
      </c>
      <c r="E26" s="160">
        <f>E27</f>
        <v>15000</v>
      </c>
      <c r="F26" s="160">
        <f t="shared" si="0"/>
        <v>115000</v>
      </c>
    </row>
    <row r="27" spans="1:6" ht="19.5" customHeight="1">
      <c r="A27" s="162"/>
      <c r="B27" s="153">
        <v>4300</v>
      </c>
      <c r="C27" s="140" t="s">
        <v>203</v>
      </c>
      <c r="D27" s="161">
        <v>88600</v>
      </c>
      <c r="E27" s="447">
        <v>15000</v>
      </c>
      <c r="F27" s="447">
        <f t="shared" si="0"/>
        <v>103600</v>
      </c>
    </row>
    <row r="28" spans="1:6" s="22" customFormat="1" ht="19.5" customHeight="1">
      <c r="A28" s="148"/>
      <c r="B28" s="159"/>
      <c r="C28" s="151" t="s">
        <v>300</v>
      </c>
      <c r="D28" s="160">
        <v>165000</v>
      </c>
      <c r="E28" s="160">
        <f>E29</f>
        <v>75000</v>
      </c>
      <c r="F28" s="160">
        <f t="shared" si="0"/>
        <v>240000</v>
      </c>
    </row>
    <row r="29" spans="1:6" ht="19.5" customHeight="1">
      <c r="A29" s="162"/>
      <c r="B29" s="153">
        <v>4270</v>
      </c>
      <c r="C29" s="140" t="s">
        <v>298</v>
      </c>
      <c r="D29" s="447">
        <v>165000</v>
      </c>
      <c r="E29" s="447">
        <v>75000</v>
      </c>
      <c r="F29" s="447">
        <f t="shared" si="0"/>
        <v>240000</v>
      </c>
    </row>
    <row r="30" spans="1:6" s="22" customFormat="1" ht="19.5" customHeight="1">
      <c r="A30" s="148"/>
      <c r="B30" s="159"/>
      <c r="C30" s="151" t="s">
        <v>301</v>
      </c>
      <c r="D30" s="160">
        <f>D31</f>
        <v>115000</v>
      </c>
      <c r="E30" s="160">
        <f>E31</f>
        <v>-115000</v>
      </c>
      <c r="F30" s="160">
        <f t="shared" si="0"/>
        <v>0</v>
      </c>
    </row>
    <row r="31" spans="1:6" ht="19.5" customHeight="1">
      <c r="A31" s="153"/>
      <c r="B31" s="153">
        <v>4270</v>
      </c>
      <c r="C31" s="140" t="s">
        <v>298</v>
      </c>
      <c r="D31" s="161">
        <v>115000</v>
      </c>
      <c r="E31" s="161">
        <v>-115000</v>
      </c>
      <c r="F31" s="161">
        <f t="shared" si="0"/>
        <v>0</v>
      </c>
    </row>
    <row r="32" spans="1:6" ht="27" customHeight="1">
      <c r="A32" s="162"/>
      <c r="B32" s="159"/>
      <c r="C32" s="151" t="s">
        <v>302</v>
      </c>
      <c r="D32" s="576"/>
      <c r="E32" s="576">
        <f>E33</f>
        <v>25000</v>
      </c>
      <c r="F32" s="576">
        <f t="shared" si="0"/>
        <v>25000</v>
      </c>
    </row>
    <row r="33" spans="1:6" ht="19.5" customHeight="1">
      <c r="A33" s="162"/>
      <c r="B33" s="153">
        <v>4300</v>
      </c>
      <c r="C33" s="140" t="s">
        <v>203</v>
      </c>
      <c r="D33" s="161"/>
      <c r="E33" s="161">
        <v>25000</v>
      </c>
      <c r="F33" s="161">
        <f t="shared" si="0"/>
        <v>25000</v>
      </c>
    </row>
    <row r="34" spans="1:6" s="218" customFormat="1" ht="19.5" customHeight="1">
      <c r="A34" s="410"/>
      <c r="B34" s="411"/>
      <c r="C34" s="413" t="s">
        <v>241</v>
      </c>
      <c r="D34" s="414">
        <v>1170000</v>
      </c>
      <c r="E34" s="414">
        <f>E35+E37</f>
        <v>0</v>
      </c>
      <c r="F34" s="414">
        <f t="shared" si="0"/>
        <v>1170000</v>
      </c>
    </row>
    <row r="35" spans="1:6" ht="20.25" customHeight="1">
      <c r="A35" s="162"/>
      <c r="B35" s="159"/>
      <c r="C35" s="163" t="s">
        <v>144</v>
      </c>
      <c r="D35" s="160">
        <v>270000</v>
      </c>
      <c r="E35" s="160">
        <f>E36</f>
        <v>-270000</v>
      </c>
      <c r="F35" s="160">
        <f t="shared" si="0"/>
        <v>0</v>
      </c>
    </row>
    <row r="36" spans="1:6" ht="19.5" customHeight="1">
      <c r="A36" s="162"/>
      <c r="B36" s="153">
        <v>6110</v>
      </c>
      <c r="C36" s="140" t="s">
        <v>145</v>
      </c>
      <c r="D36" s="164">
        <v>270000</v>
      </c>
      <c r="E36" s="164">
        <v>-270000</v>
      </c>
      <c r="F36" s="164">
        <f t="shared" si="0"/>
        <v>0</v>
      </c>
    </row>
    <row r="37" spans="1:6" ht="21" customHeight="1">
      <c r="A37" s="162"/>
      <c r="B37" s="159"/>
      <c r="C37" s="151" t="s">
        <v>146</v>
      </c>
      <c r="D37" s="160"/>
      <c r="E37" s="160">
        <f>E38</f>
        <v>270000</v>
      </c>
      <c r="F37" s="160">
        <f t="shared" si="0"/>
        <v>270000</v>
      </c>
    </row>
    <row r="38" spans="1:6" ht="19.5" customHeight="1">
      <c r="A38" s="162"/>
      <c r="B38" s="153">
        <v>6110</v>
      </c>
      <c r="C38" s="140" t="s">
        <v>145</v>
      </c>
      <c r="D38" s="161"/>
      <c r="E38" s="161">
        <v>270000</v>
      </c>
      <c r="F38" s="161">
        <f t="shared" si="0"/>
        <v>270000</v>
      </c>
    </row>
    <row r="39" spans="1:6" ht="19.5" customHeight="1">
      <c r="A39" s="165"/>
      <c r="B39" s="165"/>
      <c r="C39" s="166" t="s">
        <v>133</v>
      </c>
      <c r="D39" s="167">
        <v>101220</v>
      </c>
      <c r="E39" s="167"/>
      <c r="F39" s="167">
        <f t="shared" si="0"/>
        <v>101220</v>
      </c>
    </row>
    <row r="40" spans="1:6" ht="19.5" customHeight="1">
      <c r="A40" s="41"/>
      <c r="B40" s="168"/>
      <c r="C40" s="169" t="s">
        <v>132</v>
      </c>
      <c r="D40" s="44">
        <f>D39+D19</f>
        <v>3582220</v>
      </c>
      <c r="E40" s="44"/>
      <c r="F40" s="44">
        <f>F19+F39</f>
        <v>3584720</v>
      </c>
    </row>
    <row r="46" spans="3:4" ht="14.25">
      <c r="C46" t="s">
        <v>412</v>
      </c>
      <c r="D46" t="s">
        <v>415</v>
      </c>
    </row>
    <row r="47" spans="3:4" ht="14.25">
      <c r="C47" t="s">
        <v>413</v>
      </c>
      <c r="D47" s="47" t="s">
        <v>416</v>
      </c>
    </row>
    <row r="48" spans="3:4" ht="14.25">
      <c r="C48" t="s">
        <v>414</v>
      </c>
      <c r="D48" s="47" t="s">
        <v>417</v>
      </c>
    </row>
  </sheetData>
  <mergeCells count="3">
    <mergeCell ref="D7:D8"/>
    <mergeCell ref="E7:E8"/>
    <mergeCell ref="F7:F8"/>
  </mergeCells>
  <printOptions horizontalCentered="1"/>
  <pageMargins left="0.5905511811023623" right="0.5905511811023623" top="0.5118110236220472" bottom="0.4330708661417323" header="0.5118110236220472" footer="0.2755905511811024"/>
  <pageSetup firstPageNumber="27" useFirstPageNumber="1" horizontalDpi="600" verticalDpi="600" orientation="landscape" paperSize="9" scale="8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zoomScale="75" zoomScaleNormal="75" workbookViewId="0" topLeftCell="A16">
      <selection activeCell="C34" sqref="C34"/>
    </sheetView>
  </sheetViews>
  <sheetFormatPr defaultColWidth="9.125" defaultRowHeight="12.75"/>
  <cols>
    <col min="1" max="1" width="6.25390625" style="0" customWidth="1"/>
    <col min="2" max="2" width="8.00390625" style="0" customWidth="1"/>
    <col min="3" max="3" width="60.625" style="0" customWidth="1"/>
    <col min="4" max="4" width="21.75390625" style="0" customWidth="1"/>
    <col min="5" max="5" width="18.875" style="0" customWidth="1"/>
    <col min="6" max="6" width="19.875" style="0" customWidth="1"/>
  </cols>
  <sheetData>
    <row r="1" spans="3:5" ht="15.75">
      <c r="C1" s="175"/>
      <c r="E1" s="219" t="s">
        <v>244</v>
      </c>
    </row>
    <row r="2" spans="3:5" ht="15.75">
      <c r="C2" s="175"/>
      <c r="E2" s="219" t="s">
        <v>401</v>
      </c>
    </row>
    <row r="3" spans="1:5" ht="15.75">
      <c r="A3" s="96"/>
      <c r="B3" s="176" t="s">
        <v>120</v>
      </c>
      <c r="C3" s="175"/>
      <c r="E3" s="219" t="s">
        <v>193</v>
      </c>
    </row>
    <row r="4" spans="2:5" ht="15.75">
      <c r="B4" s="176" t="s">
        <v>137</v>
      </c>
      <c r="C4" s="175"/>
      <c r="E4" s="22" t="s">
        <v>402</v>
      </c>
    </row>
    <row r="5" spans="3:6" ht="15.75">
      <c r="C5" s="175"/>
      <c r="F5" s="22"/>
    </row>
    <row r="7" spans="1:6" ht="15.75" customHeight="1" thickBot="1">
      <c r="A7" s="142"/>
      <c r="B7" s="142"/>
      <c r="C7" s="142"/>
      <c r="F7" s="90" t="s">
        <v>64</v>
      </c>
    </row>
    <row r="8" spans="1:6" ht="22.5" customHeight="1" thickTop="1">
      <c r="A8" s="177"/>
      <c r="B8" s="177"/>
      <c r="C8" s="178"/>
      <c r="D8" s="644" t="s">
        <v>92</v>
      </c>
      <c r="E8" s="93"/>
      <c r="F8" s="644" t="s">
        <v>75</v>
      </c>
    </row>
    <row r="9" spans="1:6" ht="54" customHeight="1" thickBot="1">
      <c r="A9" s="179" t="s">
        <v>57</v>
      </c>
      <c r="B9" s="125" t="s">
        <v>141</v>
      </c>
      <c r="C9" s="125" t="s">
        <v>142</v>
      </c>
      <c r="D9" s="643" t="s">
        <v>125</v>
      </c>
      <c r="E9" s="125" t="s">
        <v>72</v>
      </c>
      <c r="F9" s="645" t="s">
        <v>125</v>
      </c>
    </row>
    <row r="10" spans="1:6" ht="14.25" thickBot="1" thickTop="1">
      <c r="A10" s="134">
        <v>1</v>
      </c>
      <c r="B10" s="134">
        <v>2</v>
      </c>
      <c r="C10" s="134">
        <v>3</v>
      </c>
      <c r="D10" s="135">
        <v>4</v>
      </c>
      <c r="E10" s="135">
        <v>5</v>
      </c>
      <c r="F10" s="135">
        <v>6</v>
      </c>
    </row>
    <row r="11" spans="1:6" s="38" customFormat="1" ht="21" customHeight="1" thickTop="1">
      <c r="A11" s="180"/>
      <c r="B11" s="180"/>
      <c r="C11" s="181" t="s">
        <v>126</v>
      </c>
      <c r="D11" s="182">
        <v>14262</v>
      </c>
      <c r="E11" s="182"/>
      <c r="F11" s="182">
        <f>D11+E11</f>
        <v>14262</v>
      </c>
    </row>
    <row r="12" spans="1:6" s="38" customFormat="1" ht="18" customHeight="1" hidden="1">
      <c r="A12" s="183"/>
      <c r="B12" s="183"/>
      <c r="C12" s="184" t="s">
        <v>127</v>
      </c>
      <c r="D12" s="185"/>
      <c r="E12" s="185"/>
      <c r="F12" s="185"/>
    </row>
    <row r="13" spans="1:6" s="38" customFormat="1" ht="17.25" customHeight="1">
      <c r="A13" s="24"/>
      <c r="B13" s="198"/>
      <c r="C13" s="186" t="s">
        <v>128</v>
      </c>
      <c r="D13" s="187">
        <v>801000</v>
      </c>
      <c r="E13" s="187"/>
      <c r="F13" s="187">
        <f>D13+E13</f>
        <v>801000</v>
      </c>
    </row>
    <row r="14" spans="1:6" s="127" customFormat="1" ht="19.5" customHeight="1">
      <c r="A14" s="190"/>
      <c r="B14" s="25"/>
      <c r="C14" s="82" t="s">
        <v>132</v>
      </c>
      <c r="D14" s="65">
        <v>815262</v>
      </c>
      <c r="E14" s="65"/>
      <c r="F14" s="65">
        <f>D14+E14</f>
        <v>815262</v>
      </c>
    </row>
    <row r="15" spans="1:6" s="18" customFormat="1" ht="19.5" customHeight="1">
      <c r="A15" s="191"/>
      <c r="B15" s="191"/>
      <c r="C15" s="186" t="s">
        <v>138</v>
      </c>
      <c r="D15" s="187">
        <v>800000</v>
      </c>
      <c r="E15" s="187"/>
      <c r="F15" s="187">
        <f aca="true" t="shared" si="0" ref="F15:F22">E15+D15</f>
        <v>800000</v>
      </c>
    </row>
    <row r="16" spans="1:6" s="415" customFormat="1" ht="19.5" customHeight="1">
      <c r="A16" s="234"/>
      <c r="B16" s="234"/>
      <c r="C16" s="416" t="s">
        <v>242</v>
      </c>
      <c r="D16" s="189">
        <v>250000</v>
      </c>
      <c r="E16" s="189">
        <f>E17</f>
        <v>0</v>
      </c>
      <c r="F16" s="189">
        <f>D16+E16</f>
        <v>250000</v>
      </c>
    </row>
    <row r="17" spans="1:6" s="38" customFormat="1" ht="20.25" customHeight="1">
      <c r="A17" s="15">
        <v>900</v>
      </c>
      <c r="B17" s="188"/>
      <c r="C17" s="30" t="s">
        <v>118</v>
      </c>
      <c r="D17" s="64">
        <v>250000</v>
      </c>
      <c r="E17" s="64">
        <f>E18</f>
        <v>0</v>
      </c>
      <c r="F17" s="64">
        <f t="shared" si="0"/>
        <v>250000</v>
      </c>
    </row>
    <row r="18" spans="1:6" s="38" customFormat="1" ht="21" customHeight="1">
      <c r="A18" s="81"/>
      <c r="B18" s="31">
        <v>90011</v>
      </c>
      <c r="C18" s="32" t="s">
        <v>129</v>
      </c>
      <c r="D18" s="189">
        <v>250000</v>
      </c>
      <c r="E18" s="189">
        <f>E19+E21</f>
        <v>0</v>
      </c>
      <c r="F18" s="189">
        <f t="shared" si="0"/>
        <v>250000</v>
      </c>
    </row>
    <row r="19" spans="1:6" ht="30" customHeight="1">
      <c r="A19" s="162"/>
      <c r="B19" s="159"/>
      <c r="C19" s="163" t="s">
        <v>147</v>
      </c>
      <c r="D19" s="160">
        <v>50000</v>
      </c>
      <c r="E19" s="160">
        <f>E20</f>
        <v>-50000</v>
      </c>
      <c r="F19" s="160">
        <f t="shared" si="0"/>
        <v>0</v>
      </c>
    </row>
    <row r="20" spans="1:6" ht="19.5" customHeight="1">
      <c r="A20" s="162"/>
      <c r="B20" s="153">
        <v>6110</v>
      </c>
      <c r="C20" s="140" t="s">
        <v>145</v>
      </c>
      <c r="D20" s="164">
        <v>50000</v>
      </c>
      <c r="E20" s="164">
        <v>-50000</v>
      </c>
      <c r="F20" s="164">
        <f t="shared" si="0"/>
        <v>0</v>
      </c>
    </row>
    <row r="21" spans="1:6" ht="19.5" customHeight="1">
      <c r="A21" s="162"/>
      <c r="B21" s="159"/>
      <c r="C21" s="151" t="s">
        <v>148</v>
      </c>
      <c r="D21" s="160"/>
      <c r="E21" s="160">
        <f>E22</f>
        <v>50000</v>
      </c>
      <c r="F21" s="160">
        <f t="shared" si="0"/>
        <v>50000</v>
      </c>
    </row>
    <row r="22" spans="1:6" ht="19.5" customHeight="1">
      <c r="A22" s="162"/>
      <c r="B22" s="153">
        <v>6110</v>
      </c>
      <c r="C22" s="140" t="s">
        <v>145</v>
      </c>
      <c r="D22" s="164"/>
      <c r="E22" s="164">
        <v>50000</v>
      </c>
      <c r="F22" s="164">
        <f t="shared" si="0"/>
        <v>50000</v>
      </c>
    </row>
    <row r="23" spans="1:6" s="18" customFormat="1" ht="18.75" customHeight="1">
      <c r="A23" s="191"/>
      <c r="B23" s="192"/>
      <c r="C23" s="193" t="s">
        <v>133</v>
      </c>
      <c r="D23" s="194">
        <v>15262</v>
      </c>
      <c r="E23" s="194"/>
      <c r="F23" s="194">
        <f>D23+E23</f>
        <v>15262</v>
      </c>
    </row>
    <row r="24" spans="1:6" s="18" customFormat="1" ht="20.25" customHeight="1" hidden="1">
      <c r="A24" s="191"/>
      <c r="B24" s="192"/>
      <c r="C24" s="195" t="s">
        <v>127</v>
      </c>
      <c r="D24" s="185"/>
      <c r="E24" s="185"/>
      <c r="F24" s="185"/>
    </row>
    <row r="25" spans="1:6" s="127" customFormat="1" ht="19.5" customHeight="1">
      <c r="A25" s="31"/>
      <c r="B25" s="196"/>
      <c r="C25" s="197" t="s">
        <v>132</v>
      </c>
      <c r="D25" s="65">
        <v>815262</v>
      </c>
      <c r="E25" s="65"/>
      <c r="F25" s="65">
        <f>D25+E25</f>
        <v>815262</v>
      </c>
    </row>
    <row r="26" s="38" customFormat="1" ht="19.5" customHeight="1"/>
    <row r="27" spans="4:6" s="38" customFormat="1" ht="19.5" customHeight="1">
      <c r="D27" s="126"/>
      <c r="E27" s="126"/>
      <c r="F27" s="126"/>
    </row>
    <row r="28" ht="12.75">
      <c r="D28" t="s">
        <v>415</v>
      </c>
    </row>
    <row r="29" spans="2:4" ht="12.75">
      <c r="B29" t="s">
        <v>412</v>
      </c>
      <c r="D29" s="47" t="s">
        <v>416</v>
      </c>
    </row>
    <row r="30" spans="2:4" ht="12.75">
      <c r="B30" t="s">
        <v>413</v>
      </c>
      <c r="D30" s="47" t="s">
        <v>417</v>
      </c>
    </row>
    <row r="31" ht="12.75">
      <c r="B31" t="s">
        <v>414</v>
      </c>
    </row>
  </sheetData>
  <mergeCells count="2">
    <mergeCell ref="D8:D9"/>
    <mergeCell ref="F8:F9"/>
  </mergeCells>
  <printOptions horizontalCentered="1"/>
  <pageMargins left="0.7874015748031497" right="0.7874015748031497" top="0.6692913385826772" bottom="0.7086614173228347" header="0.5118110236220472" footer="0.5118110236220472"/>
  <pageSetup firstPageNumber="29" useFirstPageNumber="1" horizontalDpi="600" verticalDpi="600" orientation="landscape" paperSize="9" scale="9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28">
      <selection activeCell="C40" sqref="C39:C40"/>
    </sheetView>
  </sheetViews>
  <sheetFormatPr defaultColWidth="9.00390625" defaultRowHeight="12.75"/>
  <cols>
    <col min="1" max="1" width="6.25390625" style="0" customWidth="1"/>
    <col min="2" max="2" width="8.00390625" style="0" customWidth="1"/>
    <col min="3" max="3" width="52.75390625" style="0" customWidth="1"/>
    <col min="4" max="4" width="16.375" style="0" customWidth="1"/>
    <col min="5" max="8" width="13.75390625" style="0" customWidth="1"/>
    <col min="9" max="12" width="11.375" style="47" customWidth="1"/>
    <col min="13" max="16384" width="11.375" style="0" customWidth="1"/>
  </cols>
  <sheetData>
    <row r="1" spans="1:8" ht="15.75" customHeight="1">
      <c r="A1" s="322"/>
      <c r="B1" s="322"/>
      <c r="C1" s="322"/>
      <c r="D1" s="322"/>
      <c r="E1" s="323"/>
      <c r="F1" s="323"/>
      <c r="G1" s="324" t="s">
        <v>97</v>
      </c>
      <c r="H1" s="323"/>
    </row>
    <row r="2" spans="1:8" ht="15.75" customHeight="1">
      <c r="A2" s="322"/>
      <c r="B2" s="325"/>
      <c r="C2" s="322"/>
      <c r="D2" s="322"/>
      <c r="E2" s="323"/>
      <c r="F2" s="323"/>
      <c r="G2" s="22" t="s">
        <v>401</v>
      </c>
      <c r="H2" s="323"/>
    </row>
    <row r="3" spans="1:8" ht="15.75" customHeight="1">
      <c r="A3" s="322"/>
      <c r="B3" s="322"/>
      <c r="C3" s="326" t="s">
        <v>225</v>
      </c>
      <c r="D3" s="322"/>
      <c r="E3" s="323"/>
      <c r="F3" s="322"/>
      <c r="G3" s="22" t="s">
        <v>193</v>
      </c>
      <c r="H3" s="323"/>
    </row>
    <row r="4" spans="1:8" ht="15.75" customHeight="1">
      <c r="A4" s="322"/>
      <c r="B4" s="322"/>
      <c r="C4" s="322"/>
      <c r="D4" s="322"/>
      <c r="E4" s="323"/>
      <c r="F4" s="322"/>
      <c r="G4" s="22" t="s">
        <v>402</v>
      </c>
      <c r="H4" s="323"/>
    </row>
    <row r="5" spans="1:8" ht="10.5" customHeight="1">
      <c r="A5" s="322"/>
      <c r="B5" s="322"/>
      <c r="C5" s="325"/>
      <c r="D5" s="323"/>
      <c r="E5" s="323"/>
      <c r="F5" s="323"/>
      <c r="G5" s="323"/>
      <c r="H5" s="323"/>
    </row>
    <row r="6" spans="1:8" ht="13.5" thickBot="1">
      <c r="A6" s="322"/>
      <c r="B6" s="322"/>
      <c r="C6" s="325"/>
      <c r="D6" s="323"/>
      <c r="E6" s="327"/>
      <c r="F6" s="327"/>
      <c r="G6" s="327"/>
      <c r="H6" s="328" t="s">
        <v>64</v>
      </c>
    </row>
    <row r="7" spans="1:8" ht="45.75" customHeight="1" thickBot="1" thickTop="1">
      <c r="A7" s="329" t="s">
        <v>57</v>
      </c>
      <c r="B7" s="330" t="s">
        <v>226</v>
      </c>
      <c r="C7" s="331" t="s">
        <v>227</v>
      </c>
      <c r="D7" s="332" t="s">
        <v>228</v>
      </c>
      <c r="E7" s="333" t="s">
        <v>229</v>
      </c>
      <c r="F7" s="333" t="s">
        <v>230</v>
      </c>
      <c r="G7" s="333" t="s">
        <v>231</v>
      </c>
      <c r="H7" s="333" t="s">
        <v>232</v>
      </c>
    </row>
    <row r="8" spans="1:8" ht="12.75" customHeight="1" thickBot="1" thickTop="1">
      <c r="A8" s="334">
        <v>1</v>
      </c>
      <c r="B8" s="335">
        <v>2</v>
      </c>
      <c r="C8" s="336">
        <v>3</v>
      </c>
      <c r="D8" s="337">
        <v>4</v>
      </c>
      <c r="E8" s="337">
        <v>5</v>
      </c>
      <c r="F8" s="337">
        <v>6</v>
      </c>
      <c r="G8" s="337">
        <v>7</v>
      </c>
      <c r="H8" s="337">
        <v>8</v>
      </c>
    </row>
    <row r="9" spans="1:8" ht="24" customHeight="1" thickTop="1">
      <c r="A9" s="338"/>
      <c r="B9" s="339"/>
      <c r="C9" s="340" t="s">
        <v>233</v>
      </c>
      <c r="D9" s="341">
        <f aca="true" t="shared" si="0" ref="D9:D26">SUM(E9:H9)</f>
        <v>777724629</v>
      </c>
      <c r="E9" s="342">
        <f>198181909+E16+E17+E22+E25+E26+E27+E29</f>
        <v>198181909</v>
      </c>
      <c r="F9" s="342">
        <f>202972585+F16+F17+F22+F25+F26+F27+F29</f>
        <v>202972585</v>
      </c>
      <c r="G9" s="342">
        <f>191781059+G16+G17+G22+G25+G26+G27+G29</f>
        <v>191781059</v>
      </c>
      <c r="H9" s="342">
        <f>184229866+H16+H17+H22+H25+H26+H27+H29</f>
        <v>184789076</v>
      </c>
    </row>
    <row r="10" spans="1:9" ht="21" customHeight="1">
      <c r="A10" s="343"/>
      <c r="B10" s="344"/>
      <c r="C10" s="558" t="s">
        <v>202</v>
      </c>
      <c r="D10" s="559">
        <f t="shared" si="0"/>
        <v>764137069</v>
      </c>
      <c r="E10" s="559">
        <f>194498067+E16+E17+E22+E25+E26+E27+E29</f>
        <v>194498067</v>
      </c>
      <c r="F10" s="559">
        <f>199239666+F16+F17+F22+F25+F26+F27+F29</f>
        <v>199239666</v>
      </c>
      <c r="G10" s="559">
        <f>189401442+G16+G17+G22+G25+G26+G27+G29</f>
        <v>189401442</v>
      </c>
      <c r="H10" s="559">
        <f>180438684+H16+H17+H22+H25+H26+H27+H29</f>
        <v>180997894</v>
      </c>
      <c r="I10" s="47">
        <f>H16+H17+H22+H25+H26+H27+H29</f>
        <v>559210</v>
      </c>
    </row>
    <row r="11" spans="1:8" ht="20.25" customHeight="1">
      <c r="A11" s="343"/>
      <c r="B11" s="344"/>
      <c r="C11" s="320" t="s">
        <v>307</v>
      </c>
      <c r="D11" s="557">
        <f t="shared" si="0"/>
        <v>692083969</v>
      </c>
      <c r="E11" s="557">
        <f>177693715+E16+E17+E22+E25+E26+E27+E29</f>
        <v>177693715</v>
      </c>
      <c r="F11" s="557">
        <f>174451918+F16+F17+F22+F25+F26+F27+F29</f>
        <v>174451918</v>
      </c>
      <c r="G11" s="557">
        <f>172528242+G16+G17+G22+G25+G26+G27+G29</f>
        <v>172528242</v>
      </c>
      <c r="H11" s="557">
        <f>166850884+H16+H17+H22+H25+H26+H27+H29</f>
        <v>167410094</v>
      </c>
    </row>
    <row r="12" spans="1:8" ht="19.5" customHeight="1" thickBot="1">
      <c r="A12" s="345"/>
      <c r="B12" s="346"/>
      <c r="C12" s="457" t="s">
        <v>234</v>
      </c>
      <c r="D12" s="269">
        <f aca="true" t="shared" si="1" ref="D12:D17">SUM(E12:H12)</f>
        <v>476187369</v>
      </c>
      <c r="E12" s="269">
        <f>119362461+E16+E17</f>
        <v>119362461</v>
      </c>
      <c r="F12" s="269">
        <f>118828106+F16+F17</f>
        <v>118828106</v>
      </c>
      <c r="G12" s="269">
        <f>121465333+G16+G17</f>
        <v>121465333</v>
      </c>
      <c r="H12" s="269">
        <f>116473069+H16+H17</f>
        <v>116531469</v>
      </c>
    </row>
    <row r="13" spans="1:12" s="27" customFormat="1" ht="19.5" customHeight="1" thickBot="1">
      <c r="A13" s="458"/>
      <c r="B13" s="460"/>
      <c r="C13" s="89" t="s">
        <v>77</v>
      </c>
      <c r="D13" s="354">
        <f t="shared" si="1"/>
        <v>11469443</v>
      </c>
      <c r="E13" s="354">
        <f>2584537+E16+E17</f>
        <v>2584537</v>
      </c>
      <c r="F13" s="354">
        <f>3623143+F16+F17</f>
        <v>3623143</v>
      </c>
      <c r="G13" s="354">
        <f>2545152+G16+G17</f>
        <v>2545152</v>
      </c>
      <c r="H13" s="354">
        <f>2658211+H16+H17</f>
        <v>2716611</v>
      </c>
      <c r="I13" s="349"/>
      <c r="J13" s="349"/>
      <c r="K13" s="349"/>
      <c r="L13" s="349"/>
    </row>
    <row r="14" spans="1:12" s="22" customFormat="1" ht="19.5" customHeight="1" thickTop="1">
      <c r="A14" s="271">
        <v>801</v>
      </c>
      <c r="B14" s="271"/>
      <c r="C14" s="271" t="s">
        <v>69</v>
      </c>
      <c r="D14" s="355">
        <f t="shared" si="1"/>
        <v>112913</v>
      </c>
      <c r="E14" s="355"/>
      <c r="F14" s="355">
        <f>43101+F16+F17</f>
        <v>43101</v>
      </c>
      <c r="G14" s="355">
        <f>11412+G16+G17</f>
        <v>11412</v>
      </c>
      <c r="H14" s="355">
        <f>H16+H17</f>
        <v>58400</v>
      </c>
      <c r="I14" s="73"/>
      <c r="J14" s="73"/>
      <c r="K14" s="73"/>
      <c r="L14" s="73"/>
    </row>
    <row r="15" spans="1:12" s="27" customFormat="1" ht="19.5" customHeight="1">
      <c r="A15" s="347"/>
      <c r="B15" s="259">
        <v>80101</v>
      </c>
      <c r="C15" s="368" t="s">
        <v>173</v>
      </c>
      <c r="D15" s="348">
        <f t="shared" si="1"/>
        <v>53813</v>
      </c>
      <c r="E15" s="348"/>
      <c r="F15" s="348">
        <v>43101</v>
      </c>
      <c r="G15" s="348">
        <v>10712</v>
      </c>
      <c r="H15" s="348"/>
      <c r="I15" s="349"/>
      <c r="J15" s="349"/>
      <c r="K15" s="349"/>
      <c r="L15" s="349"/>
    </row>
    <row r="16" spans="1:12" s="27" customFormat="1" ht="19.5" customHeight="1">
      <c r="A16" s="350"/>
      <c r="B16" s="288"/>
      <c r="C16" s="351"/>
      <c r="D16" s="352">
        <f t="shared" si="1"/>
        <v>39200</v>
      </c>
      <c r="E16" s="352"/>
      <c r="F16" s="352"/>
      <c r="G16" s="356"/>
      <c r="H16" s="353">
        <v>39200</v>
      </c>
      <c r="I16" s="349"/>
      <c r="J16" s="349"/>
      <c r="K16" s="349"/>
      <c r="L16" s="349"/>
    </row>
    <row r="17" spans="1:12" s="27" customFormat="1" ht="19.5" customHeight="1">
      <c r="A17" s="350"/>
      <c r="B17" s="555">
        <v>80110</v>
      </c>
      <c r="C17" s="577" t="s">
        <v>166</v>
      </c>
      <c r="D17" s="578">
        <f t="shared" si="1"/>
        <v>19200</v>
      </c>
      <c r="E17" s="578"/>
      <c r="F17" s="578"/>
      <c r="G17" s="579"/>
      <c r="H17" s="580">
        <v>19200</v>
      </c>
      <c r="I17" s="349"/>
      <c r="J17" s="349"/>
      <c r="K17" s="349"/>
      <c r="L17" s="349"/>
    </row>
    <row r="18" spans="1:8" ht="19.5" customHeight="1" thickBot="1">
      <c r="A18" s="345"/>
      <c r="B18" s="346"/>
      <c r="C18" s="457" t="s">
        <v>257</v>
      </c>
      <c r="D18" s="269">
        <f t="shared" si="0"/>
        <v>215896600</v>
      </c>
      <c r="E18" s="269">
        <f>58331254+E22+E25+E26+E27+E29</f>
        <v>58331254</v>
      </c>
      <c r="F18" s="269">
        <f>55623812+F22+F25+F26+F27+F29</f>
        <v>55623812</v>
      </c>
      <c r="G18" s="269">
        <f>51062909+G22+G25+G26+G27+G29</f>
        <v>51062909</v>
      </c>
      <c r="H18" s="269">
        <f>50377815+H22+H25+H26+H27+H29</f>
        <v>50878625</v>
      </c>
    </row>
    <row r="19" spans="1:12" s="27" customFormat="1" ht="19.5" customHeight="1" thickBot="1">
      <c r="A19" s="458"/>
      <c r="B19" s="460"/>
      <c r="C19" s="89" t="s">
        <v>306</v>
      </c>
      <c r="D19" s="354">
        <f t="shared" si="0"/>
        <v>132639298</v>
      </c>
      <c r="E19" s="354">
        <f>39454740+E22</f>
        <v>39454740</v>
      </c>
      <c r="F19" s="354">
        <f>34626967+F22</f>
        <v>34626967</v>
      </c>
      <c r="G19" s="354">
        <f>30486565+G22</f>
        <v>30486565</v>
      </c>
      <c r="H19" s="354">
        <f>27626966+H22</f>
        <v>28071026</v>
      </c>
      <c r="I19" s="349"/>
      <c r="J19" s="349"/>
      <c r="K19" s="349"/>
      <c r="L19" s="349"/>
    </row>
    <row r="20" spans="1:12" s="22" customFormat="1" ht="19.5" customHeight="1" thickTop="1">
      <c r="A20" s="271">
        <v>758</v>
      </c>
      <c r="B20" s="271"/>
      <c r="C20" s="271" t="s">
        <v>94</v>
      </c>
      <c r="D20" s="355">
        <f t="shared" si="0"/>
        <v>132639298</v>
      </c>
      <c r="E20" s="355">
        <f>39454740+E22</f>
        <v>39454740</v>
      </c>
      <c r="F20" s="355">
        <f>34626967+F22</f>
        <v>34626967</v>
      </c>
      <c r="G20" s="355">
        <f>30486565+G22</f>
        <v>30486565</v>
      </c>
      <c r="H20" s="355">
        <f>27626966+H22</f>
        <v>28071026</v>
      </c>
      <c r="I20" s="73"/>
      <c r="J20" s="73"/>
      <c r="K20" s="73"/>
      <c r="L20" s="73"/>
    </row>
    <row r="21" spans="1:12" s="27" customFormat="1" ht="26.25" customHeight="1">
      <c r="A21" s="347"/>
      <c r="B21" s="259">
        <v>75801</v>
      </c>
      <c r="C21" s="368" t="s">
        <v>303</v>
      </c>
      <c r="D21" s="348">
        <f t="shared" si="0"/>
        <v>128122960</v>
      </c>
      <c r="E21" s="348">
        <v>39186671</v>
      </c>
      <c r="F21" s="348">
        <v>31358897</v>
      </c>
      <c r="G21" s="348">
        <v>30218495</v>
      </c>
      <c r="H21" s="348">
        <v>27358897</v>
      </c>
      <c r="I21" s="349"/>
      <c r="J21" s="349"/>
      <c r="K21" s="349"/>
      <c r="L21" s="349"/>
    </row>
    <row r="22" spans="1:12" s="27" customFormat="1" ht="19.5" customHeight="1">
      <c r="A22" s="350"/>
      <c r="B22" s="288"/>
      <c r="C22" s="351"/>
      <c r="D22" s="352">
        <f t="shared" si="0"/>
        <v>444060</v>
      </c>
      <c r="E22" s="352"/>
      <c r="F22" s="352"/>
      <c r="G22" s="356"/>
      <c r="H22" s="353">
        <v>444060</v>
      </c>
      <c r="I22" s="349"/>
      <c r="J22" s="349"/>
      <c r="K22" s="349"/>
      <c r="L22" s="349"/>
    </row>
    <row r="23" spans="1:12" s="27" customFormat="1" ht="19.5" customHeight="1" thickBot="1">
      <c r="A23" s="458"/>
      <c r="B23" s="460"/>
      <c r="C23" s="89" t="s">
        <v>77</v>
      </c>
      <c r="D23" s="354">
        <f t="shared" si="0"/>
        <v>9151931</v>
      </c>
      <c r="E23" s="354">
        <f>2158000+E25+E26+E27+E29</f>
        <v>2158000</v>
      </c>
      <c r="F23" s="354">
        <f>2150000+F25+F26+F27+F29</f>
        <v>2150000</v>
      </c>
      <c r="G23" s="354">
        <f>1964600+G25+G26+G27+G29</f>
        <v>1964600</v>
      </c>
      <c r="H23" s="354">
        <f>2822581+H25+H26+H27+H29</f>
        <v>2879331</v>
      </c>
      <c r="I23" s="349"/>
      <c r="J23" s="349"/>
      <c r="K23" s="349"/>
      <c r="L23" s="349"/>
    </row>
    <row r="24" spans="1:12" s="22" customFormat="1" ht="19.5" customHeight="1" thickTop="1">
      <c r="A24" s="271">
        <v>801</v>
      </c>
      <c r="B24" s="271"/>
      <c r="C24" s="271" t="s">
        <v>69</v>
      </c>
      <c r="D24" s="355">
        <f t="shared" si="0"/>
        <v>37150</v>
      </c>
      <c r="E24" s="355"/>
      <c r="F24" s="355"/>
      <c r="G24" s="355">
        <v>800</v>
      </c>
      <c r="H24" s="355">
        <f>100+H25+H26+H27</f>
        <v>36350</v>
      </c>
      <c r="I24" s="73"/>
      <c r="J24" s="73"/>
      <c r="K24" s="73"/>
      <c r="L24" s="73"/>
    </row>
    <row r="25" spans="1:12" s="443" customFormat="1" ht="19.5" customHeight="1">
      <c r="A25" s="350"/>
      <c r="B25" s="555">
        <v>80120</v>
      </c>
      <c r="C25" s="295" t="s">
        <v>100</v>
      </c>
      <c r="D25" s="578">
        <f t="shared" si="0"/>
        <v>4480</v>
      </c>
      <c r="E25" s="578"/>
      <c r="F25" s="578"/>
      <c r="G25" s="578"/>
      <c r="H25" s="578">
        <v>4480</v>
      </c>
      <c r="I25" s="556"/>
      <c r="J25" s="556"/>
      <c r="K25" s="556"/>
      <c r="L25" s="556"/>
    </row>
    <row r="26" spans="1:12" s="443" customFormat="1" ht="19.5" customHeight="1">
      <c r="A26" s="357"/>
      <c r="B26" s="288">
        <v>80130</v>
      </c>
      <c r="C26" s="351" t="s">
        <v>170</v>
      </c>
      <c r="D26" s="352">
        <f t="shared" si="0"/>
        <v>15240</v>
      </c>
      <c r="E26" s="352"/>
      <c r="F26" s="352"/>
      <c r="G26" s="356"/>
      <c r="H26" s="353">
        <v>15240</v>
      </c>
      <c r="I26" s="556"/>
      <c r="J26" s="556"/>
      <c r="K26" s="556"/>
      <c r="L26" s="556"/>
    </row>
    <row r="27" spans="1:12" s="443" customFormat="1" ht="25.5" customHeight="1">
      <c r="A27" s="357"/>
      <c r="B27" s="288">
        <v>80140</v>
      </c>
      <c r="C27" s="223" t="s">
        <v>175</v>
      </c>
      <c r="D27" s="352">
        <f>SUM(E27:H27)</f>
        <v>16530</v>
      </c>
      <c r="E27" s="352"/>
      <c r="F27" s="352"/>
      <c r="G27" s="356"/>
      <c r="H27" s="353">
        <v>16530</v>
      </c>
      <c r="I27" s="556"/>
      <c r="J27" s="556"/>
      <c r="K27" s="556"/>
      <c r="L27" s="556"/>
    </row>
    <row r="28" spans="1:12" s="22" customFormat="1" ht="19.5" customHeight="1">
      <c r="A28" s="271">
        <v>854</v>
      </c>
      <c r="B28" s="271"/>
      <c r="C28" s="271" t="s">
        <v>71</v>
      </c>
      <c r="D28" s="355">
        <f>SUM(E28:H28)</f>
        <v>20500</v>
      </c>
      <c r="E28" s="355"/>
      <c r="F28" s="355"/>
      <c r="G28" s="355"/>
      <c r="H28" s="355">
        <f>H29</f>
        <v>20500</v>
      </c>
      <c r="I28" s="73"/>
      <c r="J28" s="73"/>
      <c r="K28" s="73"/>
      <c r="L28" s="73"/>
    </row>
    <row r="29" spans="1:12" s="27" customFormat="1" ht="19.5" customHeight="1">
      <c r="A29" s="357"/>
      <c r="B29" s="288">
        <v>85403</v>
      </c>
      <c r="C29" s="351" t="s">
        <v>178</v>
      </c>
      <c r="D29" s="352">
        <f>SUM(E29:H29)</f>
        <v>20500</v>
      </c>
      <c r="E29" s="352"/>
      <c r="F29" s="352"/>
      <c r="G29" s="356"/>
      <c r="H29" s="353">
        <v>20500</v>
      </c>
      <c r="I29" s="349"/>
      <c r="J29" s="349"/>
      <c r="K29" s="349"/>
      <c r="L29" s="349"/>
    </row>
    <row r="33" spans="2:4" ht="12.75">
      <c r="B33" t="s">
        <v>412</v>
      </c>
      <c r="D33" t="s">
        <v>415</v>
      </c>
    </row>
    <row r="34" spans="2:4" ht="12.75">
      <c r="B34" t="s">
        <v>413</v>
      </c>
      <c r="D34" s="47" t="s">
        <v>416</v>
      </c>
    </row>
    <row r="35" spans="2:4" ht="12.75">
      <c r="B35" t="s">
        <v>414</v>
      </c>
      <c r="D35" s="47" t="s">
        <v>417</v>
      </c>
    </row>
  </sheetData>
  <printOptions horizontalCentered="1"/>
  <pageMargins left="0.5905511811023623" right="0.5905511811023623" top="0.6692913385826772" bottom="0.7874015748031497" header="0.5118110236220472" footer="0.5118110236220472"/>
  <pageSetup firstPageNumber="30" useFirstPageNumber="1" horizontalDpi="600" verticalDpi="600" orientation="landscape" paperSize="9" scale="9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23"/>
  <sheetViews>
    <sheetView workbookViewId="0" topLeftCell="A116">
      <selection activeCell="C134" sqref="C134"/>
    </sheetView>
  </sheetViews>
  <sheetFormatPr defaultColWidth="9.00390625" defaultRowHeight="12.75"/>
  <cols>
    <col min="1" max="1" width="6.375" style="0" customWidth="1"/>
    <col min="2" max="2" width="8.125" style="0" customWidth="1"/>
    <col min="3" max="3" width="57.00390625" style="0" customWidth="1"/>
    <col min="4" max="4" width="16.75390625" style="0" customWidth="1"/>
    <col min="5" max="8" width="15.75390625" style="0" customWidth="1"/>
    <col min="9" max="10" width="13.375" style="47" customWidth="1"/>
    <col min="11" max="11" width="15.375" style="47" customWidth="1"/>
    <col min="12" max="16384" width="11.375" style="0" customWidth="1"/>
  </cols>
  <sheetData>
    <row r="1" spans="1:9" ht="15">
      <c r="A1" s="396"/>
      <c r="B1" s="396"/>
      <c r="C1" s="396"/>
      <c r="D1" s="395"/>
      <c r="E1" s="395"/>
      <c r="F1" s="395"/>
      <c r="G1" s="400" t="s">
        <v>119</v>
      </c>
      <c r="H1" s="395"/>
      <c r="I1" s="393"/>
    </row>
    <row r="2" spans="1:9" ht="15" customHeight="1">
      <c r="A2" s="396"/>
      <c r="B2" s="396"/>
      <c r="C2" s="396"/>
      <c r="D2" s="395"/>
      <c r="E2" s="395"/>
      <c r="F2" s="395"/>
      <c r="G2" s="22" t="s">
        <v>401</v>
      </c>
      <c r="H2" s="395"/>
      <c r="I2" s="393"/>
    </row>
    <row r="3" spans="1:9" ht="15.75">
      <c r="A3" s="396"/>
      <c r="B3" s="396"/>
      <c r="C3" s="399" t="s">
        <v>237</v>
      </c>
      <c r="D3" s="395"/>
      <c r="E3" s="395"/>
      <c r="F3" s="395"/>
      <c r="G3" s="22" t="s">
        <v>193</v>
      </c>
      <c r="H3" s="395"/>
      <c r="I3" s="393"/>
    </row>
    <row r="4" spans="1:9" ht="15.75">
      <c r="A4" s="396"/>
      <c r="B4" s="396"/>
      <c r="C4" s="398"/>
      <c r="D4" s="395"/>
      <c r="E4" s="395"/>
      <c r="F4" s="395"/>
      <c r="G4" s="22" t="s">
        <v>402</v>
      </c>
      <c r="H4" s="395"/>
      <c r="I4" s="393"/>
    </row>
    <row r="5" spans="1:9" ht="15">
      <c r="A5" s="396"/>
      <c r="B5" s="396"/>
      <c r="C5" s="397"/>
      <c r="D5" s="395"/>
      <c r="E5" s="395"/>
      <c r="F5" s="395"/>
      <c r="G5" s="395"/>
      <c r="H5" s="395"/>
      <c r="I5" s="393"/>
    </row>
    <row r="6" spans="1:9" ht="15.75" thickBot="1">
      <c r="A6" s="396"/>
      <c r="B6" s="396"/>
      <c r="C6" s="396"/>
      <c r="D6" s="395"/>
      <c r="E6" s="395"/>
      <c r="F6" s="395"/>
      <c r="G6" s="395"/>
      <c r="H6" s="394" t="s">
        <v>64</v>
      </c>
      <c r="I6" s="393"/>
    </row>
    <row r="7" spans="1:11" ht="15.75" thickTop="1">
      <c r="A7" s="392"/>
      <c r="B7" s="392"/>
      <c r="C7" s="648" t="s">
        <v>392</v>
      </c>
      <c r="D7" s="649" t="s">
        <v>236</v>
      </c>
      <c r="E7" s="646" t="s">
        <v>229</v>
      </c>
      <c r="F7" s="646" t="s">
        <v>230</v>
      </c>
      <c r="G7" s="646" t="s">
        <v>231</v>
      </c>
      <c r="H7" s="646" t="s">
        <v>232</v>
      </c>
      <c r="I7"/>
      <c r="J7"/>
      <c r="K7"/>
    </row>
    <row r="8" spans="1:11" ht="30.75" customHeight="1" thickBot="1">
      <c r="A8" s="391" t="s">
        <v>57</v>
      </c>
      <c r="B8" s="391" t="s">
        <v>67</v>
      </c>
      <c r="C8" s="647"/>
      <c r="D8" s="647"/>
      <c r="E8" s="647"/>
      <c r="F8" s="647"/>
      <c r="G8" s="647"/>
      <c r="H8" s="647"/>
      <c r="I8"/>
      <c r="J8"/>
      <c r="K8"/>
    </row>
    <row r="9" spans="1:11" ht="14.25" customHeight="1" thickBot="1" thickTop="1">
      <c r="A9" s="390">
        <v>1</v>
      </c>
      <c r="B9" s="390">
        <v>2</v>
      </c>
      <c r="C9" s="390">
        <v>3</v>
      </c>
      <c r="D9" s="389">
        <v>4</v>
      </c>
      <c r="E9" s="389">
        <v>5</v>
      </c>
      <c r="F9" s="389">
        <v>6</v>
      </c>
      <c r="G9" s="389">
        <v>7</v>
      </c>
      <c r="H9" s="389">
        <v>8</v>
      </c>
      <c r="I9"/>
      <c r="J9"/>
      <c r="K9"/>
    </row>
    <row r="10" spans="1:12" s="38" customFormat="1" ht="19.5" customHeight="1" thickBot="1" thickTop="1">
      <c r="A10" s="388"/>
      <c r="B10" s="388"/>
      <c r="C10" s="387" t="s">
        <v>74</v>
      </c>
      <c r="D10" s="386">
        <f>SUM(E10:H10)</f>
        <v>791230081</v>
      </c>
      <c r="E10" s="386">
        <f>182696050+E17+E22+E24+E26+E28+E30+E32+E35+E37+E42+E45+E52+E57+E62+E65+E68+E70+E73+E75+E83+E87+E92+E97+E101+E106+E108+E110+E112+E114+E118</f>
        <v>182696050</v>
      </c>
      <c r="F10" s="386">
        <f>195837340+F17+F22+F24+F26+F28+F30+F32+F35+F37+F42+F45+F52+F57+F62+F65+F68+F70+F73+F75+F83+F87+F92+F97+F101+F106+F108+F110+F112+F114+F118</f>
        <v>195837340</v>
      </c>
      <c r="G10" s="386">
        <f>229979488+G17+G22+G24+G26+G28+G30+G32+G35+G37+G42+G45+G47+G49+G52+G57+G59+G62+G65+G68+G70+G73+G75+G83+G87+G92+G97+G101+G106+G108+G110+G112+G114+G118</f>
        <v>223926140</v>
      </c>
      <c r="H10" s="386">
        <f>185847993+H17+H22+H24+H26+H28+H30+H32+H35+H37+H42+H45+H47+H49+H52+H57+H59+H62+H65+H68+H70+H73+H75+H78+H83+H87+H92+H97+H101+H106+H108+H110+H112+H114+H118</f>
        <v>188770551</v>
      </c>
      <c r="I10" s="47"/>
      <c r="J10" s="47"/>
      <c r="K10"/>
      <c r="L10"/>
    </row>
    <row r="11" spans="1:11" ht="15">
      <c r="A11" s="385"/>
      <c r="B11" s="385"/>
      <c r="C11" s="384" t="s">
        <v>235</v>
      </c>
      <c r="D11" s="383"/>
      <c r="E11" s="380"/>
      <c r="F11" s="380"/>
      <c r="G11" s="380"/>
      <c r="H11" s="380"/>
      <c r="I11"/>
      <c r="J11" s="47">
        <f>H17+H22+H24+H26+H28+H30+G32+H35+H37+H42+G45+G47+H49+H52+G57+H57+G59+H62+H65+G68+H68+H70+H73+G75+H75+H78+H83+H87+H92+H97+H101+H106+H108+H110+H112+H114+H118</f>
        <v>-3023790</v>
      </c>
      <c r="K11"/>
    </row>
    <row r="12" spans="1:12" s="366" customFormat="1" ht="18.75" customHeight="1">
      <c r="A12" s="382"/>
      <c r="B12" s="382"/>
      <c r="C12" s="381" t="s">
        <v>202</v>
      </c>
      <c r="D12" s="380">
        <f aca="true" t="shared" si="0" ref="D12:D75">SUM(E12:H12)</f>
        <v>311095448</v>
      </c>
      <c r="E12" s="380">
        <f>51408244+E17+E22+E24+E26+E28+E30+E32+E35+E37+E42+E45+E47+E49+E52+E57+E59+E62+E65+E68+E70+E73+E75+E78</f>
        <v>51408244</v>
      </c>
      <c r="F12" s="380">
        <f>69554804+F17+F22+F24+F26+F28+F30+F32+F35+F37+F42+F45+F47+F49+F52+F57+F59+F62+F65+F68+F70+F73+F75+F78</f>
        <v>69554804</v>
      </c>
      <c r="G12" s="380">
        <f>107359683+G17+G22+G24+G26+G28+G30+G32+G35+G37+G42+G45+G47+G49+G52+G57+G59+G62+G65+G68+G70+G73+G75+G78</f>
        <v>101413335</v>
      </c>
      <c r="H12" s="380">
        <f>86889113+H17+H22+H24+H26+H28+H30+H32+H35+H37+H42+H45+H47+H49+H52+H57+H59+H62+H65+H68+H70+H73+H75+H78</f>
        <v>88719065</v>
      </c>
      <c r="I12" s="47"/>
      <c r="J12" s="47"/>
      <c r="K12"/>
      <c r="L12"/>
    </row>
    <row r="13" spans="1:12" s="366" customFormat="1" ht="18.75" customHeight="1">
      <c r="A13" s="259"/>
      <c r="B13" s="259"/>
      <c r="C13" s="320" t="s">
        <v>56</v>
      </c>
      <c r="D13" s="321">
        <f t="shared" si="0"/>
        <v>22729571</v>
      </c>
      <c r="E13" s="321">
        <f>1675478+E17</f>
        <v>1675478</v>
      </c>
      <c r="F13" s="321">
        <f>4575686+F17</f>
        <v>4575686</v>
      </c>
      <c r="G13" s="321">
        <f>7743880+G17</f>
        <v>7743880</v>
      </c>
      <c r="H13" s="321">
        <f>8763317+H17</f>
        <v>8734527</v>
      </c>
      <c r="I13" s="47"/>
      <c r="J13"/>
      <c r="K13"/>
      <c r="L13"/>
    </row>
    <row r="14" spans="1:12" s="366" customFormat="1" ht="19.5" customHeight="1" thickBot="1">
      <c r="A14" s="261"/>
      <c r="B14" s="261"/>
      <c r="C14" s="262" t="s">
        <v>85</v>
      </c>
      <c r="D14" s="263">
        <f t="shared" si="0"/>
        <v>22729571</v>
      </c>
      <c r="E14" s="263">
        <f>1675478+E17</f>
        <v>1675478</v>
      </c>
      <c r="F14" s="263">
        <f>4575686+F17</f>
        <v>4575686</v>
      </c>
      <c r="G14" s="263">
        <f>7743880+G17</f>
        <v>7743880</v>
      </c>
      <c r="H14" s="263">
        <f>8763317+H17</f>
        <v>8734527</v>
      </c>
      <c r="I14"/>
      <c r="J14"/>
      <c r="K14"/>
      <c r="L14"/>
    </row>
    <row r="15" spans="1:12" s="366" customFormat="1" ht="19.5" customHeight="1" thickTop="1">
      <c r="A15" s="29">
        <v>758</v>
      </c>
      <c r="B15" s="29"/>
      <c r="C15" s="29" t="s">
        <v>94</v>
      </c>
      <c r="D15" s="276">
        <f t="shared" si="0"/>
        <v>8527571</v>
      </c>
      <c r="E15" s="276">
        <f>646636+E17</f>
        <v>646636</v>
      </c>
      <c r="F15" s="276">
        <f>646636+F17</f>
        <v>646636</v>
      </c>
      <c r="G15" s="276">
        <f>646636+G17</f>
        <v>646636</v>
      </c>
      <c r="H15" s="276">
        <f>6616453+H17</f>
        <v>6587663</v>
      </c>
      <c r="I15"/>
      <c r="J15"/>
      <c r="K15"/>
      <c r="L15"/>
    </row>
    <row r="16" spans="1:12" s="366" customFormat="1" ht="19.5" customHeight="1">
      <c r="A16" s="370"/>
      <c r="B16" s="369">
        <v>75818</v>
      </c>
      <c r="C16" s="369" t="s">
        <v>95</v>
      </c>
      <c r="D16" s="367">
        <f t="shared" si="0"/>
        <v>5969817</v>
      </c>
      <c r="E16" s="367"/>
      <c r="F16" s="367"/>
      <c r="G16" s="367"/>
      <c r="H16" s="367">
        <v>5969817</v>
      </c>
      <c r="I16"/>
      <c r="J16"/>
      <c r="K16"/>
      <c r="L16"/>
    </row>
    <row r="17" spans="1:12" s="221" customFormat="1" ht="19.5" customHeight="1">
      <c r="A17" s="379"/>
      <c r="B17" s="364"/>
      <c r="C17" s="363"/>
      <c r="D17" s="362">
        <f t="shared" si="0"/>
        <v>-28790</v>
      </c>
      <c r="E17" s="362"/>
      <c r="F17" s="362"/>
      <c r="G17" s="362"/>
      <c r="H17" s="362">
        <v>-28790</v>
      </c>
      <c r="I17" s="90"/>
      <c r="J17" s="90"/>
      <c r="K17" s="90"/>
      <c r="L17" s="90"/>
    </row>
    <row r="18" spans="1:12" s="366" customFormat="1" ht="19.5" customHeight="1">
      <c r="A18" s="259"/>
      <c r="B18" s="259"/>
      <c r="C18" s="320" t="s">
        <v>2</v>
      </c>
      <c r="D18" s="620">
        <f t="shared" si="0"/>
        <v>22772914</v>
      </c>
      <c r="E18" s="321">
        <f>4461655+E22+E24+E26+E28+E30+E32+E35+E37</f>
        <v>4461655</v>
      </c>
      <c r="F18" s="321">
        <f>4931050+F22+F24+F26+F28+F30+F32+F35+F37</f>
        <v>4931050</v>
      </c>
      <c r="G18" s="321">
        <f>6628740+G22+G24+G26+G28+G30+G32+G35+G37</f>
        <v>6627392</v>
      </c>
      <c r="H18" s="321">
        <f>7129075+H22+H24+H26+H28+H30+H32+H35+H37</f>
        <v>6752817</v>
      </c>
      <c r="I18" s="47"/>
      <c r="J18" s="47"/>
      <c r="K18"/>
      <c r="L18"/>
    </row>
    <row r="19" spans="1:12" s="366" customFormat="1" ht="21.75" customHeight="1" thickBot="1">
      <c r="A19" s="261"/>
      <c r="B19" s="261"/>
      <c r="C19" s="262" t="s">
        <v>85</v>
      </c>
      <c r="D19" s="625">
        <f t="shared" si="0"/>
        <v>22380670</v>
      </c>
      <c r="E19" s="263">
        <f>4411655+E22+E24+E26+E28+E30+E32+E35+E37</f>
        <v>4411655</v>
      </c>
      <c r="F19" s="263">
        <f>4764228+F22+F24+F26+F28+F30+F32+F35+F37</f>
        <v>4764228</v>
      </c>
      <c r="G19" s="263">
        <f>6519433+G22+G24+G26+G28+G30+G32+G35+G37</f>
        <v>6518085</v>
      </c>
      <c r="H19" s="263">
        <f>7062960+H22+H24+H26+H28+H30+H32+H35+H37</f>
        <v>6686702</v>
      </c>
      <c r="I19"/>
      <c r="J19"/>
      <c r="K19"/>
      <c r="L19"/>
    </row>
    <row r="20" spans="1:12" ht="19.5" customHeight="1" thickTop="1">
      <c r="A20" s="29">
        <v>801</v>
      </c>
      <c r="B20" s="29"/>
      <c r="C20" s="29" t="s">
        <v>69</v>
      </c>
      <c r="D20" s="618">
        <f t="shared" si="0"/>
        <v>19416817</v>
      </c>
      <c r="E20" s="70">
        <f>4116002+E22+E24+E26+E28+E30+E32</f>
        <v>4116002</v>
      </c>
      <c r="F20" s="70">
        <f>4479894+F22+F24+F26+F28+F30+F32</f>
        <v>4479894</v>
      </c>
      <c r="G20" s="70">
        <f>5209395+G22+G24+G26+G28+G30+G32</f>
        <v>5208047</v>
      </c>
      <c r="H20" s="70">
        <f>5928640+H22+H24+H26+H28+H30+H32</f>
        <v>5612874</v>
      </c>
      <c r="I20"/>
      <c r="L20" s="47"/>
    </row>
    <row r="21" spans="1:12" s="22" customFormat="1" ht="19.5" customHeight="1">
      <c r="A21" s="24"/>
      <c r="B21" s="80">
        <v>80101</v>
      </c>
      <c r="C21" s="80" t="s">
        <v>173</v>
      </c>
      <c r="D21" s="619">
        <f t="shared" si="0"/>
        <v>1744858</v>
      </c>
      <c r="E21" s="359">
        <v>254678</v>
      </c>
      <c r="F21" s="359">
        <v>274541</v>
      </c>
      <c r="G21" s="359">
        <v>680139</v>
      </c>
      <c r="H21" s="359">
        <v>535500</v>
      </c>
      <c r="J21" s="73"/>
      <c r="K21" s="73"/>
      <c r="L21" s="73"/>
    </row>
    <row r="22" spans="1:12" ht="19.5" customHeight="1">
      <c r="A22" s="226"/>
      <c r="B22" s="88"/>
      <c r="C22" s="222"/>
      <c r="D22" s="362">
        <f t="shared" si="0"/>
        <v>-35608</v>
      </c>
      <c r="E22" s="185"/>
      <c r="F22" s="185"/>
      <c r="G22" s="185"/>
      <c r="H22" s="185">
        <v>-35608</v>
      </c>
      <c r="I22"/>
      <c r="L22" s="47"/>
    </row>
    <row r="23" spans="1:12" ht="19.5" customHeight="1">
      <c r="A23" s="226"/>
      <c r="B23" s="80">
        <v>80110</v>
      </c>
      <c r="C23" s="80" t="s">
        <v>166</v>
      </c>
      <c r="D23" s="622">
        <f t="shared" si="0"/>
        <v>2943400</v>
      </c>
      <c r="E23" s="359">
        <v>645524</v>
      </c>
      <c r="F23" s="359">
        <v>727185</v>
      </c>
      <c r="G23" s="359">
        <v>693657</v>
      </c>
      <c r="H23" s="359">
        <v>877034</v>
      </c>
      <c r="I23"/>
      <c r="L23" s="47"/>
    </row>
    <row r="24" spans="1:12" ht="19.5" customHeight="1">
      <c r="A24" s="226"/>
      <c r="B24" s="88"/>
      <c r="C24" s="222"/>
      <c r="D24" s="289">
        <f t="shared" si="0"/>
        <v>187945</v>
      </c>
      <c r="E24" s="185"/>
      <c r="F24" s="185"/>
      <c r="G24" s="185"/>
      <c r="H24" s="185">
        <v>187945</v>
      </c>
      <c r="I24"/>
      <c r="L24" s="47"/>
    </row>
    <row r="25" spans="1:12" ht="19.5" customHeight="1">
      <c r="A25" s="226"/>
      <c r="B25" s="80">
        <v>80120</v>
      </c>
      <c r="C25" s="80" t="s">
        <v>100</v>
      </c>
      <c r="D25" s="623">
        <f t="shared" si="0"/>
        <v>4198800</v>
      </c>
      <c r="E25" s="359">
        <v>962207</v>
      </c>
      <c r="F25" s="359">
        <v>1021109</v>
      </c>
      <c r="G25" s="359">
        <v>1001684</v>
      </c>
      <c r="H25" s="359">
        <v>1213800</v>
      </c>
      <c r="I25"/>
      <c r="L25" s="47"/>
    </row>
    <row r="26" spans="1:12" ht="19.5" customHeight="1">
      <c r="A26" s="226"/>
      <c r="B26" s="88"/>
      <c r="C26" s="222"/>
      <c r="D26" s="362">
        <f t="shared" si="0"/>
        <v>-25991</v>
      </c>
      <c r="E26" s="185"/>
      <c r="F26" s="185"/>
      <c r="G26" s="185"/>
      <c r="H26" s="185">
        <v>-25991</v>
      </c>
      <c r="I26"/>
      <c r="L26" s="47"/>
    </row>
    <row r="27" spans="1:12" ht="19.5" customHeight="1">
      <c r="A27" s="226"/>
      <c r="B27" s="24">
        <v>80123</v>
      </c>
      <c r="C27" s="24" t="s">
        <v>115</v>
      </c>
      <c r="D27" s="622">
        <f t="shared" si="0"/>
        <v>526300</v>
      </c>
      <c r="E27" s="359">
        <v>88579</v>
      </c>
      <c r="F27" s="359">
        <v>96542</v>
      </c>
      <c r="G27" s="359">
        <v>95170</v>
      </c>
      <c r="H27" s="359">
        <v>246009</v>
      </c>
      <c r="I27"/>
      <c r="L27" s="47"/>
    </row>
    <row r="28" spans="1:12" ht="19.5" customHeight="1">
      <c r="A28" s="226"/>
      <c r="B28" s="88"/>
      <c r="C28" s="222"/>
      <c r="D28" s="289">
        <f t="shared" si="0"/>
        <v>50021</v>
      </c>
      <c r="E28" s="185"/>
      <c r="F28" s="185"/>
      <c r="G28" s="185"/>
      <c r="H28" s="185">
        <v>50021</v>
      </c>
      <c r="I28"/>
      <c r="L28" s="47"/>
    </row>
    <row r="29" spans="1:12" ht="19.5" customHeight="1">
      <c r="A29" s="226"/>
      <c r="B29" s="80">
        <v>80130</v>
      </c>
      <c r="C29" s="80" t="s">
        <v>170</v>
      </c>
      <c r="D29" s="623">
        <f t="shared" si="0"/>
        <v>5592050</v>
      </c>
      <c r="E29" s="359">
        <v>1133714</v>
      </c>
      <c r="F29" s="359">
        <v>1220626</v>
      </c>
      <c r="G29" s="359">
        <v>1589500</v>
      </c>
      <c r="H29" s="359">
        <v>1648210</v>
      </c>
      <c r="I29"/>
      <c r="L29" s="47"/>
    </row>
    <row r="30" spans="1:12" ht="19.5" customHeight="1">
      <c r="A30" s="222"/>
      <c r="B30" s="88"/>
      <c r="C30" s="222"/>
      <c r="D30" s="362">
        <f t="shared" si="0"/>
        <v>-492133</v>
      </c>
      <c r="E30" s="185"/>
      <c r="F30" s="185"/>
      <c r="G30" s="185"/>
      <c r="H30" s="185">
        <v>-492133</v>
      </c>
      <c r="I30"/>
      <c r="L30" s="47"/>
    </row>
    <row r="31" spans="1:12" ht="19.5" customHeight="1">
      <c r="A31" s="226"/>
      <c r="B31" s="24">
        <v>80195</v>
      </c>
      <c r="C31" s="24" t="s">
        <v>62</v>
      </c>
      <c r="D31" s="622">
        <f t="shared" si="0"/>
        <v>56100</v>
      </c>
      <c r="E31" s="359"/>
      <c r="F31" s="359">
        <v>18285</v>
      </c>
      <c r="G31" s="359">
        <v>37715</v>
      </c>
      <c r="H31" s="359">
        <v>100</v>
      </c>
      <c r="I31"/>
      <c r="L31" s="47"/>
    </row>
    <row r="32" spans="1:12" ht="19.5" customHeight="1">
      <c r="A32" s="222"/>
      <c r="B32" s="88"/>
      <c r="C32" s="222"/>
      <c r="D32" s="289">
        <f t="shared" si="0"/>
        <v>-1348</v>
      </c>
      <c r="E32" s="185"/>
      <c r="F32" s="185"/>
      <c r="G32" s="185">
        <v>-1348</v>
      </c>
      <c r="H32" s="185"/>
      <c r="I32"/>
      <c r="L32" s="47"/>
    </row>
    <row r="33" spans="1:12" ht="19.5" customHeight="1">
      <c r="A33" s="123">
        <v>854</v>
      </c>
      <c r="B33" s="123"/>
      <c r="C33" s="123" t="s">
        <v>71</v>
      </c>
      <c r="D33" s="624">
        <f t="shared" si="0"/>
        <v>2928853</v>
      </c>
      <c r="E33" s="70">
        <f>295653+E35+E37</f>
        <v>295653</v>
      </c>
      <c r="F33" s="70">
        <f>284334+F35+F37</f>
        <v>284334</v>
      </c>
      <c r="G33" s="70">
        <f>1275038+G35+G37</f>
        <v>1275038</v>
      </c>
      <c r="H33" s="70">
        <f>1134320+H35+H37</f>
        <v>1073828</v>
      </c>
      <c r="I33"/>
      <c r="L33" s="47"/>
    </row>
    <row r="34" spans="1:12" ht="19.5" customHeight="1">
      <c r="A34" s="226"/>
      <c r="B34" s="80">
        <v>85403</v>
      </c>
      <c r="C34" s="80" t="s">
        <v>178</v>
      </c>
      <c r="D34" s="623">
        <f t="shared" si="0"/>
        <v>667200</v>
      </c>
      <c r="E34" s="359">
        <v>145310</v>
      </c>
      <c r="F34" s="359">
        <v>125374</v>
      </c>
      <c r="G34" s="359">
        <v>138432</v>
      </c>
      <c r="H34" s="359">
        <v>258084</v>
      </c>
      <c r="I34"/>
      <c r="L34" s="47"/>
    </row>
    <row r="35" spans="1:12" ht="19.5" customHeight="1">
      <c r="A35" s="226"/>
      <c r="B35" s="88"/>
      <c r="C35" s="222"/>
      <c r="D35" s="362">
        <f t="shared" si="0"/>
        <v>-41400</v>
      </c>
      <c r="E35" s="185"/>
      <c r="F35" s="185"/>
      <c r="G35" s="185"/>
      <c r="H35" s="185">
        <v>-41400</v>
      </c>
      <c r="I35"/>
      <c r="L35" s="47"/>
    </row>
    <row r="36" spans="1:12" ht="19.5" customHeight="1">
      <c r="A36" s="226"/>
      <c r="B36" s="80">
        <v>85410</v>
      </c>
      <c r="C36" s="371" t="s">
        <v>102</v>
      </c>
      <c r="D36" s="622">
        <f t="shared" si="0"/>
        <v>667400</v>
      </c>
      <c r="E36" s="359">
        <v>142093</v>
      </c>
      <c r="F36" s="359">
        <v>148967</v>
      </c>
      <c r="G36" s="359">
        <v>143748</v>
      </c>
      <c r="H36" s="359">
        <v>232592</v>
      </c>
      <c r="I36"/>
      <c r="L36" s="47"/>
    </row>
    <row r="37" spans="1:12" ht="19.5" customHeight="1">
      <c r="A37" s="226"/>
      <c r="B37" s="88"/>
      <c r="C37" s="222"/>
      <c r="D37" s="289">
        <f t="shared" si="0"/>
        <v>-19092</v>
      </c>
      <c r="E37" s="185"/>
      <c r="F37" s="185"/>
      <c r="G37" s="185"/>
      <c r="H37" s="185">
        <v>-19092</v>
      </c>
      <c r="I37"/>
      <c r="L37" s="47"/>
    </row>
    <row r="38" spans="1:12" s="366" customFormat="1" ht="19.5" customHeight="1">
      <c r="A38" s="259"/>
      <c r="B38" s="259"/>
      <c r="C38" s="320" t="s">
        <v>3</v>
      </c>
      <c r="D38" s="626">
        <f t="shared" si="0"/>
        <v>51493005</v>
      </c>
      <c r="E38" s="321">
        <f>12001664+E42+E45+E47+E49+E52</f>
        <v>12001664</v>
      </c>
      <c r="F38" s="321">
        <f>12653195+F42+F45+F47+F49+F52</f>
        <v>12653195</v>
      </c>
      <c r="G38" s="321">
        <f>17076899+G42+G45+G47+G49+G52</f>
        <v>14331899</v>
      </c>
      <c r="H38" s="321">
        <f>11781247+H42+H45+H47+H49+H52</f>
        <v>12506247</v>
      </c>
      <c r="I38"/>
      <c r="J38"/>
      <c r="K38"/>
      <c r="L38"/>
    </row>
    <row r="39" spans="1:12" s="366" customFormat="1" ht="19.5" customHeight="1" thickBot="1">
      <c r="A39" s="261"/>
      <c r="B39" s="261"/>
      <c r="C39" s="262" t="s">
        <v>85</v>
      </c>
      <c r="D39" s="625">
        <f t="shared" si="0"/>
        <v>50672705</v>
      </c>
      <c r="E39" s="263">
        <f>11862200+E42+E45+E47+E49+E52</f>
        <v>11862200</v>
      </c>
      <c r="F39" s="263">
        <f>12531020+F42+F45+F47+F49+F52</f>
        <v>12531020</v>
      </c>
      <c r="G39" s="263">
        <f>16904385+G42+G45+G47+G49+G52</f>
        <v>14159385</v>
      </c>
      <c r="H39" s="263">
        <f>11395100+H42+H45+H47+H49+H52</f>
        <v>12120100</v>
      </c>
      <c r="I39"/>
      <c r="J39"/>
      <c r="K39"/>
      <c r="L39"/>
    </row>
    <row r="40" spans="1:12" ht="18.75" customHeight="1" thickTop="1">
      <c r="A40" s="29">
        <v>700</v>
      </c>
      <c r="B40" s="29"/>
      <c r="C40" s="29" t="s">
        <v>117</v>
      </c>
      <c r="D40" s="618">
        <f t="shared" si="0"/>
        <v>5705000</v>
      </c>
      <c r="E40" s="70">
        <f>550000+E42</f>
        <v>550000</v>
      </c>
      <c r="F40" s="70">
        <f>1437500+F42</f>
        <v>1437500</v>
      </c>
      <c r="G40" s="70">
        <f>1817500+G42</f>
        <v>1817500</v>
      </c>
      <c r="H40" s="70">
        <f>1420000+H42</f>
        <v>1900000</v>
      </c>
      <c r="I40"/>
      <c r="L40" s="47"/>
    </row>
    <row r="41" spans="1:12" ht="18.75" customHeight="1">
      <c r="A41" s="226"/>
      <c r="B41" s="191">
        <v>70001</v>
      </c>
      <c r="C41" s="24" t="s">
        <v>184</v>
      </c>
      <c r="D41" s="622">
        <f t="shared" si="0"/>
        <v>5000000</v>
      </c>
      <c r="E41" s="359">
        <v>500000</v>
      </c>
      <c r="F41" s="359">
        <v>1300000</v>
      </c>
      <c r="G41" s="359">
        <v>1800000</v>
      </c>
      <c r="H41" s="359">
        <v>1400000</v>
      </c>
      <c r="I41"/>
      <c r="L41" s="47"/>
    </row>
    <row r="42" spans="1:12" ht="18.75" customHeight="1">
      <c r="A42" s="222"/>
      <c r="B42" s="88"/>
      <c r="C42" s="222"/>
      <c r="D42" s="289">
        <f t="shared" si="0"/>
        <v>480000</v>
      </c>
      <c r="E42" s="185"/>
      <c r="F42" s="185"/>
      <c r="G42" s="185"/>
      <c r="H42" s="185">
        <v>480000</v>
      </c>
      <c r="I42"/>
      <c r="L42" s="47"/>
    </row>
    <row r="43" spans="1:12" ht="18.75" customHeight="1">
      <c r="A43" s="29">
        <v>851</v>
      </c>
      <c r="B43" s="29"/>
      <c r="C43" s="29" t="s">
        <v>179</v>
      </c>
      <c r="D43" s="624">
        <f t="shared" si="0"/>
        <v>7215205</v>
      </c>
      <c r="E43" s="70">
        <f>1928338+E45+E47</f>
        <v>1928338</v>
      </c>
      <c r="F43" s="70">
        <f>1409420+F45+F47</f>
        <v>1409420</v>
      </c>
      <c r="G43" s="70">
        <f>5488797+G45+G47</f>
        <v>2743797</v>
      </c>
      <c r="H43" s="70">
        <f>1133650+H45+H47</f>
        <v>1133650</v>
      </c>
      <c r="I43"/>
      <c r="L43" s="47"/>
    </row>
    <row r="44" spans="1:12" ht="18.75" customHeight="1">
      <c r="A44" s="226"/>
      <c r="B44" s="191">
        <v>85121</v>
      </c>
      <c r="C44" s="24" t="s">
        <v>180</v>
      </c>
      <c r="D44" s="623">
        <f t="shared" si="0"/>
        <v>6500000</v>
      </c>
      <c r="E44" s="359">
        <v>1620311</v>
      </c>
      <c r="F44" s="359">
        <v>263272</v>
      </c>
      <c r="G44" s="359">
        <v>4316417</v>
      </c>
      <c r="H44" s="359">
        <v>300000</v>
      </c>
      <c r="I44"/>
      <c r="L44" s="47"/>
    </row>
    <row r="45" spans="1:12" ht="18.75" customHeight="1">
      <c r="A45" s="226"/>
      <c r="B45" s="88"/>
      <c r="C45" s="222"/>
      <c r="D45" s="362">
        <f t="shared" si="0"/>
        <v>-2545000</v>
      </c>
      <c r="E45" s="185"/>
      <c r="F45" s="185"/>
      <c r="G45" s="185">
        <v>-2545000</v>
      </c>
      <c r="H45" s="185"/>
      <c r="I45"/>
      <c r="L45" s="47"/>
    </row>
    <row r="46" spans="1:12" ht="18.75" customHeight="1">
      <c r="A46" s="226"/>
      <c r="B46" s="191">
        <v>85154</v>
      </c>
      <c r="C46" s="24" t="s">
        <v>377</v>
      </c>
      <c r="D46" s="621">
        <f t="shared" si="0"/>
        <v>2992205</v>
      </c>
      <c r="E46" s="359">
        <v>307176</v>
      </c>
      <c r="F46" s="359">
        <v>873035</v>
      </c>
      <c r="G46" s="359">
        <v>1061344</v>
      </c>
      <c r="H46" s="359">
        <v>750650</v>
      </c>
      <c r="I46"/>
      <c r="L46" s="47"/>
    </row>
    <row r="47" spans="1:12" ht="18.75" customHeight="1">
      <c r="A47" s="222"/>
      <c r="B47" s="88"/>
      <c r="C47" s="222"/>
      <c r="D47" s="289">
        <f t="shared" si="0"/>
        <v>-200000</v>
      </c>
      <c r="E47" s="185"/>
      <c r="F47" s="185"/>
      <c r="G47" s="185">
        <v>-200000</v>
      </c>
      <c r="H47" s="185"/>
      <c r="I47"/>
      <c r="L47" s="47"/>
    </row>
    <row r="48" spans="1:12" s="366" customFormat="1" ht="18.75" customHeight="1">
      <c r="A48" s="29">
        <v>852</v>
      </c>
      <c r="B48" s="29"/>
      <c r="C48" s="29" t="s">
        <v>70</v>
      </c>
      <c r="D48" s="624">
        <f t="shared" si="0"/>
        <v>21700000</v>
      </c>
      <c r="E48" s="276">
        <f>5375000+E49</f>
        <v>5375000</v>
      </c>
      <c r="F48" s="276">
        <f>5375000+F49</f>
        <v>5375000</v>
      </c>
      <c r="G48" s="276">
        <f>5375000+G49</f>
        <v>5375000</v>
      </c>
      <c r="H48" s="276">
        <f>5375000+H49</f>
        <v>5575000</v>
      </c>
      <c r="I48"/>
      <c r="J48"/>
      <c r="K48"/>
      <c r="L48"/>
    </row>
    <row r="49" spans="1:12" s="583" customFormat="1" ht="18.75" customHeight="1">
      <c r="A49" s="581"/>
      <c r="B49" s="581">
        <v>85232</v>
      </c>
      <c r="C49" s="295" t="s">
        <v>383</v>
      </c>
      <c r="D49" s="289">
        <f t="shared" si="0"/>
        <v>200000</v>
      </c>
      <c r="E49" s="582"/>
      <c r="F49" s="582"/>
      <c r="G49" s="582"/>
      <c r="H49" s="582">
        <v>200000</v>
      </c>
      <c r="I49" s="66"/>
      <c r="J49" s="66"/>
      <c r="K49" s="66"/>
      <c r="L49" s="66"/>
    </row>
    <row r="50" spans="1:12" s="366" customFormat="1" ht="18.75" customHeight="1">
      <c r="A50" s="29">
        <v>921</v>
      </c>
      <c r="B50" s="29"/>
      <c r="C50" s="29" t="s">
        <v>135</v>
      </c>
      <c r="D50" s="624">
        <f t="shared" si="0"/>
        <v>12837500</v>
      </c>
      <c r="E50" s="276">
        <f>3304677+E52</f>
        <v>3304677</v>
      </c>
      <c r="F50" s="276">
        <f>3433185+F52</f>
        <v>3433185</v>
      </c>
      <c r="G50" s="276">
        <f>3361638+G52</f>
        <v>3361638</v>
      </c>
      <c r="H50" s="276">
        <f>2693000+H52</f>
        <v>2738000</v>
      </c>
      <c r="I50"/>
      <c r="J50"/>
      <c r="K50"/>
      <c r="L50"/>
    </row>
    <row r="51" spans="1:12" s="366" customFormat="1" ht="18.75" customHeight="1">
      <c r="A51" s="370"/>
      <c r="B51" s="369">
        <v>92116</v>
      </c>
      <c r="C51" s="368" t="s">
        <v>182</v>
      </c>
      <c r="D51" s="312">
        <f t="shared" si="0"/>
        <v>4750000</v>
      </c>
      <c r="E51" s="367">
        <v>1358600</v>
      </c>
      <c r="F51" s="367">
        <v>1089685</v>
      </c>
      <c r="G51" s="367">
        <v>1266215</v>
      </c>
      <c r="H51" s="367">
        <v>1035500</v>
      </c>
      <c r="I51"/>
      <c r="J51"/>
      <c r="K51"/>
      <c r="L51"/>
    </row>
    <row r="52" spans="1:12" s="221" customFormat="1" ht="18.75" customHeight="1">
      <c r="A52" s="365"/>
      <c r="B52" s="364"/>
      <c r="C52" s="363"/>
      <c r="D52" s="362">
        <f t="shared" si="0"/>
        <v>45000</v>
      </c>
      <c r="E52" s="362"/>
      <c r="F52" s="362"/>
      <c r="G52" s="362"/>
      <c r="H52" s="362">
        <v>45000</v>
      </c>
      <c r="I52"/>
      <c r="J52" s="90"/>
      <c r="K52" s="90"/>
      <c r="L52" s="90"/>
    </row>
    <row r="53" spans="1:13" s="99" customFormat="1" ht="19.5" customHeight="1">
      <c r="A53" s="24"/>
      <c r="B53" s="24"/>
      <c r="C53" s="377" t="s">
        <v>4</v>
      </c>
      <c r="D53" s="627">
        <f t="shared" si="0"/>
        <v>75103339</v>
      </c>
      <c r="E53" s="376">
        <f>6660368+E57+E59+E62+E65+E68+E70+E73+E75+E78</f>
        <v>6660368</v>
      </c>
      <c r="F53" s="376">
        <f>9238232+F57+F59+F62+F65+F68+F70+F73+F75+F78</f>
        <v>9238232</v>
      </c>
      <c r="G53" s="376">
        <f>38821739+G57+G59+G62+G65+G68+G70+G73+G75+G78</f>
        <v>35621739</v>
      </c>
      <c r="H53" s="376">
        <f>22073000+H57+H59+H62+H65+H68+H70+H73+H75+H78</f>
        <v>23583000</v>
      </c>
      <c r="I53"/>
      <c r="J53"/>
      <c r="K53"/>
      <c r="L53"/>
      <c r="M53"/>
    </row>
    <row r="54" spans="1:13" s="99" customFormat="1" ht="19.5" customHeight="1" thickBot="1">
      <c r="A54" s="28"/>
      <c r="B54" s="28"/>
      <c r="C54" s="62" t="s">
        <v>85</v>
      </c>
      <c r="D54" s="625">
        <f t="shared" si="0"/>
        <v>75103339</v>
      </c>
      <c r="E54" s="374">
        <f>6660368+E57+E59+E62+E65+E68+E70+E73+E75+E78</f>
        <v>6660368</v>
      </c>
      <c r="F54" s="374">
        <f>9238232+F57+F59+F62+F65+F68+F70+F73+F75+F78</f>
        <v>9238232</v>
      </c>
      <c r="G54" s="374">
        <f>38821739+G57+G59+G62+G65+G68+G70+G73+G75+G78</f>
        <v>35621739</v>
      </c>
      <c r="H54" s="374">
        <f>22073000+H57+H59+H62+H65+H68+H70+H73+H75+H78</f>
        <v>23583000</v>
      </c>
      <c r="I54"/>
      <c r="J54"/>
      <c r="K54"/>
      <c r="L54"/>
      <c r="M54"/>
    </row>
    <row r="55" spans="1:13" s="99" customFormat="1" ht="19.5" customHeight="1" thickTop="1">
      <c r="A55" s="123">
        <v>600</v>
      </c>
      <c r="B55" s="123"/>
      <c r="C55" s="29" t="s">
        <v>111</v>
      </c>
      <c r="D55" s="618">
        <f t="shared" si="0"/>
        <v>26535000</v>
      </c>
      <c r="E55" s="373">
        <f>2639522+E57</f>
        <v>2639522</v>
      </c>
      <c r="F55" s="373">
        <f>3018896+F57</f>
        <v>3018896</v>
      </c>
      <c r="G55" s="373">
        <f>13596582+G57+G59</f>
        <v>13096582</v>
      </c>
      <c r="H55" s="373">
        <f>8370000+H57</f>
        <v>7780000</v>
      </c>
      <c r="I55"/>
      <c r="J55"/>
      <c r="K55"/>
      <c r="L55"/>
      <c r="M55"/>
    </row>
    <row r="56" spans="1:12" ht="19.5" customHeight="1">
      <c r="A56" s="226"/>
      <c r="B56" s="212">
        <v>60015</v>
      </c>
      <c r="C56" s="80" t="s">
        <v>112</v>
      </c>
      <c r="D56" s="622">
        <f t="shared" si="0"/>
        <v>24173000</v>
      </c>
      <c r="E56" s="359">
        <v>2639522</v>
      </c>
      <c r="F56" s="359">
        <v>2453814</v>
      </c>
      <c r="G56" s="359">
        <v>12136664</v>
      </c>
      <c r="H56" s="359">
        <v>6943000</v>
      </c>
      <c r="I56"/>
      <c r="L56" s="47"/>
    </row>
    <row r="57" spans="1:12" ht="19.5" customHeight="1">
      <c r="A57" s="226"/>
      <c r="B57" s="88"/>
      <c r="C57" s="222"/>
      <c r="D57" s="289">
        <f t="shared" si="0"/>
        <v>-990000</v>
      </c>
      <c r="E57" s="185"/>
      <c r="F57" s="185"/>
      <c r="G57" s="185">
        <v>-400000</v>
      </c>
      <c r="H57" s="185">
        <f>-190000-400000</f>
        <v>-590000</v>
      </c>
      <c r="I57"/>
      <c r="L57" s="47"/>
    </row>
    <row r="58" spans="1:12" ht="19.5" customHeight="1">
      <c r="A58" s="226"/>
      <c r="B58" s="212">
        <v>60017</v>
      </c>
      <c r="C58" s="80" t="s">
        <v>381</v>
      </c>
      <c r="D58" s="623">
        <f t="shared" si="0"/>
        <v>100000</v>
      </c>
      <c r="E58" s="359"/>
      <c r="F58" s="359"/>
      <c r="G58" s="359">
        <v>100000</v>
      </c>
      <c r="H58" s="359"/>
      <c r="I58"/>
      <c r="L58" s="47"/>
    </row>
    <row r="59" spans="1:12" ht="19.5" customHeight="1">
      <c r="A59" s="222"/>
      <c r="B59" s="88"/>
      <c r="C59" s="222"/>
      <c r="D59" s="362">
        <f t="shared" si="0"/>
        <v>-100000</v>
      </c>
      <c r="E59" s="185"/>
      <c r="F59" s="185"/>
      <c r="G59" s="185">
        <v>-100000</v>
      </c>
      <c r="H59" s="185"/>
      <c r="I59"/>
      <c r="L59" s="47"/>
    </row>
    <row r="60" spans="1:13" s="99" customFormat="1" ht="19.5" customHeight="1">
      <c r="A60" s="123">
        <v>700</v>
      </c>
      <c r="B60" s="123"/>
      <c r="C60" s="123" t="s">
        <v>117</v>
      </c>
      <c r="D60" s="618">
        <f t="shared" si="0"/>
        <v>6000000</v>
      </c>
      <c r="E60" s="373">
        <f>1013729+E62</f>
        <v>1013729</v>
      </c>
      <c r="F60" s="373">
        <f>1643211+F62</f>
        <v>1643211</v>
      </c>
      <c r="G60" s="373">
        <f>1803060+G62</f>
        <v>1803060</v>
      </c>
      <c r="H60" s="373">
        <f>540000+H62</f>
        <v>1540000</v>
      </c>
      <c r="I60"/>
      <c r="J60"/>
      <c r="K60"/>
      <c r="L60"/>
      <c r="M60"/>
    </row>
    <row r="61" spans="1:12" ht="19.5" customHeight="1">
      <c r="A61" s="226"/>
      <c r="B61" s="212">
        <v>70095</v>
      </c>
      <c r="C61" s="80" t="s">
        <v>62</v>
      </c>
      <c r="D61" s="619">
        <f t="shared" si="0"/>
        <v>5000000</v>
      </c>
      <c r="E61" s="359">
        <v>1013729</v>
      </c>
      <c r="F61" s="359">
        <v>1643211</v>
      </c>
      <c r="G61" s="359">
        <v>1803060</v>
      </c>
      <c r="H61" s="359">
        <v>540000</v>
      </c>
      <c r="I61"/>
      <c r="L61" s="47"/>
    </row>
    <row r="62" spans="1:12" ht="19.5" customHeight="1">
      <c r="A62" s="226"/>
      <c r="B62" s="88"/>
      <c r="C62" s="222"/>
      <c r="D62" s="362">
        <f t="shared" si="0"/>
        <v>1000000</v>
      </c>
      <c r="E62" s="185"/>
      <c r="F62" s="185"/>
      <c r="G62" s="185"/>
      <c r="H62" s="185">
        <v>1000000</v>
      </c>
      <c r="I62"/>
      <c r="L62" s="47"/>
    </row>
    <row r="63" spans="1:13" s="99" customFormat="1" ht="19.5" customHeight="1">
      <c r="A63" s="123">
        <v>852</v>
      </c>
      <c r="B63" s="123"/>
      <c r="C63" s="123" t="s">
        <v>70</v>
      </c>
      <c r="D63" s="618">
        <f t="shared" si="0"/>
        <v>443000</v>
      </c>
      <c r="E63" s="373">
        <f>52729+E65</f>
        <v>52729</v>
      </c>
      <c r="F63" s="373">
        <f>298175+F65</f>
        <v>298175</v>
      </c>
      <c r="G63" s="373">
        <f>42096+G65</f>
        <v>42096</v>
      </c>
      <c r="H63" s="373">
        <f>H65</f>
        <v>50000</v>
      </c>
      <c r="I63"/>
      <c r="J63"/>
      <c r="K63"/>
      <c r="L63"/>
      <c r="M63"/>
    </row>
    <row r="64" spans="1:12" ht="19.5" customHeight="1">
      <c r="A64" s="226"/>
      <c r="B64" s="212">
        <v>85202</v>
      </c>
      <c r="C64" s="80" t="s">
        <v>143</v>
      </c>
      <c r="D64" s="622">
        <f t="shared" si="0"/>
        <v>93000</v>
      </c>
      <c r="E64" s="359">
        <v>52729</v>
      </c>
      <c r="F64" s="359"/>
      <c r="G64" s="359">
        <v>40271</v>
      </c>
      <c r="H64" s="359"/>
      <c r="I64"/>
      <c r="L64" s="47"/>
    </row>
    <row r="65" spans="1:12" ht="19.5" customHeight="1">
      <c r="A65" s="226"/>
      <c r="B65" s="88"/>
      <c r="C65" s="222"/>
      <c r="D65" s="289">
        <f t="shared" si="0"/>
        <v>50000</v>
      </c>
      <c r="E65" s="185"/>
      <c r="F65" s="185"/>
      <c r="G65" s="185"/>
      <c r="H65" s="185">
        <v>50000</v>
      </c>
      <c r="I65"/>
      <c r="L65" s="47"/>
    </row>
    <row r="66" spans="1:13" s="99" customFormat="1" ht="19.5" customHeight="1">
      <c r="A66" s="123">
        <v>900</v>
      </c>
      <c r="B66" s="123"/>
      <c r="C66" s="29" t="s">
        <v>118</v>
      </c>
      <c r="D66" s="624">
        <f t="shared" si="0"/>
        <v>15910000</v>
      </c>
      <c r="E66" s="373">
        <f>755832+E68+E70</f>
        <v>755832</v>
      </c>
      <c r="F66" s="373">
        <f>1499972+F68+F70</f>
        <v>1499972</v>
      </c>
      <c r="G66" s="373">
        <f>9424196+G68+G70</f>
        <v>6924196</v>
      </c>
      <c r="H66" s="373">
        <f>5580000+H68+H70</f>
        <v>6730000</v>
      </c>
      <c r="I66"/>
      <c r="J66"/>
      <c r="K66"/>
      <c r="L66"/>
      <c r="M66"/>
    </row>
    <row r="67" spans="1:12" ht="19.5" customHeight="1">
      <c r="A67" s="226"/>
      <c r="B67" s="191">
        <v>90002</v>
      </c>
      <c r="C67" s="24" t="s">
        <v>150</v>
      </c>
      <c r="D67" s="623">
        <f t="shared" si="0"/>
        <v>6400000</v>
      </c>
      <c r="E67" s="359">
        <v>300</v>
      </c>
      <c r="F67" s="359">
        <v>3050</v>
      </c>
      <c r="G67" s="359">
        <v>3796650</v>
      </c>
      <c r="H67" s="359">
        <v>2600000</v>
      </c>
      <c r="I67"/>
      <c r="L67" s="47"/>
    </row>
    <row r="68" spans="1:12" ht="19.5" customHeight="1">
      <c r="A68" s="226"/>
      <c r="B68" s="88"/>
      <c r="C68" s="222"/>
      <c r="D68" s="362">
        <f t="shared" si="0"/>
        <v>-3500000</v>
      </c>
      <c r="E68" s="185"/>
      <c r="F68" s="185"/>
      <c r="G68" s="185">
        <v>-2500000</v>
      </c>
      <c r="H68" s="185">
        <v>-1000000</v>
      </c>
      <c r="I68"/>
      <c r="L68" s="47"/>
    </row>
    <row r="69" spans="1:12" ht="19.5" customHeight="1">
      <c r="A69" s="226"/>
      <c r="B69" s="191">
        <v>90095</v>
      </c>
      <c r="C69" s="24" t="s">
        <v>62</v>
      </c>
      <c r="D69" s="619">
        <f t="shared" si="0"/>
        <v>7750000</v>
      </c>
      <c r="E69" s="359">
        <v>652780</v>
      </c>
      <c r="F69" s="359">
        <v>1370522</v>
      </c>
      <c r="G69" s="359">
        <v>3526698</v>
      </c>
      <c r="H69" s="359">
        <v>2200000</v>
      </c>
      <c r="I69"/>
      <c r="L69" s="47"/>
    </row>
    <row r="70" spans="1:12" ht="19.5" customHeight="1">
      <c r="A70" s="226"/>
      <c r="B70" s="88"/>
      <c r="C70" s="222"/>
      <c r="D70" s="362">
        <f t="shared" si="0"/>
        <v>2150000</v>
      </c>
      <c r="E70" s="185"/>
      <c r="F70" s="185"/>
      <c r="G70" s="185"/>
      <c r="H70" s="185">
        <f>800000+350000+1000000</f>
        <v>2150000</v>
      </c>
      <c r="I70"/>
      <c r="L70" s="47"/>
    </row>
    <row r="71" spans="1:13" s="99" customFormat="1" ht="19.5" customHeight="1">
      <c r="A71" s="123">
        <v>921</v>
      </c>
      <c r="B71" s="123"/>
      <c r="C71" s="123" t="s">
        <v>135</v>
      </c>
      <c r="D71" s="618">
        <f t="shared" si="0"/>
        <v>830000</v>
      </c>
      <c r="E71" s="373">
        <f>8686+E73+E75</f>
        <v>8686</v>
      </c>
      <c r="F71" s="373">
        <f>40631+F73+F75</f>
        <v>40631</v>
      </c>
      <c r="G71" s="373">
        <f>802683+G73+G75</f>
        <v>602683</v>
      </c>
      <c r="H71" s="373">
        <f>378000+H73+H75</f>
        <v>178000</v>
      </c>
      <c r="I71"/>
      <c r="J71"/>
      <c r="K71"/>
      <c r="L71"/>
      <c r="M71"/>
    </row>
    <row r="72" spans="1:12" ht="19.5" customHeight="1">
      <c r="A72" s="226"/>
      <c r="B72" s="212">
        <v>92113</v>
      </c>
      <c r="C72" s="80" t="s">
        <v>149</v>
      </c>
      <c r="D72" s="622">
        <f t="shared" si="0"/>
        <v>658000</v>
      </c>
      <c r="E72" s="359">
        <v>8686</v>
      </c>
      <c r="F72" s="359"/>
      <c r="G72" s="359">
        <v>441314</v>
      </c>
      <c r="H72" s="359">
        <v>208000</v>
      </c>
      <c r="I72"/>
      <c r="L72" s="47"/>
    </row>
    <row r="73" spans="1:12" ht="19.5" customHeight="1">
      <c r="A73" s="226"/>
      <c r="B73" s="88"/>
      <c r="C73" s="222"/>
      <c r="D73" s="289">
        <f t="shared" si="0"/>
        <v>-90000</v>
      </c>
      <c r="E73" s="185"/>
      <c r="F73" s="185"/>
      <c r="G73" s="185"/>
      <c r="H73" s="185">
        <f>-50000-40000</f>
        <v>-90000</v>
      </c>
      <c r="I73"/>
      <c r="L73" s="47"/>
    </row>
    <row r="74" spans="1:12" ht="19.5" customHeight="1">
      <c r="A74" s="226"/>
      <c r="B74" s="212">
        <v>92120</v>
      </c>
      <c r="C74" s="80" t="s">
        <v>157</v>
      </c>
      <c r="D74" s="623">
        <f t="shared" si="0"/>
        <v>572000</v>
      </c>
      <c r="E74" s="359"/>
      <c r="F74" s="359">
        <v>40631</v>
      </c>
      <c r="G74" s="359">
        <v>361369</v>
      </c>
      <c r="H74" s="359">
        <v>170000</v>
      </c>
      <c r="I74"/>
      <c r="L74" s="47"/>
    </row>
    <row r="75" spans="1:12" ht="19.5" customHeight="1">
      <c r="A75" s="226"/>
      <c r="B75" s="88"/>
      <c r="C75" s="222"/>
      <c r="D75" s="362">
        <f t="shared" si="0"/>
        <v>-310000</v>
      </c>
      <c r="E75" s="185"/>
      <c r="F75" s="185"/>
      <c r="G75" s="185">
        <v>-200000</v>
      </c>
      <c r="H75" s="185">
        <f>40000-150000</f>
        <v>-110000</v>
      </c>
      <c r="I75"/>
      <c r="L75" s="47"/>
    </row>
    <row r="76" spans="1:13" s="99" customFormat="1" ht="18.75" customHeight="1">
      <c r="A76" s="123">
        <v>926</v>
      </c>
      <c r="B76" s="123"/>
      <c r="C76" s="123" t="s">
        <v>385</v>
      </c>
      <c r="D76" s="618">
        <f aca="true" t="shared" si="1" ref="D76:D114">SUM(E76:H76)</f>
        <v>11450000</v>
      </c>
      <c r="E76" s="373">
        <f>433194+E78</f>
        <v>433194</v>
      </c>
      <c r="F76" s="373">
        <f>106456+F78</f>
        <v>106456</v>
      </c>
      <c r="G76" s="373">
        <f>6960350+G78</f>
        <v>6960350</v>
      </c>
      <c r="H76" s="373">
        <f>3850000+H78</f>
        <v>3950000</v>
      </c>
      <c r="I76"/>
      <c r="J76"/>
      <c r="K76"/>
      <c r="L76"/>
      <c r="M76"/>
    </row>
    <row r="77" spans="1:12" ht="18.75" customHeight="1">
      <c r="A77" s="226"/>
      <c r="B77" s="212">
        <v>92604</v>
      </c>
      <c r="C77" s="80" t="s">
        <v>386</v>
      </c>
      <c r="D77" s="622">
        <f t="shared" si="1"/>
        <v>10900000</v>
      </c>
      <c r="E77" s="359">
        <v>433194</v>
      </c>
      <c r="F77" s="359">
        <v>106456</v>
      </c>
      <c r="G77" s="359">
        <v>6560350</v>
      </c>
      <c r="H77" s="359">
        <v>3800000</v>
      </c>
      <c r="I77"/>
      <c r="L77" s="47"/>
    </row>
    <row r="78" spans="1:12" ht="18.75" customHeight="1">
      <c r="A78" s="226"/>
      <c r="B78" s="88"/>
      <c r="C78" s="222"/>
      <c r="D78" s="289">
        <f t="shared" si="1"/>
        <v>100000</v>
      </c>
      <c r="E78" s="185"/>
      <c r="F78" s="185"/>
      <c r="G78" s="185"/>
      <c r="H78" s="185">
        <v>100000</v>
      </c>
      <c r="I78"/>
      <c r="L78" s="47"/>
    </row>
    <row r="79" spans="1:12" s="22" customFormat="1" ht="30">
      <c r="A79" s="24"/>
      <c r="B79" s="80"/>
      <c r="C79" s="317" t="s">
        <v>5</v>
      </c>
      <c r="D79" s="628">
        <f t="shared" si="1"/>
        <v>2222554</v>
      </c>
      <c r="E79" s="375">
        <f>582132+E83+E87</f>
        <v>582132</v>
      </c>
      <c r="F79" s="375">
        <f>527772+F83+F87</f>
        <v>527772</v>
      </c>
      <c r="G79" s="375">
        <f>541820+G83+G87</f>
        <v>434820</v>
      </c>
      <c r="H79" s="375">
        <f>570830+H83+H87</f>
        <v>677830</v>
      </c>
      <c r="I79" s="47"/>
      <c r="J79"/>
      <c r="K79"/>
      <c r="L79"/>
    </row>
    <row r="80" spans="1:13" s="99" customFormat="1" ht="19.5" customHeight="1" thickBot="1">
      <c r="A80" s="28"/>
      <c r="B80" s="28"/>
      <c r="C80" s="62" t="s">
        <v>85</v>
      </c>
      <c r="D80" s="625">
        <f t="shared" si="1"/>
        <v>1479800</v>
      </c>
      <c r="E80" s="374">
        <f>386020+E83</f>
        <v>386020</v>
      </c>
      <c r="F80" s="374">
        <f>335090+F83</f>
        <v>335090</v>
      </c>
      <c r="G80" s="374">
        <f>348490+G83</f>
        <v>348490</v>
      </c>
      <c r="H80" s="374">
        <f>303200+H83</f>
        <v>410200</v>
      </c>
      <c r="I80"/>
      <c r="J80"/>
      <c r="K80"/>
      <c r="L80"/>
      <c r="M80"/>
    </row>
    <row r="81" spans="1:13" s="99" customFormat="1" ht="18.75" customHeight="1" thickTop="1">
      <c r="A81" s="123">
        <v>852</v>
      </c>
      <c r="B81" s="123"/>
      <c r="C81" s="29" t="s">
        <v>70</v>
      </c>
      <c r="D81" s="373">
        <f t="shared" si="1"/>
        <v>1473000</v>
      </c>
      <c r="E81" s="373">
        <f>386020+E83</f>
        <v>386020</v>
      </c>
      <c r="F81" s="373">
        <f>332590+F83</f>
        <v>332590</v>
      </c>
      <c r="G81" s="373">
        <f>345990+G83</f>
        <v>345990</v>
      </c>
      <c r="H81" s="373">
        <f>301400+H83</f>
        <v>408400</v>
      </c>
      <c r="I81"/>
      <c r="J81"/>
      <c r="K81"/>
      <c r="L81"/>
      <c r="M81"/>
    </row>
    <row r="82" spans="1:12" ht="18.75" customHeight="1">
      <c r="A82" s="226"/>
      <c r="B82" s="212">
        <v>85201</v>
      </c>
      <c r="C82" s="80" t="s">
        <v>160</v>
      </c>
      <c r="D82" s="359">
        <f t="shared" si="1"/>
        <v>1357300</v>
      </c>
      <c r="E82" s="359">
        <v>386020</v>
      </c>
      <c r="F82" s="359">
        <v>331590</v>
      </c>
      <c r="G82" s="359">
        <v>339490</v>
      </c>
      <c r="H82" s="359">
        <v>300200</v>
      </c>
      <c r="I82"/>
      <c r="L82" s="47"/>
    </row>
    <row r="83" spans="1:12" ht="18.75" customHeight="1">
      <c r="A83" s="226"/>
      <c r="B83" s="88"/>
      <c r="C83" s="222"/>
      <c r="D83" s="185">
        <f t="shared" si="1"/>
        <v>107000</v>
      </c>
      <c r="E83" s="185"/>
      <c r="F83" s="185"/>
      <c r="G83" s="185"/>
      <c r="H83" s="185">
        <v>107000</v>
      </c>
      <c r="I83"/>
      <c r="L83" s="47"/>
    </row>
    <row r="84" spans="1:12" s="366" customFormat="1" ht="26.25" thickBot="1">
      <c r="A84" s="261"/>
      <c r="B84" s="261"/>
      <c r="C84" s="270" t="s">
        <v>224</v>
      </c>
      <c r="D84" s="263">
        <f t="shared" si="1"/>
        <v>708700</v>
      </c>
      <c r="E84" s="263">
        <f>190650+E87</f>
        <v>190650</v>
      </c>
      <c r="F84" s="263">
        <f>183900+F87</f>
        <v>183900</v>
      </c>
      <c r="G84" s="263">
        <f>183700+G87</f>
        <v>76700</v>
      </c>
      <c r="H84" s="263">
        <f>257450+H87</f>
        <v>257450</v>
      </c>
      <c r="I84"/>
      <c r="J84"/>
      <c r="K84"/>
      <c r="L84"/>
    </row>
    <row r="85" spans="1:12" s="22" customFormat="1" ht="18.75" customHeight="1" thickTop="1">
      <c r="A85" s="29">
        <v>852</v>
      </c>
      <c r="B85" s="123"/>
      <c r="C85" s="206" t="s">
        <v>70</v>
      </c>
      <c r="D85" s="373">
        <f t="shared" si="1"/>
        <v>708700</v>
      </c>
      <c r="E85" s="373">
        <f>190650+E87</f>
        <v>190650</v>
      </c>
      <c r="F85" s="373">
        <f>183900+F87</f>
        <v>183900</v>
      </c>
      <c r="G85" s="373">
        <f>183700+G87</f>
        <v>76700</v>
      </c>
      <c r="H85" s="373">
        <f>257450+H87</f>
        <v>257450</v>
      </c>
      <c r="I85"/>
      <c r="J85"/>
      <c r="K85"/>
      <c r="L85"/>
    </row>
    <row r="86" spans="1:12" s="473" customFormat="1" ht="18.75" customHeight="1">
      <c r="A86" s="370"/>
      <c r="B86" s="212">
        <v>85201</v>
      </c>
      <c r="C86" s="80" t="s">
        <v>160</v>
      </c>
      <c r="D86" s="367">
        <f t="shared" si="1"/>
        <v>725700</v>
      </c>
      <c r="E86" s="367">
        <v>190650</v>
      </c>
      <c r="F86" s="367">
        <v>183900</v>
      </c>
      <c r="G86" s="367">
        <v>183700</v>
      </c>
      <c r="H86" s="367">
        <v>167450</v>
      </c>
      <c r="I86" s="22"/>
      <c r="J86" s="22"/>
      <c r="K86" s="22"/>
      <c r="L86" s="22"/>
    </row>
    <row r="87" spans="1:12" s="221" customFormat="1" ht="18.75" customHeight="1">
      <c r="A87" s="364"/>
      <c r="B87" s="364"/>
      <c r="C87" s="363"/>
      <c r="D87" s="362">
        <f t="shared" si="1"/>
        <v>-107000</v>
      </c>
      <c r="E87" s="362"/>
      <c r="F87" s="362"/>
      <c r="G87" s="362">
        <v>-107000</v>
      </c>
      <c r="H87" s="362"/>
      <c r="I87" s="90"/>
      <c r="J87" s="90"/>
      <c r="K87" s="90"/>
      <c r="L87" s="90"/>
    </row>
    <row r="88" spans="1:12" s="22" customFormat="1" ht="18.75" customHeight="1">
      <c r="A88" s="24"/>
      <c r="B88" s="24"/>
      <c r="C88" s="318" t="s">
        <v>6</v>
      </c>
      <c r="D88" s="376">
        <f t="shared" si="1"/>
        <v>1204874</v>
      </c>
      <c r="E88" s="376">
        <f>360494+E92</f>
        <v>360494</v>
      </c>
      <c r="F88" s="376">
        <f>272678+F92</f>
        <v>272678</v>
      </c>
      <c r="G88" s="376">
        <f>282550+G92</f>
        <v>282550</v>
      </c>
      <c r="H88" s="376">
        <f>279152+H92</f>
        <v>289152</v>
      </c>
      <c r="I88" s="47"/>
      <c r="J88"/>
      <c r="K88"/>
      <c r="L88"/>
    </row>
    <row r="89" spans="1:13" s="99" customFormat="1" ht="19.5" customHeight="1" thickBot="1">
      <c r="A89" s="28"/>
      <c r="B89" s="28"/>
      <c r="C89" s="62" t="s">
        <v>85</v>
      </c>
      <c r="D89" s="374">
        <f t="shared" si="1"/>
        <v>849874</v>
      </c>
      <c r="E89" s="374">
        <f>253074+E92</f>
        <v>253074</v>
      </c>
      <c r="F89" s="374">
        <f>193000+F92</f>
        <v>193000</v>
      </c>
      <c r="G89" s="374">
        <f>198750+G92</f>
        <v>198750</v>
      </c>
      <c r="H89" s="374">
        <f>195050+H92</f>
        <v>205050</v>
      </c>
      <c r="I89"/>
      <c r="J89"/>
      <c r="K89"/>
      <c r="L89"/>
      <c r="M89"/>
    </row>
    <row r="90" spans="1:13" s="99" customFormat="1" ht="18.75" customHeight="1" thickTop="1">
      <c r="A90" s="123">
        <v>852</v>
      </c>
      <c r="B90" s="123"/>
      <c r="C90" s="29" t="s">
        <v>70</v>
      </c>
      <c r="D90" s="373">
        <f t="shared" si="1"/>
        <v>845874</v>
      </c>
      <c r="E90" s="373">
        <f>253074+E92</f>
        <v>253074</v>
      </c>
      <c r="F90" s="373">
        <f>193000+F92</f>
        <v>193000</v>
      </c>
      <c r="G90" s="373">
        <f>194750+G92</f>
        <v>194750</v>
      </c>
      <c r="H90" s="373">
        <f>195050+H92</f>
        <v>205050</v>
      </c>
      <c r="I90"/>
      <c r="J90"/>
      <c r="K90"/>
      <c r="L90"/>
      <c r="M90"/>
    </row>
    <row r="91" spans="1:12" ht="18.75" customHeight="1">
      <c r="A91" s="226"/>
      <c r="B91" s="212">
        <v>85201</v>
      </c>
      <c r="C91" s="80" t="s">
        <v>160</v>
      </c>
      <c r="D91" s="359">
        <f t="shared" si="1"/>
        <v>832374</v>
      </c>
      <c r="E91" s="359">
        <v>253074</v>
      </c>
      <c r="F91" s="359">
        <v>193000</v>
      </c>
      <c r="G91" s="359">
        <v>193000</v>
      </c>
      <c r="H91" s="359">
        <v>193300</v>
      </c>
      <c r="I91"/>
      <c r="L91" s="47"/>
    </row>
    <row r="92" spans="1:12" ht="18.75" customHeight="1">
      <c r="A92" s="226"/>
      <c r="B92" s="88"/>
      <c r="C92" s="222"/>
      <c r="D92" s="185">
        <f t="shared" si="1"/>
        <v>10000</v>
      </c>
      <c r="E92" s="185"/>
      <c r="F92" s="185"/>
      <c r="G92" s="185"/>
      <c r="H92" s="185">
        <v>10000</v>
      </c>
      <c r="I92"/>
      <c r="L92" s="47"/>
    </row>
    <row r="93" spans="1:12" s="22" customFormat="1" ht="18.75" customHeight="1">
      <c r="A93" s="24"/>
      <c r="B93" s="24"/>
      <c r="C93" s="318" t="s">
        <v>7</v>
      </c>
      <c r="D93" s="375">
        <f t="shared" si="1"/>
        <v>98090102</v>
      </c>
      <c r="E93" s="375">
        <f>24466550+E97+E101</f>
        <v>24466550</v>
      </c>
      <c r="F93" s="375">
        <f>24475332+F97+F101</f>
        <v>24475332</v>
      </c>
      <c r="G93" s="375">
        <f>23933820+G97+G101</f>
        <v>23933820</v>
      </c>
      <c r="H93" s="375">
        <f>25224400+H97+H101</f>
        <v>25214400</v>
      </c>
      <c r="I93" s="47"/>
      <c r="J93"/>
      <c r="K93"/>
      <c r="L93"/>
    </row>
    <row r="94" spans="1:13" s="99" customFormat="1" ht="19.5" customHeight="1" thickBot="1">
      <c r="A94" s="28"/>
      <c r="B94" s="28"/>
      <c r="C94" s="62" t="s">
        <v>85</v>
      </c>
      <c r="D94" s="374">
        <f t="shared" si="1"/>
        <v>39598610</v>
      </c>
      <c r="E94" s="374">
        <f>10136200+E97</f>
        <v>10136200</v>
      </c>
      <c r="F94" s="374">
        <f>10023590+F97</f>
        <v>10023590</v>
      </c>
      <c r="G94" s="374">
        <f>9123470+G97</f>
        <v>9123470</v>
      </c>
      <c r="H94" s="374">
        <f>10432350+H97</f>
        <v>10315350</v>
      </c>
      <c r="I94"/>
      <c r="J94"/>
      <c r="K94"/>
      <c r="L94"/>
      <c r="M94"/>
    </row>
    <row r="95" spans="1:13" s="99" customFormat="1" ht="19.5" customHeight="1" thickTop="1">
      <c r="A95" s="123">
        <v>852</v>
      </c>
      <c r="B95" s="123"/>
      <c r="C95" s="29" t="s">
        <v>70</v>
      </c>
      <c r="D95" s="373">
        <f t="shared" si="1"/>
        <v>39171870</v>
      </c>
      <c r="E95" s="373">
        <f>10006850+E97</f>
        <v>10006850</v>
      </c>
      <c r="F95" s="373">
        <f>9898240+F97</f>
        <v>9898240</v>
      </c>
      <c r="G95" s="373">
        <f>9045530+G97</f>
        <v>9045530</v>
      </c>
      <c r="H95" s="373">
        <f>10338250+H97</f>
        <v>10221250</v>
      </c>
      <c r="I95"/>
      <c r="J95"/>
      <c r="K95"/>
      <c r="L95"/>
      <c r="M95"/>
    </row>
    <row r="96" spans="1:12" ht="19.5" customHeight="1">
      <c r="A96" s="226"/>
      <c r="B96" s="212">
        <v>85201</v>
      </c>
      <c r="C96" s="80" t="s">
        <v>160</v>
      </c>
      <c r="D96" s="359">
        <f t="shared" si="1"/>
        <v>1756600</v>
      </c>
      <c r="E96" s="359">
        <v>420000</v>
      </c>
      <c r="F96" s="359">
        <v>420000</v>
      </c>
      <c r="G96" s="359">
        <v>455600</v>
      </c>
      <c r="H96" s="359">
        <v>461000</v>
      </c>
      <c r="I96"/>
      <c r="L96" s="47"/>
    </row>
    <row r="97" spans="1:12" ht="19.5" customHeight="1">
      <c r="A97" s="226"/>
      <c r="B97" s="173"/>
      <c r="C97" s="222"/>
      <c r="D97" s="185">
        <f t="shared" si="1"/>
        <v>-117000</v>
      </c>
      <c r="E97" s="185"/>
      <c r="F97" s="185"/>
      <c r="G97" s="185"/>
      <c r="H97" s="185">
        <f>-107000-10000</f>
        <v>-117000</v>
      </c>
      <c r="I97"/>
      <c r="L97" s="47"/>
    </row>
    <row r="98" spans="1:12" s="366" customFormat="1" ht="26.25" thickBot="1">
      <c r="A98" s="261"/>
      <c r="B98" s="554"/>
      <c r="C98" s="270" t="s">
        <v>224</v>
      </c>
      <c r="D98" s="263">
        <f t="shared" si="1"/>
        <v>775500</v>
      </c>
      <c r="E98" s="263">
        <f>119500+E101</f>
        <v>119500</v>
      </c>
      <c r="F98" s="263">
        <f>119500+F101</f>
        <v>119500</v>
      </c>
      <c r="G98" s="263">
        <f>174500+G101</f>
        <v>174500</v>
      </c>
      <c r="H98" s="263">
        <f>255000+H101</f>
        <v>362000</v>
      </c>
      <c r="I98"/>
      <c r="J98"/>
      <c r="K98"/>
      <c r="L98"/>
    </row>
    <row r="99" spans="1:12" s="22" customFormat="1" ht="18.75" customHeight="1" thickTop="1">
      <c r="A99" s="29">
        <v>852</v>
      </c>
      <c r="B99" s="123"/>
      <c r="C99" s="206" t="s">
        <v>70</v>
      </c>
      <c r="D99" s="373">
        <f t="shared" si="1"/>
        <v>775500</v>
      </c>
      <c r="E99" s="373">
        <f>119500+E101</f>
        <v>119500</v>
      </c>
      <c r="F99" s="373">
        <f>119500+F101</f>
        <v>119500</v>
      </c>
      <c r="G99" s="373">
        <f>174500+G101</f>
        <v>174500</v>
      </c>
      <c r="H99" s="373">
        <f>255000+H101</f>
        <v>362000</v>
      </c>
      <c r="I99"/>
      <c r="J99"/>
      <c r="K99"/>
      <c r="L99"/>
    </row>
    <row r="100" spans="1:12" s="473" customFormat="1" ht="18.75" customHeight="1">
      <c r="A100" s="370"/>
      <c r="B100" s="212">
        <v>85201</v>
      </c>
      <c r="C100" s="80" t="s">
        <v>160</v>
      </c>
      <c r="D100" s="367">
        <f t="shared" si="1"/>
        <v>400000</v>
      </c>
      <c r="E100" s="367">
        <v>100000</v>
      </c>
      <c r="F100" s="367">
        <v>100000</v>
      </c>
      <c r="G100" s="367">
        <v>100000</v>
      </c>
      <c r="H100" s="367">
        <v>100000</v>
      </c>
      <c r="I100" s="22"/>
      <c r="J100" s="22"/>
      <c r="K100" s="22"/>
      <c r="L100" s="22"/>
    </row>
    <row r="101" spans="1:12" s="221" customFormat="1" ht="18.75" customHeight="1">
      <c r="A101" s="365"/>
      <c r="B101" s="364"/>
      <c r="C101" s="363"/>
      <c r="D101" s="362">
        <f t="shared" si="1"/>
        <v>107000</v>
      </c>
      <c r="E101" s="362"/>
      <c r="F101" s="362"/>
      <c r="G101" s="362"/>
      <c r="H101" s="362">
        <v>107000</v>
      </c>
      <c r="I101" s="90"/>
      <c r="J101" s="90"/>
      <c r="K101" s="90"/>
      <c r="L101" s="90"/>
    </row>
    <row r="102" spans="1:12" ht="18.75" customHeight="1">
      <c r="A102" s="259"/>
      <c r="B102" s="259"/>
      <c r="C102" s="320" t="s">
        <v>8</v>
      </c>
      <c r="D102" s="372">
        <f t="shared" si="1"/>
        <v>328119685</v>
      </c>
      <c r="E102" s="372">
        <f>92581527+E106+E108+E110+E112+E114+E118</f>
        <v>92581527</v>
      </c>
      <c r="F102" s="372">
        <f>88480407+F106+F108+F110+F112+F114+F118</f>
        <v>88480407</v>
      </c>
      <c r="G102" s="372">
        <f>86143712+G106+G108+G110+G112+G114+G118</f>
        <v>86143712</v>
      </c>
      <c r="H102" s="372">
        <f>59928433+H106+H108+H110+H112+H114+H118</f>
        <v>60914039</v>
      </c>
      <c r="L102" s="47"/>
    </row>
    <row r="103" spans="1:12" ht="17.25" customHeight="1" thickBot="1">
      <c r="A103" s="28"/>
      <c r="B103" s="28"/>
      <c r="C103" s="62" t="s">
        <v>85</v>
      </c>
      <c r="D103" s="361">
        <f t="shared" si="1"/>
        <v>326388719</v>
      </c>
      <c r="E103" s="361">
        <f>92581279+E106+E108+E110+E112+E114+E118</f>
        <v>92581279</v>
      </c>
      <c r="F103" s="361">
        <f>86865985+F106+F108+F110+F112+F114+F118</f>
        <v>86865985</v>
      </c>
      <c r="G103" s="361">
        <f>86028058+G106+G108+G110+G112+G114+G118</f>
        <v>86028058</v>
      </c>
      <c r="H103" s="361">
        <f>59927791+H106+H108+H110+H112+H114+H118</f>
        <v>60913397</v>
      </c>
      <c r="L103" s="47"/>
    </row>
    <row r="104" spans="1:12" ht="19.5" customHeight="1" thickTop="1">
      <c r="A104" s="360">
        <v>801</v>
      </c>
      <c r="B104" s="123"/>
      <c r="C104" s="123" t="s">
        <v>69</v>
      </c>
      <c r="D104" s="70">
        <f t="shared" si="1"/>
        <v>289003505</v>
      </c>
      <c r="E104" s="70">
        <f>82436088+E106+E108+E110+E112+E114</f>
        <v>82436088</v>
      </c>
      <c r="F104" s="70">
        <f>77164460+F106+F108+F110+F112+F114</f>
        <v>77164460</v>
      </c>
      <c r="G104" s="70">
        <f>74781925+G106+G108+G110+G112+G114</f>
        <v>74781925</v>
      </c>
      <c r="H104" s="70">
        <f>53661056+H106+H108+H110+H112+H114</f>
        <v>54621032</v>
      </c>
      <c r="L104" s="47"/>
    </row>
    <row r="105" spans="1:12" ht="19.5" customHeight="1">
      <c r="A105" s="80"/>
      <c r="B105" s="80">
        <v>80101</v>
      </c>
      <c r="C105" s="80" t="s">
        <v>173</v>
      </c>
      <c r="D105" s="359">
        <f t="shared" si="1"/>
        <v>78949280</v>
      </c>
      <c r="E105" s="359">
        <v>22865092</v>
      </c>
      <c r="F105" s="359">
        <v>20237087</v>
      </c>
      <c r="G105" s="359">
        <v>20303759</v>
      </c>
      <c r="H105" s="359">
        <v>15543342</v>
      </c>
      <c r="L105" s="47"/>
    </row>
    <row r="106" spans="1:12" ht="19.5" customHeight="1">
      <c r="A106" s="226"/>
      <c r="B106" s="88"/>
      <c r="C106" s="222"/>
      <c r="D106" s="185">
        <f t="shared" si="1"/>
        <v>258606</v>
      </c>
      <c r="E106" s="185"/>
      <c r="F106" s="185"/>
      <c r="G106" s="185"/>
      <c r="H106" s="185">
        <f>238606+20000</f>
        <v>258606</v>
      </c>
      <c r="L106" s="47"/>
    </row>
    <row r="107" spans="1:12" ht="19.5" customHeight="1">
      <c r="A107" s="226"/>
      <c r="B107" s="80">
        <v>80110</v>
      </c>
      <c r="C107" s="80" t="s">
        <v>166</v>
      </c>
      <c r="D107" s="359">
        <f t="shared" si="1"/>
        <v>45988348</v>
      </c>
      <c r="E107" s="359">
        <v>13588969</v>
      </c>
      <c r="F107" s="359">
        <v>11860924</v>
      </c>
      <c r="G107" s="359">
        <v>11953159</v>
      </c>
      <c r="H107" s="359">
        <v>8585296</v>
      </c>
      <c r="L107" s="47"/>
    </row>
    <row r="108" spans="1:12" ht="19.5" customHeight="1">
      <c r="A108" s="226"/>
      <c r="B108" s="88"/>
      <c r="C108" s="222"/>
      <c r="D108" s="185">
        <f t="shared" si="1"/>
        <v>212000</v>
      </c>
      <c r="E108" s="185"/>
      <c r="F108" s="185"/>
      <c r="G108" s="185"/>
      <c r="H108" s="185">
        <v>212000</v>
      </c>
      <c r="L108" s="47"/>
    </row>
    <row r="109" spans="1:12" ht="19.5" customHeight="1">
      <c r="A109" s="226"/>
      <c r="B109" s="80">
        <v>80120</v>
      </c>
      <c r="C109" s="80" t="s">
        <v>100</v>
      </c>
      <c r="D109" s="359">
        <f t="shared" si="1"/>
        <v>40769679</v>
      </c>
      <c r="E109" s="359">
        <v>11421637</v>
      </c>
      <c r="F109" s="359">
        <v>11230638</v>
      </c>
      <c r="G109" s="359">
        <v>10638623</v>
      </c>
      <c r="H109" s="359">
        <v>7478781</v>
      </c>
      <c r="L109" s="47"/>
    </row>
    <row r="110" spans="1:12" ht="19.5" customHeight="1">
      <c r="A110" s="226"/>
      <c r="B110" s="88"/>
      <c r="C110" s="222"/>
      <c r="D110" s="185">
        <f t="shared" si="1"/>
        <v>449660</v>
      </c>
      <c r="E110" s="185"/>
      <c r="F110" s="185"/>
      <c r="G110" s="185"/>
      <c r="H110" s="185">
        <f>5600+444060</f>
        <v>449660</v>
      </c>
      <c r="L110" s="47"/>
    </row>
    <row r="111" spans="1:12" ht="19.5" customHeight="1">
      <c r="A111" s="226"/>
      <c r="B111" s="24">
        <v>80130</v>
      </c>
      <c r="C111" s="24" t="s">
        <v>170</v>
      </c>
      <c r="D111" s="359">
        <f t="shared" si="1"/>
        <v>36544764</v>
      </c>
      <c r="E111" s="359">
        <v>10739300</v>
      </c>
      <c r="F111" s="359">
        <v>9233888</v>
      </c>
      <c r="G111" s="359">
        <v>9527138</v>
      </c>
      <c r="H111" s="359">
        <v>7044438</v>
      </c>
      <c r="L111" s="47"/>
    </row>
    <row r="112" spans="1:12" ht="19.5" customHeight="1">
      <c r="A112" s="226"/>
      <c r="B112" s="88"/>
      <c r="C112" s="222"/>
      <c r="D112" s="185">
        <f t="shared" si="1"/>
        <v>19040</v>
      </c>
      <c r="E112" s="185"/>
      <c r="F112" s="185"/>
      <c r="G112" s="185"/>
      <c r="H112" s="185">
        <v>19040</v>
      </c>
      <c r="L112" s="47"/>
    </row>
    <row r="113" spans="1:12" ht="25.5" customHeight="1">
      <c r="A113" s="226"/>
      <c r="B113" s="212">
        <v>80140</v>
      </c>
      <c r="C113" s="282" t="s">
        <v>175</v>
      </c>
      <c r="D113" s="359">
        <f t="shared" si="1"/>
        <v>9499565</v>
      </c>
      <c r="E113" s="359">
        <v>2594907</v>
      </c>
      <c r="F113" s="359">
        <v>2218865</v>
      </c>
      <c r="G113" s="359">
        <v>2828164</v>
      </c>
      <c r="H113" s="359">
        <v>1857629</v>
      </c>
      <c r="L113" s="47"/>
    </row>
    <row r="114" spans="1:12" ht="19.5" customHeight="1">
      <c r="A114" s="226"/>
      <c r="B114" s="173"/>
      <c r="C114" s="226"/>
      <c r="D114" s="584">
        <f t="shared" si="1"/>
        <v>20670</v>
      </c>
      <c r="E114" s="584"/>
      <c r="F114" s="584"/>
      <c r="G114" s="584"/>
      <c r="H114" s="584">
        <v>20670</v>
      </c>
      <c r="L114" s="47"/>
    </row>
    <row r="115" spans="1:12" ht="19.5" customHeight="1">
      <c r="A115" s="586"/>
      <c r="B115" s="585"/>
      <c r="C115" s="586"/>
      <c r="D115" s="587"/>
      <c r="E115" s="587"/>
      <c r="F115" s="587"/>
      <c r="G115" s="587"/>
      <c r="H115" s="587"/>
      <c r="L115" s="47"/>
    </row>
    <row r="116" spans="1:12" s="366" customFormat="1" ht="19.5" customHeight="1">
      <c r="A116" s="29">
        <v>854</v>
      </c>
      <c r="B116" s="29"/>
      <c r="C116" s="29" t="s">
        <v>71</v>
      </c>
      <c r="D116" s="276">
        <f>SUM(E116:H116)</f>
        <v>35968509</v>
      </c>
      <c r="E116" s="276">
        <f>10084286+E118</f>
        <v>10084286</v>
      </c>
      <c r="F116" s="276">
        <f>9195830+F118</f>
        <v>9195830</v>
      </c>
      <c r="G116" s="276">
        <f>10682433+G118</f>
        <v>10682433</v>
      </c>
      <c r="H116" s="276">
        <f>5980330+H118</f>
        <v>6005960</v>
      </c>
      <c r="I116"/>
      <c r="J116"/>
      <c r="K116"/>
      <c r="L116"/>
    </row>
    <row r="117" spans="1:12" ht="19.5" customHeight="1">
      <c r="A117" s="226"/>
      <c r="B117" s="80">
        <v>85403</v>
      </c>
      <c r="C117" s="80" t="s">
        <v>178</v>
      </c>
      <c r="D117" s="359">
        <f>SUM(E117:H117)</f>
        <v>7410378</v>
      </c>
      <c r="E117" s="359">
        <v>2186420</v>
      </c>
      <c r="F117" s="359">
        <v>1814072</v>
      </c>
      <c r="G117" s="359">
        <v>2218086</v>
      </c>
      <c r="H117" s="359">
        <v>1191800</v>
      </c>
      <c r="L117" s="47"/>
    </row>
    <row r="118" spans="1:12" ht="19.5" customHeight="1">
      <c r="A118" s="222"/>
      <c r="B118" s="88"/>
      <c r="C118" s="222"/>
      <c r="D118" s="185">
        <f>SUM(E118:H118)</f>
        <v>25630</v>
      </c>
      <c r="E118" s="185"/>
      <c r="F118" s="185"/>
      <c r="G118" s="185"/>
      <c r="H118" s="185">
        <v>25630</v>
      </c>
      <c r="L118" s="47"/>
    </row>
    <row r="121" spans="2:4" ht="12.75">
      <c r="B121" t="s">
        <v>412</v>
      </c>
      <c r="D121" t="s">
        <v>415</v>
      </c>
    </row>
    <row r="122" spans="2:4" ht="12.75">
      <c r="B122" t="s">
        <v>413</v>
      </c>
      <c r="D122" s="47" t="s">
        <v>416</v>
      </c>
    </row>
    <row r="123" spans="2:4" ht="12.75">
      <c r="B123" t="s">
        <v>414</v>
      </c>
      <c r="D123" s="47" t="s">
        <v>417</v>
      </c>
    </row>
  </sheetData>
  <mergeCells count="6">
    <mergeCell ref="H7:H8"/>
    <mergeCell ref="C7:C8"/>
    <mergeCell ref="D7:D8"/>
    <mergeCell ref="E7:E8"/>
    <mergeCell ref="F7:F8"/>
    <mergeCell ref="G7:G8"/>
  </mergeCells>
  <printOptions horizontalCentered="1"/>
  <pageMargins left="0.4724409448818898" right="0.4724409448818898" top="0.4724409448818898" bottom="0.6692913385826772" header="0.5118110236220472" footer="0.5118110236220472"/>
  <pageSetup firstPageNumber="32" useFirstPageNumber="1" horizontalDpi="600" verticalDpi="600" orientation="landscape" paperSize="9" scale="90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2005-11-21T09:47:30Z</cp:lastPrinted>
  <dcterms:created xsi:type="dcterms:W3CDTF">2005-02-11T08:38:29Z</dcterms:created>
  <dcterms:modified xsi:type="dcterms:W3CDTF">2005-10-04T19:53:35Z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