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zal 1" sheetId="1" r:id="rId1"/>
    <sheet name="zal 2" sheetId="2" r:id="rId2"/>
    <sheet name="zal 3" sheetId="3" r:id="rId3"/>
    <sheet name="zal 4" sheetId="4" r:id="rId4"/>
    <sheet name="zal 5" sheetId="5" r:id="rId5"/>
    <sheet name="zal 6" sheetId="6" r:id="rId6"/>
    <sheet name="zal 7" sheetId="7" r:id="rId7"/>
    <sheet name="zal 8" sheetId="8" r:id="rId8"/>
    <sheet name="zal 9" sheetId="9" r:id="rId9"/>
    <sheet name="zal 10" sheetId="10" r:id="rId10"/>
    <sheet name="zal 11" sheetId="11" r:id="rId11"/>
    <sheet name="zal 12" sheetId="12" r:id="rId12"/>
    <sheet name="zal 13" sheetId="13" r:id="rId13"/>
    <sheet name="zal 14" sheetId="14" r:id="rId14"/>
  </sheets>
  <definedNames>
    <definedName name="_xlnm.Print_Area" localSheetId="0">'zal 1'!$A$1:$G$568</definedName>
    <definedName name="_xlnm.Print_Area" localSheetId="10">'zal 11'!$A$1:$G$38</definedName>
    <definedName name="_xlnm.Print_Titles" localSheetId="0">'zal 1'!$8:$8</definedName>
    <definedName name="_xlnm.Print_Titles" localSheetId="9">'zal 10'!$8:$8</definedName>
    <definedName name="_xlnm.Print_Titles" localSheetId="10">'zal 11'!$8:$8</definedName>
    <definedName name="_xlnm.Print_Titles" localSheetId="11">'zal 12'!$9:$9</definedName>
    <definedName name="_xlnm.Print_Titles" localSheetId="12">'zal 13'!$9:$9</definedName>
    <definedName name="_xlnm.Print_Titles" localSheetId="13">'zal 14'!$9:$9</definedName>
    <definedName name="_xlnm.Print_Titles" localSheetId="1">'zal 2'!$9:$9</definedName>
    <definedName name="_xlnm.Print_Titles" localSheetId="2">'zal 3'!$8:$8</definedName>
    <definedName name="_xlnm.Print_Titles" localSheetId="3">'zal 4'!$7:$11</definedName>
    <definedName name="_xlnm.Print_Titles" localSheetId="4">'zal 5'!$8:$10</definedName>
    <definedName name="_xlnm.Print_Titles" localSheetId="5">'zal 6'!$7:$9</definedName>
    <definedName name="_xlnm.Print_Titles" localSheetId="6">'zal 7'!$8:$8</definedName>
    <definedName name="_xlnm.Print_Titles" localSheetId="7">'zal 8'!$7:$10</definedName>
  </definedNames>
  <calcPr fullCalcOnLoad="1"/>
</workbook>
</file>

<file path=xl/sharedStrings.xml><?xml version="1.0" encoding="utf-8"?>
<sst xmlns="http://schemas.openxmlformats.org/spreadsheetml/2006/main" count="2822" uniqueCount="1293">
  <si>
    <t xml:space="preserve">utrzymanie uczniów w niepublicznych bursach 
i internatach prowadzonych przez osoby prawne 
i fizyczne </t>
  </si>
  <si>
    <t>dotacje dla specjalnych niepublicznych ośrodków szkolno-wychowawczych</t>
  </si>
  <si>
    <t>utrzymanie wychowanków w niepublicznych ośrodkach szkolno-wychowawczych prowadzonych przez osoby prawne i fizyczne</t>
  </si>
  <si>
    <t>świadczenia socjalne dla nauczycieli emerytów 
i rencistów</t>
  </si>
  <si>
    <t>utrzymanie uczniów w publicznych 
i niepublicznych szkołach zawodowych prowadzonych przez osoby prawne i fizyczne</t>
  </si>
  <si>
    <t>utrzymanie uczniów w publicznych 
i niepublicznych liceach ogólnokształcących prowadzonych przez osoby prawne i fizyczne</t>
  </si>
  <si>
    <t>utrzymanie uczniów w publicznych 
i niepublicznych gimnazjach prowadzonych przez osoby prawne i fizyczne</t>
  </si>
  <si>
    <t>utrzymanie dzieci w publicznych 
i niepublicznych przedszkolach prowadzonych przez osoby prawne i fizyczne</t>
  </si>
  <si>
    <t>Dotacja z budżetu 
na 2006 rok 
wg uchwały
budżetowej</t>
  </si>
  <si>
    <t>Dotacja z budżetu 
na 2006 rok 
po zmianach</t>
  </si>
  <si>
    <t>%
6:5</t>
  </si>
  <si>
    <t>Dział</t>
  </si>
  <si>
    <t>Rozdz.</t>
  </si>
  <si>
    <t>Pozostała działalność</t>
  </si>
  <si>
    <t>Nazwa działu, rozdziału, zadania</t>
  </si>
  <si>
    <t>Przeznaczenie dotacji (cel publiczny)</t>
  </si>
  <si>
    <t>Kultura i ochrona dziedzictwa narodowego</t>
  </si>
  <si>
    <t>Pozostałe zadania w zakresie kultury</t>
  </si>
  <si>
    <t>organizacja różnorodnych form upowszechniania kultury</t>
  </si>
  <si>
    <t>Ochrona zdrowia</t>
  </si>
  <si>
    <t>Przeciwdziałanie alkoholizmowi</t>
  </si>
  <si>
    <t>Zwalczanie narkomanii</t>
  </si>
  <si>
    <t>Kultura fizyczna i sport</t>
  </si>
  <si>
    <t>Obiekty sportowe</t>
  </si>
  <si>
    <t>Zadania w zakresie kultury fizycznej i sportu</t>
  </si>
  <si>
    <t>Turystyka</t>
  </si>
  <si>
    <t>Zadania w zakresie upowszechniania turystyki</t>
  </si>
  <si>
    <t>Edukacyjna opieka wychowawcza</t>
  </si>
  <si>
    <t>upowszechnianie kultury wśród mieszkańców miasta</t>
  </si>
  <si>
    <t>zapewnienie bazy sportowej dla mieszkańców miasta</t>
  </si>
  <si>
    <t>upowszechnianie turystyki i krajoznawstwa</t>
  </si>
  <si>
    <t>zapobieganie i łagodzenie skutków powodujących niepełnosprawność</t>
  </si>
  <si>
    <t xml:space="preserve">organizacja szkoleń i kursów przygotowujących do profesjonalnej pracy z osobami niepełnosprawnymi </t>
  </si>
  <si>
    <t>integracja osób niepełnosprawnych ze społecznością Lublina</t>
  </si>
  <si>
    <t>realizacja programów promujących osiągnięcia osób niepełnosprawnych w różnych sferach życia społecznego</t>
  </si>
  <si>
    <t>promocja osiągnięć osób niepełnosprawnych</t>
  </si>
  <si>
    <t>edukacja dzieci i młodzieży niepełnosprawnej</t>
  </si>
  <si>
    <t>aktywizacja społeczno - zawodowa osób niepełnosprawnych</t>
  </si>
  <si>
    <t>udzielanie rodzinom, w których występują problemy
alkoholowe pomocy psychospołecznej i prawnej,
a w szczególności ochrony przed przemocą w rodzinie</t>
  </si>
  <si>
    <t>rehabilitacja osób niepełnosprawnych zwiększająca 
ich samodzielność fizyczną i psychiczną</t>
  </si>
  <si>
    <t>prowadzenie innowacyjnych zajęć edukacyjnych dla dzieci 
i młodzieży niepełnosprawnej</t>
  </si>
  <si>
    <t>wydawnictwa kulturalne</t>
  </si>
  <si>
    <t>Oświata i wychowanie</t>
  </si>
  <si>
    <t>Szkoły podstawowe</t>
  </si>
  <si>
    <t>dotacje dla niepublicznych szkół podstawowych</t>
  </si>
  <si>
    <t>Przedszkola</t>
  </si>
  <si>
    <t>Gimnazja</t>
  </si>
  <si>
    <t>Licea ogólnokształcące</t>
  </si>
  <si>
    <t>Licea profilowane</t>
  </si>
  <si>
    <t>dotacje dla publicznych liceów profilowanych</t>
  </si>
  <si>
    <t>utrzymanie uczniów w publicznych liceach profilowanych prowadzonych przez osoby prawne i fizyczne</t>
  </si>
  <si>
    <t>Szkoły zawodowe</t>
  </si>
  <si>
    <t xml:space="preserve">dotacje dla publicznych i niepublicznych szkół zawodowych </t>
  </si>
  <si>
    <t>dotacje na sfinansowanie zakładowego funduszu świadczeń socjalnych dla nauczycieli emerytów i rencistów</t>
  </si>
  <si>
    <t>Pomoc społeczna</t>
  </si>
  <si>
    <t>Placówki opiekuńczo - wychowawcze</t>
  </si>
  <si>
    <t>dotacje dla niepublicznych placówek opiekuńczo-wychowawczych</t>
  </si>
  <si>
    <t>Domy pomocy społecznej</t>
  </si>
  <si>
    <t>otoczenie opieką osób starszych</t>
  </si>
  <si>
    <t>Ośrodki wsparcia</t>
  </si>
  <si>
    <t>pomoc rodzinom z dzieckiem niepełnosprawnym</t>
  </si>
  <si>
    <t>Specjalne ośrodki szkolno-wychowawcze</t>
  </si>
  <si>
    <t>Internaty i bursy szkolne</t>
  </si>
  <si>
    <t xml:space="preserve">dotacje dla niepublicznych burs i internatów </t>
  </si>
  <si>
    <t>Zadania ustawowo zlecone gminie</t>
  </si>
  <si>
    <t>Ogółem</t>
  </si>
  <si>
    <t>dotacja na prowadzenie Ośrodka Wsparcia dla Rodzin 
z Dzieckiem Niepełnosprawnym</t>
  </si>
  <si>
    <t>Kolonie i obozy oraz inne formy wypoczynku dzieci
i młodzieży szkolnej, a także szkolenia młodzieży</t>
  </si>
  <si>
    <t>pomoc dzieciom i młodzieży upośledzonej umysłowo</t>
  </si>
  <si>
    <t>prowadzenie Środowiskowego Domu Samopomocy 
przy al. Spółdzielczości Pracy</t>
  </si>
  <si>
    <t>zapewnienie miejsc noclegowych w noclegowniach, schroniskach, domach dla bezdomnych i ofiar przemocy</t>
  </si>
  <si>
    <t>organizacja obozów szkoleniowych w okresie wakacji letnich</t>
  </si>
  <si>
    <t>dotacje dla publicznych i niepublicznych przedszkoli</t>
  </si>
  <si>
    <t>dotacje dla publicznych i niepublicznych gimnazjów</t>
  </si>
  <si>
    <t>dotacje dla publicznych i niepublicznych liceów ogólnokształcących</t>
  </si>
  <si>
    <t>zadania realizowane w ramach Gminnego Programu Przeciwdziałania Narkomanii, z tego:</t>
  </si>
  <si>
    <t>zadania realizowane w ramach Gminnego Programu Profilaktyki 
i Rozwiązywania Problemów Alkoholowych, z tego:</t>
  </si>
  <si>
    <t>pozyskiwanie, przechowywanie i przekazywanie żywności potrzebującym mieszkańcom miasta</t>
  </si>
  <si>
    <t xml:space="preserve">prowadzenie banku żywności </t>
  </si>
  <si>
    <t>prowadzenie taniego żywienia w formie kuchni społecznych</t>
  </si>
  <si>
    <t>upowszechnianie kultury i sztuki, z tego:</t>
  </si>
  <si>
    <t>organizacja zajęć kulturalnych w domach i klubach kultury</t>
  </si>
  <si>
    <t>aktywizacja i integracja osób w podeszłym wieku</t>
  </si>
  <si>
    <t>zapewnienie posiłku osobom potrzebującym</t>
  </si>
  <si>
    <t>dotacja na prowadzenie domu pomocy społecznej 
przy ul. Dolińskiego</t>
  </si>
  <si>
    <t xml:space="preserve">finansów publicznych </t>
  </si>
  <si>
    <t>realizacja zadań wynikających ze strategii działań na rzecz osób niepełnosprawnych, z tego:</t>
  </si>
  <si>
    <t>organizacja akcji "Zima i lato w mieście"</t>
  </si>
  <si>
    <t>Zadania z zakresu administracji rządowej wykonywane 
przez powiat</t>
  </si>
  <si>
    <t>Zadania realizowane na podstawie porozumień i umów</t>
  </si>
  <si>
    <t xml:space="preserve">wspomaganie sportu kwalifikowanego </t>
  </si>
  <si>
    <t>udzielanie rodzinom, w których występują problemy narkomanii, pomocy psychospołecznej i prawnej</t>
  </si>
  <si>
    <t xml:space="preserve">upowszechnianie kultury fizycznej </t>
  </si>
  <si>
    <t>Ochrona zabytków i opieka nad zabytkami</t>
  </si>
  <si>
    <r>
      <t>z tego:</t>
    </r>
    <r>
      <rPr>
        <b/>
        <sz val="10"/>
        <rFont val="Arial CE"/>
        <family val="2"/>
      </rPr>
      <t xml:space="preserve">
Zadania własne</t>
    </r>
  </si>
  <si>
    <t>Załącznik nr 10</t>
  </si>
  <si>
    <t xml:space="preserve">zakupy inwestycyjne dla Środowiskowego Domu Samopomocy
przy al. Spółdzielczości Pracy </t>
  </si>
  <si>
    <t>prowadzenie profilaktycznej działalności informacyjnej
i edukacyjnej w zakresie rozwiązywania problemów alkoholowych 
i przeciwdziałania narkomanii, w szczególności dla dzieci 
i młodzieży, w tym prowadzenie pozalekcyjnych zajęć 
sportowych, a także działań na rzecz dożywiania dzieci 
uczestniczących w pozalekcyjnych programach 
opiekuńczo - wychowawczych i socjoterapeutycznych</t>
  </si>
  <si>
    <t>realizacja programów zwiększających świadomość mieszkańców 
Lublina o przyczynach i skutkach powstawania 
niepełnosprawności oraz sposobów jej zapobiegania, 
w szczególności edukacja dzieci i młodzieży w tym zakresie</t>
  </si>
  <si>
    <t>wspieranie aktywności społeczno - zawodowej osób
niepełnosprawnych, w szczególności: prowadzenie 
specjalistycznych kursów i szkoleń przygotowujących osoby 
niepełnosprawne do podjęcia pracy, prowadzenie kawiarenki internetowej dla osób niepełnosprawnych</t>
  </si>
  <si>
    <t>zakupy inwestycyjne dla środowiskowych domów samopomocy
dla osób z zaburzeniami psychicznymi</t>
  </si>
  <si>
    <t xml:space="preserve">prace konserwatorskie, restauratorskie i roboty budowlane zabytków </t>
  </si>
  <si>
    <t>organizacja czasu wolnego dla dzieci i młodzieży w okresie wakacji letnich</t>
  </si>
  <si>
    <t>wspomaganie podmiotów zajmujących się upowszechnianiem 
kultury fizycznej i sportu wśród mieszkańców miasta Lublin 
w zakresie niezbędnego funkcjonowania komunalnych obiektów sportowych</t>
  </si>
  <si>
    <t>Zadania z zakresu oświaty</t>
  </si>
  <si>
    <t xml:space="preserve">Zadania z zakresu pomocy społecznej </t>
  </si>
  <si>
    <t xml:space="preserve">odnowa zabytków i opieka nad zabytkami </t>
  </si>
  <si>
    <t xml:space="preserve">Zadania realizowane na podstawie ustawy
o działalności pożytku publicznego i o wolontariacie </t>
  </si>
  <si>
    <t xml:space="preserve">Zadania z zakresu odnowy i konserwacji zabytków </t>
  </si>
  <si>
    <t>realizacja programów służących aktywizacji i integracji osób 
w podeszłym wieku</t>
  </si>
  <si>
    <t>programy komputerowe dla celów terapeutycznych w Środowiskowym Domu Samopomocy "Mefazja"</t>
  </si>
  <si>
    <t>organizacja imprez sportowo-rekreacyjnych w osiedlach mieszkaniowych</t>
  </si>
  <si>
    <t>propagowanie kultury fizycznej i sportu wśród mieszkańców miasta</t>
  </si>
  <si>
    <t xml:space="preserve">popularyzacja sportu wśród mieszkańców miasta </t>
  </si>
  <si>
    <t>Pomoc materialna dla uczniów</t>
  </si>
  <si>
    <t>realizacja projektu: "Fundusz stypendialny Miasta Lublin szansą ponadgimnazjalistów z terenów wiejskich"</t>
  </si>
  <si>
    <t>wyrównywanie szans edukacyjnych poprzez programy stypendialne</t>
  </si>
  <si>
    <t>Usługi opiekuńcze i specjalistyczne usługi opiekuńcze</t>
  </si>
  <si>
    <t>nauczanie języka angielskiego w pierwszych klasach szkół podstawowych</t>
  </si>
  <si>
    <t>pomoc materialna dla uczniów pochodzących z rodzin byłych pracowników państwowych przedsiębiorstw gospodarki rolnej</t>
  </si>
  <si>
    <t>dotacja na prowadzenie środowiskowych domów samopomocy dla osób z zaburzeniami psychicznymi</t>
  </si>
  <si>
    <t xml:space="preserve">Zadania własne </t>
  </si>
  <si>
    <t>Załącznik nr 2</t>
  </si>
  <si>
    <t xml:space="preserve">Wydatki </t>
  </si>
  <si>
    <t>Plan
na 2006 rok wg uchwały budżetowej</t>
  </si>
  <si>
    <t>Plan 
na 2006 rok 
po zmianach</t>
  </si>
  <si>
    <t>Wykonanie 
na 31 grudnia
2006 roku</t>
  </si>
  <si>
    <t>Treść</t>
  </si>
  <si>
    <t>%</t>
  </si>
  <si>
    <t>(nazwa działu, rozdziału, zadania)</t>
  </si>
  <si>
    <t>6:5</t>
  </si>
  <si>
    <t>Wydatki budżetu miasta ogółem</t>
  </si>
  <si>
    <t>z tego:</t>
  </si>
  <si>
    <t>Wydatki na zadania własne</t>
  </si>
  <si>
    <t>010</t>
  </si>
  <si>
    <t>Rolnictwo i łowiectwo</t>
  </si>
  <si>
    <t>01030</t>
  </si>
  <si>
    <t xml:space="preserve">Izby rolnicze </t>
  </si>
  <si>
    <t>wpłaty na rzecz Lubelskiej Izby Rolniczej</t>
  </si>
  <si>
    <t>020</t>
  </si>
  <si>
    <t>Leśnictwo</t>
  </si>
  <si>
    <t>02002</t>
  </si>
  <si>
    <t xml:space="preserve">Nadzór nad gospodarką leśną </t>
  </si>
  <si>
    <t>zadania w zakresie nadzoru nad lasami</t>
  </si>
  <si>
    <t xml:space="preserve">Handel </t>
  </si>
  <si>
    <t>porządkowanie targowisk, handlu ulicznego</t>
  </si>
  <si>
    <t>w tym: wynagrodzenia</t>
  </si>
  <si>
    <t>Transport i łączność</t>
  </si>
  <si>
    <t>Lokalny transport zbiorowy</t>
  </si>
  <si>
    <t>usługi komunikacyjne w zakresie transportu zbiorowego</t>
  </si>
  <si>
    <t>pokrycie straty bilansowej w MPK Lublin Sp. z o.o.</t>
  </si>
  <si>
    <t>transport zbiorowy w mieście</t>
  </si>
  <si>
    <t>inwestycje</t>
  </si>
  <si>
    <t>Drogi publiczne w miastach na prawach powiatu</t>
  </si>
  <si>
    <t>bieżące utrzymanie dróg</t>
  </si>
  <si>
    <t xml:space="preserve">remonty </t>
  </si>
  <si>
    <t>Drogi publiczne gminne</t>
  </si>
  <si>
    <t>remonty</t>
  </si>
  <si>
    <t>Drogi wewnętrzne</t>
  </si>
  <si>
    <t>wydatki majątkowe</t>
  </si>
  <si>
    <t>Ośrodki informacji turystycznej</t>
  </si>
  <si>
    <t>dotacja dla Lubelskiego Ośrodka Informacji Turystycznej</t>
  </si>
  <si>
    <t>w tym: remonty</t>
  </si>
  <si>
    <t>realizacja projektu "Zintegrowane oznakowanie turystyczne Lublina"</t>
  </si>
  <si>
    <t>w tym: inwestycje</t>
  </si>
  <si>
    <t>Gospodarka mieszkaniowa</t>
  </si>
  <si>
    <t>Zakłady gospodarki mieszkaniowej</t>
  </si>
  <si>
    <t xml:space="preserve">dotacja dla Zarządu Nieruchomości Komunalnych </t>
  </si>
  <si>
    <t xml:space="preserve">Różne jednostki obsługi gospodarki mieszkaniowej </t>
  </si>
  <si>
    <t>koszty rozbiórek budynków</t>
  </si>
  <si>
    <t>koszty przeprowadzek i przechowywania rzeczy osób eksmitowanych oraz zakwaterowania osób poszkodowanych w wypadkach losowych</t>
  </si>
  <si>
    <t>odszkodowania</t>
  </si>
  <si>
    <t>Gospodarka gruntami i nieruchomościami</t>
  </si>
  <si>
    <t>wydatki związane z utrzymaniem zasobów komunalnych, sprzedażą mienia komunalnego oraz szacunki nieruchomości</t>
  </si>
  <si>
    <t>Towarzystwa budownictwa społecznego</t>
  </si>
  <si>
    <t>Działalność usługowa</t>
  </si>
  <si>
    <t>Plany zagospodarowania przestrzennego</t>
  </si>
  <si>
    <t>koszty funkcjonowania Miejskiej Komisji Urbanistyczno-Architektonicznej - wynagrodzenia</t>
  </si>
  <si>
    <t>opracowania planistyczne, strategia rozwoju miasta i inne</t>
  </si>
  <si>
    <t>Opracowania geodezyjne i kartograficzne</t>
  </si>
  <si>
    <t>regulacja stanów geodezyjno - prawnych nieruchomości, opracowania geodezyjne</t>
  </si>
  <si>
    <t>Cmentarze</t>
  </si>
  <si>
    <t>utrzymanie cmentarzy komunalnych i urządzeń cmentarnych</t>
  </si>
  <si>
    <t>utrzymanie cmentarza żydowskiego przy ul. Walecznych</t>
  </si>
  <si>
    <t>Administracja publiczna</t>
  </si>
  <si>
    <t>Rady miast i miast na prawach powiatu</t>
  </si>
  <si>
    <t>funkcjonowanie Rady Miasta</t>
  </si>
  <si>
    <t>funkcjonowanie jednostek pomocniczych miasta</t>
  </si>
  <si>
    <t>wybory do jednostek pomocniczych miasta</t>
  </si>
  <si>
    <t>Urzędy miast i miast na prawach powiatu</t>
  </si>
  <si>
    <t xml:space="preserve">wynagrodzenia </t>
  </si>
  <si>
    <t>wydatki rzeczowe</t>
  </si>
  <si>
    <t>pochodne od wynagrodzeń</t>
  </si>
  <si>
    <t>realizacja projektu "Integracja systemów teleinformatycznych w Urzędzie Miasta Lublin 
i jednostkach organizacyjnych"</t>
  </si>
  <si>
    <t>realizacja projektu "Wprowadzenie Elektronicznego Systemu Obiegu Dokumentów i informatyzacja Biura Obsługi Mieszkańców" - inwestycje</t>
  </si>
  <si>
    <t>Promocja jednostek samorządu terytorialnego</t>
  </si>
  <si>
    <t>promocja miasta</t>
  </si>
  <si>
    <t>realizacja projektu "Lublin Miasto Wiedzy"</t>
  </si>
  <si>
    <t>składki z tytułu członkostwa Miasta Lublin w organizacjach samorządowych</t>
  </si>
  <si>
    <t>realizacja projektu utworzenia Gminnego Centrum Informacji</t>
  </si>
  <si>
    <t>Bezpieczeństwo publiczne i ochrona przeciwpożarowa</t>
  </si>
  <si>
    <t>Komendy wojewódzkie Policji</t>
  </si>
  <si>
    <t>dofinansowanie działań na rzecz utrzymania bezpieczeństwa w mieście</t>
  </si>
  <si>
    <t xml:space="preserve">w tym: inwestycje </t>
  </si>
  <si>
    <t>Komendy powiatowe Policji</t>
  </si>
  <si>
    <t>Komendy powiatowe Państwowej Straży Pożarnej</t>
  </si>
  <si>
    <t>dofinansowanie Straży Pożarnej - inwestycje</t>
  </si>
  <si>
    <t>zwrot dotacji otrzymanej z budżetu państwa na realizację projektu "Rozbudowa transgranicznego systemu ochrony środowiska naturalnego oraz zwalczania skutków katastrof i klęsk żywiołowych na terenie województwa lubelskiego oraz obwodu lwowskiego"</t>
  </si>
  <si>
    <t>Ochotnicze straże pożarne</t>
  </si>
  <si>
    <t>wydatki ochotniczych straży pożarnych</t>
  </si>
  <si>
    <t>Straż Miejska</t>
  </si>
  <si>
    <t>Usuwanie skutków klęsk żywiołowych</t>
  </si>
  <si>
    <t>usuwanie skutków klęsk żywiołowych</t>
  </si>
  <si>
    <t>system monitoringu w mieście</t>
  </si>
  <si>
    <t>Miejski Zespół Reagowania Kryzysowego</t>
  </si>
  <si>
    <t>nagrody rzeczowe dla laureatów konkursów z zakresu ochrony przeciwpożarowej</t>
  </si>
  <si>
    <t>realizacja programu "Bezpieczny Lublin"</t>
  </si>
  <si>
    <t>w tym: dotacja na realizację projektu "SZANSA - Aktywizacja zawodowa młodzieży trudnej w Lublinie"</t>
  </si>
  <si>
    <t xml:space="preserve">Dochody od osób prawnych, od osób fizycznych i od innych jednostek nieposiadających osobowości prawnej oraz wydatki związane z ich poborem </t>
  </si>
  <si>
    <t>Pobór podatków, opłat i niepodatkowych należności budżetowych</t>
  </si>
  <si>
    <t>wynagrodzenie za inkaso opłaty targowej i podatków</t>
  </si>
  <si>
    <t>Obsługa długu publicznego</t>
  </si>
  <si>
    <t>Obsługa papierów wartościowych, kredytów i pożyczek jednostek samorządu terytorialnego</t>
  </si>
  <si>
    <t>wypłata oprocentowania obligacji komunalnych</t>
  </si>
  <si>
    <t xml:space="preserve">odsetki i prowizje od pożyczek i kredytów </t>
  </si>
  <si>
    <t>Różne rozliczenia</t>
  </si>
  <si>
    <t>Różne rozliczenia finansowe</t>
  </si>
  <si>
    <t>wpłata do budżetu państwa</t>
  </si>
  <si>
    <t>Rezerwy ogólne i celowe</t>
  </si>
  <si>
    <t>rezerwa budżetowa</t>
  </si>
  <si>
    <t>rezerwa celowa na usuwanie skutków klęsk żywiołowych</t>
  </si>
  <si>
    <t>rezerwa celowa na finansowanie projektów współfinansowanych ze środków Unii Europejskiej</t>
  </si>
  <si>
    <t>rezerwa celowa na uruchomienie od 1 września 2006 roku nowych segmentów w szkołach</t>
  </si>
  <si>
    <t>Euroregiony</t>
  </si>
  <si>
    <t>działalność w ramach Związku Transgranicznego "Euroregion Bug"</t>
  </si>
  <si>
    <t>realizacja projektu "Na wspólnej drodze. Podnoszenie standardów współpracy transgranicznej samorządów Lublina i Łucka"</t>
  </si>
  <si>
    <t>realizacja projektu "Lubelskie centrum międzynarodowej współpracy gospodarczej"</t>
  </si>
  <si>
    <t>realizacja projektu "TURYSTYKA BEZ GRANIC - Promocja ośrodków turystycznych Euroregionu Bug"</t>
  </si>
  <si>
    <t>realizacja projektu "Współpraca kulturalna Lublina, Brześcia i Łucka - działania informacyjne 
i artystyczne"</t>
  </si>
  <si>
    <t>realizacja projektu "Program wspierania udziału w imprezach targowych Lublin - Brześć - Łuck. Eurotrójkąt - Targi 2007"</t>
  </si>
  <si>
    <t>akcja "Bezpieczna droga"</t>
  </si>
  <si>
    <t>realizacja projektów w ramach programu Socrates - Comenius</t>
  </si>
  <si>
    <t>wyprawka szkolna</t>
  </si>
  <si>
    <t>Szkoły podstawowe specjalne</t>
  </si>
  <si>
    <t>nauczanie języka angielskiego w klasach pierwszych</t>
  </si>
  <si>
    <t>Oddziały przedszkolne w szkołach podstawowych</t>
  </si>
  <si>
    <t xml:space="preserve">Przedszkola </t>
  </si>
  <si>
    <t>koszty pobytu dzieci w przedszkolach na terenie innych gmin</t>
  </si>
  <si>
    <t xml:space="preserve">dotacje dla publicznych i niepublicznych przedszkoli </t>
  </si>
  <si>
    <t>Przedszkola specjalne</t>
  </si>
  <si>
    <t xml:space="preserve">dotacje dla publicznych i niepublicznych gimnazjów </t>
  </si>
  <si>
    <t>Gimnazja specjalne</t>
  </si>
  <si>
    <t>Dowożenie uczniów do szkół</t>
  </si>
  <si>
    <t xml:space="preserve">dowożenie uczniów </t>
  </si>
  <si>
    <t>Licea ogólnokształcące specjalne</t>
  </si>
  <si>
    <t>Licea profilowane specjalne</t>
  </si>
  <si>
    <t xml:space="preserve">Szkoły zawodowe </t>
  </si>
  <si>
    <t>dotacje dla publicznych i niepublicznych szkół zawodowych</t>
  </si>
  <si>
    <t>realizacja projektu "Standardy nowoczesnego hotelarstwa"</t>
  </si>
  <si>
    <t>Szkoły artystyczne</t>
  </si>
  <si>
    <t>realizacja projektu "III Euroregionalne Spotkania Muzyczne &lt;Skrzypce i Ja&gt; Lublin 2006"</t>
  </si>
  <si>
    <t>Szkoły zawodowe specjalne</t>
  </si>
  <si>
    <t>Centra kształcenia ustawicznego i praktycznego oraz ośrodki dokształcania zawodowego</t>
  </si>
  <si>
    <t>Komisje egzaminacyjne</t>
  </si>
  <si>
    <t>komisje egzaminacyjne - wynagrodzenia</t>
  </si>
  <si>
    <t>Dokształcanie i doskonalenie nauczycieli</t>
  </si>
  <si>
    <t>dokształcanie i doskonalenie zawodowe nauczycieli</t>
  </si>
  <si>
    <t>nagrody rzeczowe dla laureatów konkursów i olimpiad przedmiotowych</t>
  </si>
  <si>
    <t xml:space="preserve">ogłoszenia prasowe </t>
  </si>
  <si>
    <t>elektroniczny system naboru uczniów do szkół ponadgimnazjalnych</t>
  </si>
  <si>
    <t>dofinansowanie pracodawcom kosztów przygotowania zawodowego młodocianych pracowników</t>
  </si>
  <si>
    <t>komisje kwalifikacyjne i egzaminacyjne - wynagrodzenia</t>
  </si>
  <si>
    <t xml:space="preserve">zakładowy fundusz świadczeń socjalnych dla nauczycieli emerytów i rencistów </t>
  </si>
  <si>
    <t>Gospodarstwa pomocnicze</t>
  </si>
  <si>
    <t>dotacja przedmiotowa na częściowe pokrycie kosztów centralnego ogrzewania warsztatów szkolnych</t>
  </si>
  <si>
    <t>Lecznictwo ambulatoryjne</t>
  </si>
  <si>
    <t>zakup świadczeń zdrowotnych</t>
  </si>
  <si>
    <t>wydatki związane z likwidacją Zespołu Opieki Zdrowotnej w Lublinie SP ZOZ</t>
  </si>
  <si>
    <t>Programy polityki zdrowotnej</t>
  </si>
  <si>
    <t>programy zdrowotne</t>
  </si>
  <si>
    <t>zadania realizowane w ramach Gminnego Programu Przeciwdziałania Narkomanii</t>
  </si>
  <si>
    <t>zadania realizowane w ramach Gminnego Programu Profilaktyki i Rozwiązywania Problemów Alkoholowych</t>
  </si>
  <si>
    <t xml:space="preserve">realizacja zadań wynikających ze strategii działań na rzecz osób niepełnosprawnych </t>
  </si>
  <si>
    <t>szkolenia z zakresu udzielania pierwszej pomocy</t>
  </si>
  <si>
    <t>Placówki opiekuńczo-wychowacze</t>
  </si>
  <si>
    <t xml:space="preserve">dotacje na utrzymanie dzieci skierowanych do placówek opiekuńczo-wychowawczych na terenie innych powiatów  </t>
  </si>
  <si>
    <t>dotacja na prowadzenie domu pomocy społecznej przy ul. Dolińskiego</t>
  </si>
  <si>
    <t xml:space="preserve">SKARBNIK MIASTA LUBLIN </t>
  </si>
  <si>
    <t xml:space="preserve">        mgr Irena Szumlak</t>
  </si>
  <si>
    <t>Prezydent Miasta Lublin</t>
  </si>
  <si>
    <t>dr inż. Adam Wasilewski</t>
  </si>
  <si>
    <t xml:space="preserve">              do zarządzenia nr 131/2007</t>
  </si>
  <si>
    <t xml:space="preserve">              z dnia 19 marca 2007 r.</t>
  </si>
  <si>
    <t>do zarządzenia nr 131/2007</t>
  </si>
  <si>
    <t>z dnia 19 marca 2007 r.</t>
  </si>
  <si>
    <t xml:space="preserve">kanalizacja sanitarna i deszczowa NF w kierunku 
os. Felin i w os. Felin </t>
  </si>
  <si>
    <t xml:space="preserve">kanalizacja deszczowa NF w kierunku os Felin i w os. Felin </t>
  </si>
  <si>
    <t>kolektor sanitarny AN-AS w os. Lipniak do granic miasta</t>
  </si>
  <si>
    <t>odprowadzenie wód deszczowych z ulic: Paśnikowskiego, Frankowskiego, Rogińskiego, Romanowskiego</t>
  </si>
  <si>
    <t xml:space="preserve">odprowadzenie wód deszczowych z ulic: Rozmarynowej, Kwiatów Polnych do zbiornika przy 
ul. Skowronkowej </t>
  </si>
  <si>
    <t>odwodnienie ul. Gałczyńskiego</t>
  </si>
  <si>
    <t>sieć wodociągowa w ul. Nałęczowskiej</t>
  </si>
  <si>
    <t>przebudowa kanalizacji deszczowej w ul. Lipowej</t>
  </si>
  <si>
    <t>odwodnienie rejonu ulic: Koziej, Misjonarskiej i Unii Lubelskiej</t>
  </si>
  <si>
    <t>przyłączenie ogrodu działkowego "JAR" do miejskiej sieci wodociągowej</t>
  </si>
  <si>
    <t>odprowadzenie wód deszczowych z osiedli Rudnik 
i Bursaki</t>
  </si>
  <si>
    <t>punkt szybkiego napełniania wozów strażackich 
w rejonie ul. Grygowej i ul. Metalurgicznej</t>
  </si>
  <si>
    <t>fontanna na Placu Litewskim</t>
  </si>
  <si>
    <t>odprowadzenie wód deszczowych z ulic: Platanowej, Osikowej, Jabłoniowej, Skalistej, Sławinkowskiej</t>
  </si>
  <si>
    <t>budowa przepompowni Nr 1 i 2 u wlotu do Zalewu Zemborzyckiego</t>
  </si>
  <si>
    <t>składowisko odpadów komunalnych w Rokitnie zad. 1</t>
  </si>
  <si>
    <t>przebudowa oczyszczalni ścieków w Rokitnie</t>
  </si>
  <si>
    <t>budowa zakładu utylizacji odpadów komunalnych dla Lublina i gmin ościennych</t>
  </si>
  <si>
    <t>toaleta publiczna na Starym Mieście</t>
  </si>
  <si>
    <t>Ogród Saski</t>
  </si>
  <si>
    <t>rewaloryzacja terenów zielonych</t>
  </si>
  <si>
    <t>oświetlenie ulic</t>
  </si>
  <si>
    <t>wykup gruntów</t>
  </si>
  <si>
    <t>inwestycje realizowane przy udziale mieszkańców 
i innych podmiotów</t>
  </si>
  <si>
    <t>infrastruktura techniczna dla inwestorów budownictwa wielorodzinnego</t>
  </si>
  <si>
    <t>pomoc finansowa dla gminy Lubartów 
na inwestycje</t>
  </si>
  <si>
    <t>infrastruktura dla aktywizacji gospodarczej 
w dzielnicy Bursaki</t>
  </si>
  <si>
    <t>rewitalizacja terenów zdegradowanych w dolinach rzecznych Lublina (w tym ścieżki rowerowe)</t>
  </si>
  <si>
    <t>zakupy inwestycyjne - Lubelska Trasa Podziemna</t>
  </si>
  <si>
    <t>zakupy inwestycyjne - ZPiT "Lublin" im. W. Kaniorowej</t>
  </si>
  <si>
    <t>adaptacja klasztoru powizytkowskiego na wielofunkcyjne Centrum Kultury</t>
  </si>
  <si>
    <t xml:space="preserve">informatyzacja Miejskiej Biblioteki Publicznej 
w Lublinie i utworzenie PIAP-ów w filiach MBP 
- II etap </t>
  </si>
  <si>
    <t>iluminacja obiektów zabytkowych</t>
  </si>
  <si>
    <t>makieta kościoła wraz z tablicą pamiątkową - Plac po Farze</t>
  </si>
  <si>
    <t>budowa wielofunkcyjnej hali sportowo-widowiskowej przy ul. Kazimierza Wielkiego</t>
  </si>
  <si>
    <t>modernizacja Stadionu Miejskiego przy 
Al. Zygmuntowskich 5 w Lublinie</t>
  </si>
  <si>
    <t>zagospodarowanie terenu wokół wielofunkcyjnej hali sportowo-widowiskowej przy ul. Kazimierza Wielkiego</t>
  </si>
  <si>
    <t>otwarte składane sztuczne lodowisko</t>
  </si>
  <si>
    <t>modernizacja ujęcia wody i hydroforni przy 
ul. Kazimierza Wielkiego</t>
  </si>
  <si>
    <t>budowa krytej pływalni</t>
  </si>
  <si>
    <t>modernizacja hali sportowo - widowiskowej przy 
Al. Zygmuntowskich 4 - etap II</t>
  </si>
  <si>
    <t>ścieżka rowerowa</t>
  </si>
  <si>
    <t>instalacja kamery wizyjnej</t>
  </si>
  <si>
    <t>przebudowa przepompowni Nr 1 i 2 u wlotu do Zalewu Zemborzyckiego</t>
  </si>
  <si>
    <t>modernizacja krytej pływalni przy 
Al. Zygmuntowskich 4 w Lublinie</t>
  </si>
  <si>
    <t>Ośrodek Sportów Terenowych przy ul. Janowskiej</t>
  </si>
  <si>
    <t>budowa Parków Sportowych - skateparków</t>
  </si>
  <si>
    <t>modernizacja budynku przy ul. Nałkowskich 78</t>
  </si>
  <si>
    <t>zakupy inwestycje w ramach programu wyrównywania różnic między regionami</t>
  </si>
  <si>
    <t>zakupy inwestycyjne w ramach projektu: "Program stypendialny Miasta Lublin szansą ponadgimnazjalistów z terenów wiejskich"</t>
  </si>
  <si>
    <t>zakup i modernizacja wyposażenia i sprzętu dla zabezpieczenia i upowszechniania dorobku Zespołu Pieśni i Tańca "Lublin" im. W. Kaniorowej</t>
  </si>
  <si>
    <t>modernizacja pomieszczeń</t>
  </si>
  <si>
    <t>Zespoły do spraw orzekania 
o niepełnosprawności</t>
  </si>
  <si>
    <t>Załącznik nr 5</t>
  </si>
  <si>
    <t>Wydatki na programy i projekty realizowane ze środków pochodzących z budżetu Unii Europejskiej</t>
  </si>
  <si>
    <t>Jednostka</t>
  </si>
  <si>
    <t>Wydatki na 2007 rok po zmianach
z tego ze środków:</t>
  </si>
  <si>
    <t>Wydatki na 2008 rok 
z tego ze środków:</t>
  </si>
  <si>
    <t>Wydatki na 2008 rok po zmianach
z tego ze środków:</t>
  </si>
  <si>
    <t xml:space="preserve">Rozdz.                          </t>
  </si>
  <si>
    <t>Nazwa: działu, rozdziału, programu/projektu</t>
  </si>
  <si>
    <t>Cel zadania  / programu</t>
  </si>
  <si>
    <t xml:space="preserve"> organizacyjna realizująca program lub koordynująca jego wykonanie</t>
  </si>
  <si>
    <t>Okres realizacji programu</t>
  </si>
  <si>
    <t>Łączne nakłady finansowe
po zmianach</t>
  </si>
  <si>
    <t>Zrealizowane nakłady finansowe
po zmianach</t>
  </si>
  <si>
    <t>Wydatki na 2006 rok
po zmianach</t>
  </si>
  <si>
    <t>własnych 
i innych zwrotnych</t>
  </si>
  <si>
    <t>Unii Europejskiej</t>
  </si>
  <si>
    <t>budżetu państwa 
i innych bezzwrotnych</t>
  </si>
  <si>
    <t>Wydatki na 2007 rok</t>
  </si>
  <si>
    <t>Wykonanie na 31 grudnia 
2006 roku</t>
  </si>
  <si>
    <t>%
14:4</t>
  </si>
  <si>
    <t xml:space="preserve">Ogółem </t>
  </si>
  <si>
    <t>budowa trakcji trolejbusowej 
w ulicach Roztocze-Orkana-Armii Krajowej-Bohaterów Monte Cassino-Wileńska-Głęboka</t>
  </si>
  <si>
    <t>wykonanie oznakowania turystycznego miasta - zintegrowanej informacji wizualnej o Lublinie</t>
  </si>
  <si>
    <t>Urząd Miasta Lublin</t>
  </si>
  <si>
    <t>2005-2006</t>
  </si>
  <si>
    <t>zakończenie budowy odcinka od ul. Sławinkowskiej do ulicy Tarasowej (II etap)</t>
  </si>
  <si>
    <t>przebudowa al. Tysiąclecia na odcinku od ronda Dmowskiego do wiaduktu Hutnicza-Łęczyńska wraz z remontem mostu na rzece Bystrzycy oraz budowa wiaduktu nad al. Tysiąclecia, budowa lewej jezdni ul. Graffa</t>
  </si>
  <si>
    <t>przebudowa ul. Krańcowej na odcinku 
od al. Witosa do ul. Długiej</t>
  </si>
  <si>
    <t>przebudowa na odcinku o dł. 1,4 km w zakresie dostosowania do obciążenia 100 kN/oś</t>
  </si>
  <si>
    <t>przebudowa na odcinku o dł. 2,6 km w zakresie dostosowania do obciążenia 100 kN/oś</t>
  </si>
  <si>
    <t>przebudowa na odcinku o dł. 0,9 km w zakresie dostosowania do obciążenia 100 kN/oś</t>
  </si>
  <si>
    <t>przebudowa na odcinku o dł. 0,65 km w zakresie dostosowania do obciążenia 100 kN/oś</t>
  </si>
  <si>
    <t>przebudowa al. Smorawińskiego od 
al. Solidarności do al. Kompozytorów Polskich (wraz z rondem)</t>
  </si>
  <si>
    <t>przebudowa al. Andersa od 
al. Spółdzielczości Pracy do ul. Koryznowej (wraz z rondem gen. Berbeckiego) w Lublinie</t>
  </si>
  <si>
    <t xml:space="preserve">Administracja publiczna </t>
  </si>
  <si>
    <t>realizacja projektu "Wprowadzenie Elektronicznego Systemu Obiegu Dokumentów i informatyzacja Biura Obsługi Mieszkańców"</t>
  </si>
  <si>
    <t>poprawa rozwoju infrastruktury społeczeństwa informacyjnego - informatyzacja Biura Obsługi Mieszkańców i wdrożenie elektronicznego systemu obiegu dokumentów</t>
  </si>
  <si>
    <t>2005-2007</t>
  </si>
  <si>
    <t>realizacja projektu "Integracja systemów teleinformatycznych w Urzędzie Miasta Lublin i jednostkach organizacyjnych"</t>
  </si>
  <si>
    <t>podniesienie jakości edukacji szkolnej i promowanie  świadomości wymiaru europejskiego w procesach edukacyjnych</t>
  </si>
  <si>
    <t>SP Nr 39, 
SP Nr 51</t>
  </si>
  <si>
    <t>Bezpieczeństwo publiczne 
i ochrona przeciwpożarowa</t>
  </si>
  <si>
    <t>realizacja projektu "SZANSA - Aktywizacja zawodowa młodzieży trudnej w Lublinie"</t>
  </si>
  <si>
    <t>wspieranie międzynarodowej współpracy gospodarczej przedsiębiorstw, ze szczególnym uwzględnieniem MŚP, zlokalizowanych na obszarze Euroregionu Bug</t>
  </si>
  <si>
    <t>zorganizowanie cyklu szkoleń z zakresu wiedzy dla przedstawicieli organizacji pozarządowych i samorządów z Lublina i Łucka o Unii Europejskiej, współpracy transgranicznej, pisaniu projektów o dofinansowanie z  INTERREG IIIA/TACIS CBC, standardów międzynar</t>
  </si>
  <si>
    <t>realizacja projektu „TURYSTYKA BEZ GRANIC – Promocja ośrodków turystycznych Euroregionu Bug”</t>
  </si>
  <si>
    <t>wykreowanie wizerunku Lublina jako ośrodka turystycznego stanowiącego centrum turystyki transgranicznej dla podniesienia jakości życia społeczności lokalnej oraz promowania otwartości mieszkańców i współpracy instytucji Euroregionu Bug.</t>
  </si>
  <si>
    <t>2006-2007</t>
  </si>
  <si>
    <t xml:space="preserve">realizacja projektu „Współpraca kulturalna Lublina, Brześcia i Łucka – działania informacyjne i artystyczne” </t>
  </si>
  <si>
    <t>zwiększenie liczby instytucji i organizacji kulturalnych oraz zespołów i środowisk artystycznych Lublina, Brześcia i Łucka zaangażowanych w transgraniczną współpracę kulturalną poprzez zbudowanie systemu przepływu informacji kulturalnych i organizacji wsp</t>
  </si>
  <si>
    <t>Gim nr 11</t>
  </si>
  <si>
    <t>II LO</t>
  </si>
  <si>
    <t>ZS Nr 5</t>
  </si>
  <si>
    <t>realizacja projektu "III Euroregionalne Spotkania Muzyczne &lt;&lt;Skrzypce i Ja&gt;&gt; Lublin 2006"</t>
  </si>
  <si>
    <t>współrpraca ze szkołami muzycznymi z Ukrainy 
i Białorusi</t>
  </si>
  <si>
    <t>Szkoła Muzyczna</t>
  </si>
  <si>
    <t>Centra kształcenia ustawicznego 
i praktycznego oraz ośrodki dokształcania zawodowego</t>
  </si>
  <si>
    <t>LCEZ</t>
  </si>
  <si>
    <t>godzenie życia rodzinnego i zawodowego oraz integracja kobiet i mężczyzn na rynku pracy</t>
  </si>
  <si>
    <t>MOPR</t>
  </si>
  <si>
    <t xml:space="preserve">realizacja projektu "EduPart. Partnerstwo na rzecz edukacji i pobudzania aktywności rodzin" w ramach programu Socrates Grundtvig 2 </t>
  </si>
  <si>
    <t xml:space="preserve">rozwój partnerstwa edukacyjnego pomiędzy organizacjami partnerskimi z Niemiec, Austrii, Litwy i Polski polegający na wymianie doświadczeń </t>
  </si>
  <si>
    <t xml:space="preserve">realizacja projektu "Sami sobie - program rozwoju standardów jakości usług dla pracowników socjalnych" </t>
  </si>
  <si>
    <t>przełamanie barier w realizacji zadań przypisanych pracownikom socjalnym poprzez interdyscyplinarne ich przeszkolenie</t>
  </si>
  <si>
    <t>realizacja projektu "Od smutku do radości"</t>
  </si>
  <si>
    <t>ograniczenie zjawiska wykluczenia społecznego 
i zawodowego oraz wsparcie powrotu na rynek pracy</t>
  </si>
  <si>
    <t>Centrum Integracji Społecznej "Integro"</t>
  </si>
  <si>
    <t>2006-2008</t>
  </si>
  <si>
    <t>zwiększenie aktywności zawodowej bezrobotnych, poradnictwo zawodowe, pośrednictwo pracy, szkolenia, doradztwo dla osób rozpoczynających działalność gospodarczą, dotacje, prace interwencyjne, staże</t>
  </si>
  <si>
    <t>MUP</t>
  </si>
  <si>
    <t>zwiększenie aktywności zawodowej bezrobotnych, poradnictwo zawodowe, pośrednictwo pracy, szkolenia, doradztwo dla osób rozpoczynających działalność gospodarczą, dotacje, prace interwencyjne</t>
  </si>
  <si>
    <t>podniesienie jakości świadczonych przez urząd pracy poprzez szkolenia językowe i zawodowe pracowników</t>
  </si>
  <si>
    <t>realizacja projektu "Perspektywy"</t>
  </si>
  <si>
    <t>zwiększenie aktywności zawodowej bezrobotnych, poradnictwo zawodowe, pośrednictwo pracy, szkolenia, dotacje, przygotowanie zawodowe 
w miejscu pracy</t>
  </si>
  <si>
    <t>realizacja projektu "Alternatywy"</t>
  </si>
  <si>
    <t>zwiększenie aktywności zawodowej bezrobotnych, poradnictwo zawodowe, pośrednictwo pracy, szkolenia, staże</t>
  </si>
  <si>
    <t>podniesienie kwalifikacji zawodowych pracowników poprzez studia podyplomowe</t>
  </si>
  <si>
    <t>realizacja projektu "Marketing Usług Pośredniaka - MUP"</t>
  </si>
  <si>
    <t>profesjonalna promocja działalności i usług MUP</t>
  </si>
  <si>
    <t>SOSW dla Dzieci 
i Młodzieży Słabo Widzącej</t>
  </si>
  <si>
    <t>składowisko odpadów komunalnych 
w Rokitnie zad. 1</t>
  </si>
  <si>
    <t>prace związane z budową systemu odgazowania wysypiska z gospodarczym wykorzystaniem ujmowanego biogazu</t>
  </si>
  <si>
    <t>realizacja projektu "Stereotypy 
a Rzeczywistość"</t>
  </si>
  <si>
    <t>wzmocnienie poczucia obywatelstwa europejskiego poprzez pracę teatralną młodzieży z teatrów uniwersyteckich z Lublina, Nancy i Karlsruhe</t>
  </si>
  <si>
    <t>Domy i ośrodki kultury, świetlice 
i kluby</t>
  </si>
  <si>
    <t>realizacja projektu "Historie z fotogramów"</t>
  </si>
  <si>
    <t>integracja regionu poprzez wzrost świadomości jego mieszkańców, przełamywanie stereotypów kulturowych</t>
  </si>
  <si>
    <t>Centrum 
Kultury</t>
  </si>
  <si>
    <t>organizacja Festiwalu Teatrów Europy Środkowej "Sąsiedzi"</t>
  </si>
  <si>
    <t>budowa i zagospodarowanie wielofunkcyjnej hali sportowo - widowiskowej w Lublinie przy 
ul. Kazimierza Wielkiego</t>
  </si>
  <si>
    <t>zagospodarowanie terenu wokół wielofunkcyjnej hali sportowo - widowiskowej i uzupełnienie brakującego wyposażenia</t>
  </si>
  <si>
    <t>MOSiR</t>
  </si>
  <si>
    <t>realizacja projektu: "Fundusz stypendialny Miasta Lublin szansą ponadgimnazjalistów 
z terenów wiejskich"</t>
  </si>
  <si>
    <t>likwidacja barier w dostępie do kształcenia dotkliwymi dla uczniów pochodzących z rodzin biednych, zamieszkałych na terenach wiejskich</t>
  </si>
  <si>
    <t>realizacja projektu: "Program stypendialny Miasta Lublin szansą ponadgimnazjalistów z terenów wiejskich"</t>
  </si>
  <si>
    <t>Załącznik nr 6</t>
  </si>
  <si>
    <t>Wydatki na wieloletnie programy i projekty inwestycyjne współfinansowane ze środków europejskich w latach 2006-2008</t>
  </si>
  <si>
    <t>Wydatki na 2006 rok wg uchwały budżetowej, z tego ze środków:</t>
  </si>
  <si>
    <t>Wydatki na 2007 rok wg uchwały budżetowej, z tego ze środków:</t>
  </si>
  <si>
    <t>Wydatki na 2008 rok wg uchwały budżetowej, z tego ze środków:</t>
  </si>
  <si>
    <t>Wydatki na 2006 rok po zmianach
z tego ze środków:</t>
  </si>
  <si>
    <t>Łączne nakłady finansowe
po zm.</t>
  </si>
  <si>
    <t>Zrealizowane nakłady finansowe
po zm.</t>
  </si>
  <si>
    <t>Wydatki na 2006 rok</t>
  </si>
  <si>
    <t>ze środków własnych 
i innych zwrotnych</t>
  </si>
  <si>
    <t>%
22:13</t>
  </si>
  <si>
    <t>budowa trakcji trolejbusowej w ulicach Roztocze-Orkana-Armii Krajowej-Bohaterów Monte Cassino-Wileńska</t>
  </si>
  <si>
    <t>zakończenie budowy odcinka od ul. Sławinkowskiej do ulicy tarasowej (II etap)</t>
  </si>
  <si>
    <t>przedłużenie ul. Jana Pawła II do al. Kraśnickiej wraz z odwodnieniem i oświetleniem w Lublinie</t>
  </si>
  <si>
    <t>budowa odcinka ulicy o dł. ok.  2,4 km wraz 
z włączeniem do al. Kraśnickiej</t>
  </si>
  <si>
    <t>2004-2007</t>
  </si>
  <si>
    <t>przebudowa ulicy na odcinku o dł. 1,05 km w zakresie dostosowania do obciążenia 100 kN/oś</t>
  </si>
  <si>
    <t>przebudowa al. Andersa od al. Spółdzielczości Pracy do ul. Koryznowej (wraz z rondem 
gen. Berbeckiego) w Lublinie</t>
  </si>
  <si>
    <t>przebudowa ulicy na odcinku o dł. 0, 95 km w zakresie dostosowania do obciążenia 100 kN/oś</t>
  </si>
  <si>
    <t>przebudowa ul. Nadbystrzyckiej od ul. Jana 
Pawła II (bez ronda) do ul. Zana (łącznie ze skrzyżowaniem)</t>
  </si>
  <si>
    <t>przebudowa ulicy na odcinku o dł. 1,3 km w zakresie dostosowania do obciążenia 100 kN/oś</t>
  </si>
  <si>
    <t>przebudowa ulic: Mełgiewskiej, Metalurgicznej 
i częściowo Grygowej w celu połączenia  
z węzłem drogowym obwodnicy Mełgiew - I etap</t>
  </si>
  <si>
    <t>przebudowa ulicy Mełgiewskiej na odcinku o dł. 0,85 km (od ul. Gospodarczej do końca odcinka dwujezdniowego) w zakresie dostosowania do obciążenia 100 kN/oś</t>
  </si>
  <si>
    <t xml:space="preserve"> budowa ul. Gnieźnieńskiej nr 106846 L 
w Lublinie</t>
  </si>
  <si>
    <t>budowa odcinka od ul. Wojciechowskiej 
do ul. Nałęczowskiej o dł. 0,8 km wraz 
z odwodnieniem i zbiornikiem retencyjnym</t>
  </si>
  <si>
    <t>termomodernizacja budynku biurowego przy 
ul. Wieniawskiej 14*</t>
  </si>
  <si>
    <t>modernizacja węzła cieplnego i kotłowni, wymiana instalacji centralnego ogrzewania oraz okien i drzwi zewnętrznych, docieplenie dachu, stropodachu i ścian zewnętrznych</t>
  </si>
  <si>
    <t>termomodernizacja budynku Szkoły Podstawowej nr 27*</t>
  </si>
  <si>
    <t>termomodernizacja budynku Szkoły Podstawowej nr 29**</t>
  </si>
  <si>
    <t>termomodernizacja budynku Gimnazjum 
Nr 8 i 10**</t>
  </si>
  <si>
    <t>modernizacja węzłów cieplnych i kotłowni, wymiana instalacji centralnego ogrzewania oraz okien i drzwi zewnętrznych, docieplenie dachów, stropodachów i ścian zewnętrznych</t>
  </si>
  <si>
    <t>termomodernizacja budynków Zespołu Szkół Elektronicznych przy ul. Wojciechowskiej 38</t>
  </si>
  <si>
    <t>modernizacja węzła cieplnego i kotłowni, wymiana instalacji centralnego ogrzewania oraz okien i drzwi zewnętrznych, docieplenie dachów, stropodachów i ścian zewnętrznych</t>
  </si>
  <si>
    <t>realizacje projektu "Aktywny powrót"</t>
  </si>
  <si>
    <t xml:space="preserve">Informatyzacja Miejskiej Biblioteki Publicznej 
w Lublinie i utworzenie PIAP-ów w filiach 
MBP - II etap </t>
  </si>
  <si>
    <t>informatyzacja MBP, w tym zakup sprzętu komputerowego, budowa instalacji alarmowych i sieci strukturalnych, uruchomienie PIAP-ów oraz wdrożenie systemu elektronicznej ewidencji wypożyczeń księgozbioru</t>
  </si>
  <si>
    <t>Miejska Biblioteka Publiczna</t>
  </si>
  <si>
    <t>modernizacja Stadionu Miejskiego 
przy Al. Zygmuntowskich 5 w Lublinie</t>
  </si>
  <si>
    <t>przebudowa widowni (trybuny), modernizacja: obiektów obsługi stadionu, budynku administracyjno-szatniowego, instalacji zewnętrznych,  płyty boiska oraz układu drogowego</t>
  </si>
  <si>
    <t>2005-2008</t>
  </si>
  <si>
    <t xml:space="preserve">budowa i zagospodarowanie terenu wokół wielofunkcyjnej hali sportowo - widowiskowej przy ul. Kazimierza Wielkiego </t>
  </si>
  <si>
    <t xml:space="preserve"> * zadanie realizowane w ramach projektu "termomodernizacja budynków: biurowego przy ul. Wieniawskiej 14 i Szkoły Podstawowej nr 27"</t>
  </si>
  <si>
    <t xml:space="preserve"> **zadanie realizowane w ramach projektu "termomodernizacja budynków: Gimnazjum nr 8 i 10 oraz Szkoły Podstawowej nr 29"</t>
  </si>
  <si>
    <t>Załącznik nr 7</t>
  </si>
  <si>
    <t xml:space="preserve">Remonty </t>
  </si>
  <si>
    <t xml:space="preserve">Nazwa: działu, rozdziału, zadania </t>
  </si>
  <si>
    <t>Plan na 2006 rok 
wg uchwały budżetowej</t>
  </si>
  <si>
    <t>Plan na 2006 rok
 po zmianach</t>
  </si>
  <si>
    <t>Wykonanie na 
31 grudnia 2006 roku</t>
  </si>
  <si>
    <t>%
 6:5</t>
  </si>
  <si>
    <t>Ogółem remonty</t>
  </si>
  <si>
    <t>Zadania własne</t>
  </si>
  <si>
    <t>remonty dróg</t>
  </si>
  <si>
    <t>remont mostów</t>
  </si>
  <si>
    <t>remonty dróg i ścieżek</t>
  </si>
  <si>
    <t>remont pomieszczeń</t>
  </si>
  <si>
    <t xml:space="preserve">Gospodarka mieszkaniowa </t>
  </si>
  <si>
    <t>specjalistyczne prace konserwatorskie w budynkach zabytkowych w obrębie Starego Miasta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</si>
  <si>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</si>
  <si>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</si>
  <si>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</si>
  <si>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</si>
  <si>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 xml:space="preserve">remonty zasobów komunalnych </t>
  </si>
  <si>
    <t>remonty lokali jednostek pomocniczych miasta</t>
  </si>
  <si>
    <t>remonty obiektów użytkowanych przez Urząd Miasta</t>
  </si>
  <si>
    <t>remont OSP w Głusku</t>
  </si>
  <si>
    <t xml:space="preserve">remonty szkół </t>
  </si>
  <si>
    <t>remonty przedszkoli</t>
  </si>
  <si>
    <t>remont przedszkola</t>
  </si>
  <si>
    <t>remonty obiektów</t>
  </si>
  <si>
    <t>remonty obiektów Miejskiego Ośrodka Pomocy Rodzinie</t>
  </si>
  <si>
    <t>remont mieszkań chronionych</t>
  </si>
  <si>
    <t>remont obiektów żłobków</t>
  </si>
  <si>
    <t>remont obiektu</t>
  </si>
  <si>
    <t>remonty kanalizacji deszczowej</t>
  </si>
  <si>
    <t>remont fontanny</t>
  </si>
  <si>
    <t>usunięcie awarii rurociągu tłocznego odprowadzającego ścieki
z II niecki składowiska w Rokitnie</t>
  </si>
  <si>
    <t>remont urządzeń oświetlenia</t>
  </si>
  <si>
    <t>Teatry</t>
  </si>
  <si>
    <t>remont obiektu Teatru im. H.Ch. Andersena</t>
  </si>
  <si>
    <t>remont obiektu Dzielnicowego Domu Kultury "Bronowice"</t>
  </si>
  <si>
    <t>remont elewacji Bramy Grodzkiej</t>
  </si>
  <si>
    <t>remont filii Miejskiej Biblioteki Publicznej im. H. Łopacińskiego</t>
  </si>
  <si>
    <t>Zakup materiałów i wyposażenia</t>
  </si>
  <si>
    <t>dotacja celowa na prace konserwatorskie, restauratorskie 
i roboty budowlane zabytków</t>
  </si>
  <si>
    <t xml:space="preserve">Obiekty sportowe </t>
  </si>
  <si>
    <t>remont instalacji centralnego ogrzewania w JRG PSP 
w Bełżycach</t>
  </si>
  <si>
    <t>Zadania z zakresu administracji rządowej wykonywane przez powiat</t>
  </si>
  <si>
    <t>remont budynku Teatru Starego</t>
  </si>
  <si>
    <t xml:space="preserve">Zestawienie przychodów i wydatków zakładów budżetowych, gospodarstw pomocniczych </t>
  </si>
  <si>
    <t>Załącznik nr 8</t>
  </si>
  <si>
    <t>oraz dochodów i wydatków rachunków dochodów własnych</t>
  </si>
  <si>
    <t>w  złotych</t>
  </si>
  <si>
    <t>Przychody</t>
  </si>
  <si>
    <t>Wydatki</t>
  </si>
  <si>
    <t>Plan na 2006 rok
wg uchwały budżetowej</t>
  </si>
  <si>
    <t>Plan na 2006 rok
po zmianach</t>
  </si>
  <si>
    <t>Wykonanie na
31 grudnia 2006 roku</t>
  </si>
  <si>
    <t>Plan na 2006 rok 
po zmianach</t>
  </si>
  <si>
    <t>ogółem</t>
  </si>
  <si>
    <t xml:space="preserve">w tym: dotacja
z budżetu                                </t>
  </si>
  <si>
    <t>8:6</t>
  </si>
  <si>
    <t>9:7</t>
  </si>
  <si>
    <t xml:space="preserve">w tym:             wynagrodzenia  </t>
  </si>
  <si>
    <t>16:14</t>
  </si>
  <si>
    <t>17:15</t>
  </si>
  <si>
    <t xml:space="preserve">Razem zakłady budżetowe </t>
  </si>
  <si>
    <t>Lubelski Ośrodek Informacji Turystycznej</t>
  </si>
  <si>
    <t>Zarząd Nieruchomości Komunalnych</t>
  </si>
  <si>
    <t>Miejski Ośrodek Sportu 
i Rekreacji "Bystrzyca"</t>
  </si>
  <si>
    <t>dotacje celowe na inwestycje</t>
  </si>
  <si>
    <t>Razem gospodarstwa pomocnicze</t>
  </si>
  <si>
    <t>Zespół Szkół Samochodowych 
im. St. Syroczyńskiego
Warsztaty Szkolne</t>
  </si>
  <si>
    <t>Zespół Szkół nr 3                             Warsztaty Szkolne</t>
  </si>
  <si>
    <t>Zespół Szkół nr 5                          Warsztaty Szkolne</t>
  </si>
  <si>
    <t>Lubelskie Centrum Edukacji Zawodowej                                      Warsztaty Szkolne</t>
  </si>
  <si>
    <t>Państwowe Szkoły Budownictwa i Geodezji 
Warsztaty Szkolne</t>
  </si>
  <si>
    <t>Specjalny Ośrodek Szkolno - Wychowawczy nr 1 
Warsztaty Szkolne</t>
  </si>
  <si>
    <t>Razem rachunki dochodów własnych</t>
  </si>
  <si>
    <t>Załącznik nr 9</t>
  </si>
  <si>
    <t>Instytucje kultury</t>
  </si>
  <si>
    <t>Nazwa instytucji</t>
  </si>
  <si>
    <t>Stan środków na początek roku</t>
  </si>
  <si>
    <t>Przychody własne</t>
  </si>
  <si>
    <t xml:space="preserve">Dotacja z budżetu 
na 2006 rok
wg uchwały 
budżetowej </t>
  </si>
  <si>
    <t>Dotacja z budżetu 
na 2006 rok
po zmianach</t>
  </si>
  <si>
    <t>Wykonanie 
na 31 grudnia 
2006 roku</t>
  </si>
  <si>
    <t>% 
6:5</t>
  </si>
  <si>
    <t>Ogółem instytucje kultury</t>
  </si>
  <si>
    <t>Teatr im. H. Ch. Andersena</t>
  </si>
  <si>
    <t>w tym: dotacja na inwestycje</t>
  </si>
  <si>
    <t>Dzielnicowy Dom Kultury "Bronowice"</t>
  </si>
  <si>
    <t>Zespół Pieśni i Tańca "Lublin" im. W. Kaniorowej</t>
  </si>
  <si>
    <t>Ośrodek "Brama Grodzka - Teatr NN"</t>
  </si>
  <si>
    <t>Biuro Wystaw Artystycznych</t>
  </si>
  <si>
    <t>Centrum Kultury</t>
  </si>
  <si>
    <t xml:space="preserve">Miejska Biblioteka Publiczna im. H. Łopacińskiego </t>
  </si>
  <si>
    <t>Załącznik nr 11</t>
  </si>
  <si>
    <t>Wydatki na utrzymanie jednostek pomocniczych miasta</t>
  </si>
  <si>
    <t>Treść
(nazwa działu, rozdziału, jednostki pomocniczej miasta)</t>
  </si>
  <si>
    <t>Plan na 2006 rok
wg uchwały 
budżetowej</t>
  </si>
  <si>
    <t>Abramowice</t>
  </si>
  <si>
    <t>Bronowice</t>
  </si>
  <si>
    <t>Czechów Południowy</t>
  </si>
  <si>
    <t>Czechów Północny</t>
  </si>
  <si>
    <t>Czuby Południowe</t>
  </si>
  <si>
    <t>Czuby Północne</t>
  </si>
  <si>
    <t>Dziesiąta</t>
  </si>
  <si>
    <t>Felin</t>
  </si>
  <si>
    <t>Głusk</t>
  </si>
  <si>
    <t>Hajdów Zadębie</t>
  </si>
  <si>
    <t>Kalinowszczyzna</t>
  </si>
  <si>
    <t>Konstantynów</t>
  </si>
  <si>
    <t>Kośminek</t>
  </si>
  <si>
    <t>Ponikwoda</t>
  </si>
  <si>
    <t>Rury</t>
  </si>
  <si>
    <t>Sławin</t>
  </si>
  <si>
    <t>Sławinek</t>
  </si>
  <si>
    <t>Stare Miasto</t>
  </si>
  <si>
    <t>Szerokie</t>
  </si>
  <si>
    <t>Śródmieście</t>
  </si>
  <si>
    <t>Tatary</t>
  </si>
  <si>
    <t>Węglin Południowy</t>
  </si>
  <si>
    <t>Węglin Północny</t>
  </si>
  <si>
    <t>Wieniawa</t>
  </si>
  <si>
    <t>Wrotków</t>
  </si>
  <si>
    <t>Za Cukrownią</t>
  </si>
  <si>
    <t>Zemborzyce</t>
  </si>
  <si>
    <t>Załącznik nr 12</t>
  </si>
  <si>
    <t>Gminny Fundusz Ochrony Środowiska i Gospodarki Wodnej</t>
  </si>
  <si>
    <t>Wykonanie
na 31 grudnia 
2006 roku</t>
  </si>
  <si>
    <t xml:space="preserve">Rozdz. 
§     </t>
  </si>
  <si>
    <t>(nazwa działu, rozdziału, źródła przychodów, zadania, paragrafu)</t>
  </si>
  <si>
    <t xml:space="preserve">Prezydenta Miasta </t>
  </si>
  <si>
    <t>Stan środków obrotowych na początek roku</t>
  </si>
  <si>
    <t>w tym: stan środków pieniężnych</t>
  </si>
  <si>
    <t>Fundusz Ochrony Środowiska i Gospodarki Wodnej</t>
  </si>
  <si>
    <t>opłaty za usuwanie drzew lub krzewów</t>
  </si>
  <si>
    <t>0690</t>
  </si>
  <si>
    <t>Wpływy z różnych opłat</t>
  </si>
  <si>
    <t>kary za usuwanie drzew lub krzewów</t>
  </si>
  <si>
    <t>0970</t>
  </si>
  <si>
    <t>Wpływy z różnych dochodów</t>
  </si>
  <si>
    <t>środki przekazane przez Marszałka Województwa z tytułu opłat za gospodarcze korzystanie ze środowiska</t>
  </si>
  <si>
    <t>Przelewy redystrybucyjne</t>
  </si>
  <si>
    <t>dotacje z Wojewódzkiego Funduszu Ochrony Środowiska i Gospodarki Wodnej 
na realizację zadań z zakresu ochrony środowiska</t>
  </si>
  <si>
    <t>odsetki od nieterminowych wpłat</t>
  </si>
  <si>
    <t>0920</t>
  </si>
  <si>
    <t>Pozostałe odsetki</t>
  </si>
  <si>
    <t>Suma bilansowa</t>
  </si>
  <si>
    <t>Wydatki ogółem</t>
  </si>
  <si>
    <t>edukacja ekologiczna</t>
  </si>
  <si>
    <t>Dotacje przekazane z funduszy celowych na realizację zadań bieżących dla jednostek niezaliczanych do sektora finansów publicznych</t>
  </si>
  <si>
    <t>Wydatki osobowe niezaliczone do wynagrodzeń</t>
  </si>
  <si>
    <t>opłaty za pobyt osób skierowanych do domów pomocy społecznej poza miasto Lublin</t>
  </si>
  <si>
    <t>realizacja programu wyrównywania różnic między regionami - inwestycje</t>
  </si>
  <si>
    <t xml:space="preserve">dotacja na prowadzenie Ośrodka Wsparcia dla Rodzin z Dzieckiem Niepełnosprawnym </t>
  </si>
  <si>
    <t>Rodziny zastępcze</t>
  </si>
  <si>
    <t>świadczenia społeczne</t>
  </si>
  <si>
    <t xml:space="preserve">dotacje na utrzymanie dzieci umieszczonych w rodzinach zastępczych na terenie innych powiatów  </t>
  </si>
  <si>
    <t>Zasiłki i pomoc w naturze oraz składki na ubezpieczenia emerytalne i rentowe</t>
  </si>
  <si>
    <t>Dodatki mieszkaniowe</t>
  </si>
  <si>
    <t>dodatki mieszkaniowe</t>
  </si>
  <si>
    <t>Ośrodki pomocy społecznej</t>
  </si>
  <si>
    <t>realizacja projektu "Edupart. Partnerstwo na rzecz edukacji i pobudzania aktywności rodzin"
w ramach programu SOCRATES: GRUNDTVIG 2</t>
  </si>
  <si>
    <t>realizacja projektu "@lterEgo" w ramach Programu Inicjatywy Wspólnotowej EQUAL</t>
  </si>
  <si>
    <t>realizacja projektu "Sami sobie - program rozwoju standardów jakości usług dla pracowników socjalnych"</t>
  </si>
  <si>
    <t>Jednostki specjalistycznego poradnictwa, mieszkania chronione i ośrodki interwencji kryzysowej</t>
  </si>
  <si>
    <t>mieszkania chronione, z tego:</t>
  </si>
  <si>
    <t>Specjalistyczna Poradnia dla Rodzin, z tego:</t>
  </si>
  <si>
    <t>Centrum Interwencji Kryzysowej, z tego:</t>
  </si>
  <si>
    <t>Ośrodki adopcyjno-opiekuńcze</t>
  </si>
  <si>
    <t>Centra integracji społecznej</t>
  </si>
  <si>
    <t>dotacja dla Centrum Integracji Społecznej "Integro"</t>
  </si>
  <si>
    <t>dotacja dla Centrum Integracji Społecznej "Integro" na realizację projektu "Od smutku do radości"</t>
  </si>
  <si>
    <t xml:space="preserve">inwestycje </t>
  </si>
  <si>
    <t>zapewnienie miejsc noclegowych w noclegowniach, schroniskach, domach dla bezdomnych 
i ofiar przemocy</t>
  </si>
  <si>
    <t>prowadzenie banku żywności</t>
  </si>
  <si>
    <t>realizacja programów służących aktywizacji i integracji osób w podeszłym wieku</t>
  </si>
  <si>
    <t>wieloletni program "Pomoc państwa w zakresie dożywiania"</t>
  </si>
  <si>
    <t>pomoc finansowa dla Miasta Katowice</t>
  </si>
  <si>
    <t>świadczenia dla bezrobotnych za wykonywanie prac społecznie użytecznych</t>
  </si>
  <si>
    <t>Żłobki</t>
  </si>
  <si>
    <t>Zespoły do spraw orzekania o niepełnosprawności</t>
  </si>
  <si>
    <t>Powiatowe urzędy pracy</t>
  </si>
  <si>
    <t>realizacja projektu "Start młodych"</t>
  </si>
  <si>
    <t>realizacja projektu "Aktywny powrót"</t>
  </si>
  <si>
    <t>realizacja projektu "Siłaczka"</t>
  </si>
  <si>
    <t>realizacja projektu "Tylko dla orłów"</t>
  </si>
  <si>
    <t>realizacja projektu "Marketing usług pośredniaka - MUP"</t>
  </si>
  <si>
    <t>Pomoc dla repatriantów</t>
  </si>
  <si>
    <t xml:space="preserve">pomoc dla repatriantów </t>
  </si>
  <si>
    <t>Świetlice szkolne</t>
  </si>
  <si>
    <t>Specjalne ośrodki szkolno - wychowawcze</t>
  </si>
  <si>
    <t>realizacja programu pomocy w dostępie do nauki dzieci i młodzieży niepełnosprawnej</t>
  </si>
  <si>
    <t>realizacja projektu "Moja przyszłość"</t>
  </si>
  <si>
    <t>Poradnie psychologiczno - pedagogiczne, w tym poradnie specjalistyczne</t>
  </si>
  <si>
    <t>Placówki wychowania pozaszkolnego</t>
  </si>
  <si>
    <t>Kolonie i obozy oraz inne formy wypoczynku dzieci i młodzieży szkolnej, a także szkolenia młodzieży</t>
  </si>
  <si>
    <t>organizacja obozów szkoleniowych i imprez sportowo-rekreacyjnych w okresie ferii zimowych i wakacji letnich</t>
  </si>
  <si>
    <t xml:space="preserve">stypendia oraz inne formy pomocy dla uczniów </t>
  </si>
  <si>
    <t>pomoc materialna dla uczniów w ramach Narodowego Programu Stypendialnego</t>
  </si>
  <si>
    <t>program wyrównywania szans edukacyjnych dzieci i młodzieży</t>
  </si>
  <si>
    <t>Szkolne schroniska młodzieżowe</t>
  </si>
  <si>
    <t>Młodzieżowe ośrodki socjoterapii</t>
  </si>
  <si>
    <t>stołówki szkolne, z tego:</t>
  </si>
  <si>
    <t>ogłoszenia prasowe</t>
  </si>
  <si>
    <t xml:space="preserve">Gospodarka komunalna i ochrona środowiska </t>
  </si>
  <si>
    <t>Gospodarka ściekowa i ochrona wód</t>
  </si>
  <si>
    <t>eksploatacja bieżąca i konserwacja kanalizacji deszczowej</t>
  </si>
  <si>
    <t>eksploatacja bieżąca i konserwacja zdrojów ulicznych, zbiorników p.poż. i punktów szybkiego napełniania wody, zabezpieczenie ujęcia wodnego</t>
  </si>
  <si>
    <t>konserwacja i utrzymanie rowów odwadniających</t>
  </si>
  <si>
    <t>bieżące utrzymanie Zbiornika Zemborzyckiego</t>
  </si>
  <si>
    <t>utrzymanie fontann</t>
  </si>
  <si>
    <t>opłata za korzystanie ze środowiska</t>
  </si>
  <si>
    <t>opłata roczna za użytkowanie gruntów pokrytych wodami</t>
  </si>
  <si>
    <t>Gospodarka odpadami</t>
  </si>
  <si>
    <t>eksploatacja składowiska odpadów komunalnych w Rokitnie</t>
  </si>
  <si>
    <t>usunięcie awarii rurociągu tłocznego odprowadzającego odcieki z II niecki składowiska 
w Rokitnie - remonty</t>
  </si>
  <si>
    <t>Oczyszczanie miast i wsi</t>
  </si>
  <si>
    <t>oczyszczanie miasta</t>
  </si>
  <si>
    <t>sprzątanie przystanków i utrzymanie wiat przystankowych</t>
  </si>
  <si>
    <t>prace porządkowe doraźne</t>
  </si>
  <si>
    <t>konserwacja i utrzymanie szaletów miejskich</t>
  </si>
  <si>
    <t>wywóz nieczystości stałych</t>
  </si>
  <si>
    <t>Utrzymanie zieleni w miastach i gminach</t>
  </si>
  <si>
    <t>zakup materiałów i wyposażenia do parków, skwerów i placów zabaw</t>
  </si>
  <si>
    <t>utrzymanie, konserwacja i renowacja zieleni</t>
  </si>
  <si>
    <t>konserwacja rowów i urządzeń melioracyjnych w Parku Ludowym</t>
  </si>
  <si>
    <t>konserwacja urządzeń małej architektury ogrodowej w parkach, na skwerach i miejskich placach zabaw</t>
  </si>
  <si>
    <t>Schroniska dla zwierząt</t>
  </si>
  <si>
    <t>schronisko dla zwierząt</t>
  </si>
  <si>
    <t>Oświetlenie ulic, placów i dróg</t>
  </si>
  <si>
    <t>oświetlenie dróg</t>
  </si>
  <si>
    <t>konserwacja i obsługa urządzeń oświetlenia</t>
  </si>
  <si>
    <t>utrzymanie miejsc pamięci narodowej</t>
  </si>
  <si>
    <t xml:space="preserve">utrzymanie miejskich zasobów gruntowych </t>
  </si>
  <si>
    <t>Lokalny Program Rewitalizacji Miasta Lublina</t>
  </si>
  <si>
    <t xml:space="preserve">przeciwdziałanie zagrożeniom </t>
  </si>
  <si>
    <t>upowszechnianie kultury i sztuki</t>
  </si>
  <si>
    <t>stypendia dla młodzieży szkół artystycznych</t>
  </si>
  <si>
    <t>nagrody w dziedzinie kultury</t>
  </si>
  <si>
    <t>w złotych</t>
  </si>
  <si>
    <t xml:space="preserve">Wykaz zadań miasta realizowanych przez podmioty niezaliczane do sektora </t>
  </si>
  <si>
    <t xml:space="preserve">wyrównywanie szans osób niepełnosprawnych 
w życiu społecznym, pracy zawodowej, kulturze 
i rekreacji poprzez tworzenie warunków do rozwoju rehabilitacji fizycznej, psychicznej, zawodowej i społecznej </t>
  </si>
  <si>
    <t>wspieranie aktywności osób niepełnosprawnych 
i działań samopomocowych w celu pełnej integracji osób niepełnosprawnych 
w społeczności lokalnej</t>
  </si>
  <si>
    <t>utrzymanie uczniów w niepublicznych szkołach podstawowych prowadzonych przez osoby prawne i fizyczne oraz nauczania języka angielskiego w pierwszych klasach</t>
  </si>
  <si>
    <t>realizacja projektu "Fundusz stypendialny Miasta Lublin szansą ponadgimnazjalistów z terenów wiejskich"</t>
  </si>
  <si>
    <t>utrzymanie wychowanków w niepublicznych placówkach opiekuńczo-wychowawczych prowadzonych przez osoby prawne i fizyczne</t>
  </si>
  <si>
    <t>Wykonanie na 
31 grudnia 
2006 roku</t>
  </si>
  <si>
    <t>dotacja na tworzenie, przekształcenie i utrzymanie specjalistycznych ośrodków wsparcia dla ofiar przemocy w rodzinie</t>
  </si>
  <si>
    <t>pomoc osobom dotkniętym przemocą w rodzinie</t>
  </si>
  <si>
    <t>Zadania z zakresu rehabilitacji zawodowej i społecznej oraz zatrudniania osób niepełnosprawnych</t>
  </si>
  <si>
    <t xml:space="preserve">
Zadania własne</t>
  </si>
  <si>
    <t>Pozostałe zadania w zakresie polityki społecznej</t>
  </si>
  <si>
    <t>program wyrównywania różnic między regionami</t>
  </si>
  <si>
    <t>wyrównywanie szans osób niepełnosprawnych w dostępie do rehabilitacji zawodowej i społecznej</t>
  </si>
  <si>
    <t>realizacja projektu "Program stypendialny Miasta Lublin szansą ponadgimnazjalistów z terenów wiejskich"</t>
  </si>
  <si>
    <t>usługi opiekuńcze</t>
  </si>
  <si>
    <t xml:space="preserve">zakupy inwestycyjne dla Środowiskowego Domu Samopomocy przy al. Spółdzielczości Pracy </t>
  </si>
  <si>
    <t xml:space="preserve">upowszechnianie turystki i krajoznawstwa, 
w tym turystyki kwalifikowanej </t>
  </si>
  <si>
    <t>prowadzenie zajęć, programów oraz obozów terapeutycznych i rehabilitacyjnych dla osób uzależnionych od alkoholu</t>
  </si>
  <si>
    <t>Euroregionalny Ośrodek Informacji i Współpracy Kulturalnej w Lublinie</t>
  </si>
  <si>
    <t xml:space="preserve">w tym: wynagrodzenia </t>
  </si>
  <si>
    <t>realizacja projektu "Stereotypy a Rzeczywistość"</t>
  </si>
  <si>
    <t>realizacja projektu "Kacpry - dzikie dzieci Europy"</t>
  </si>
  <si>
    <t>realizacja projektu "Kultura bez granic - Dni Debreczyna w Lublinie"</t>
  </si>
  <si>
    <t xml:space="preserve">Teatry </t>
  </si>
  <si>
    <t>dotacja dla Teatru im. H. Ch. Andersena</t>
  </si>
  <si>
    <t>Domy i ośrodki kultury, świetlice i kluby</t>
  </si>
  <si>
    <t>dotacja dla Dzielnicowego Domu Kultury "Bronowice"</t>
  </si>
  <si>
    <t>dotacja dla Zespołu Pieśni i Tańca "Lublin" im. W. Kaniorowej</t>
  </si>
  <si>
    <t>dotacja dla Ośrodka "Brama Grodzka - Teatr NN"</t>
  </si>
  <si>
    <t>w tym: Lubelska Trasa Podziemna</t>
  </si>
  <si>
    <t>w tym: inwestycje - Lubelska Trasa Podziemna</t>
  </si>
  <si>
    <t>dotacja dla Ośrodka "Brama Grodzka - Teatr NN" na realizację projektu "Historie z fotogramów"</t>
  </si>
  <si>
    <t>Galerie i biura wystaw artystycznych</t>
  </si>
  <si>
    <t>dotacja dla Biura Wystaw Artystycznych</t>
  </si>
  <si>
    <t>Centra kultury i sztuki</t>
  </si>
  <si>
    <t>dotacja dla Centrum Kultury</t>
  </si>
  <si>
    <t xml:space="preserve">dotacja dla Centrum Kultury na organizację Festiwalu Teatrów Europy Środkowej "Sąsiedzi" </t>
  </si>
  <si>
    <t>Biblioteki</t>
  </si>
  <si>
    <t>dotacja dla Miejskiej Biblioteki Publicznej im. H. Łopacińskiego</t>
  </si>
  <si>
    <t>dotacja dla gminy Głusk na obsługę biblioteczną mieszkańców Lublina</t>
  </si>
  <si>
    <t>dotacja celowa na prace konserwatorskie, restauratorskie i roboty budowlane zabytków, z tego:</t>
  </si>
  <si>
    <t>wspomaganie podmiotów zajmujących się upowszechnianiem kultury fizycznej i sportu wśród mieszkańców miasta Lublin w zakresie niezbędnego funkcjonowania komunalnych obiektów sportowych</t>
  </si>
  <si>
    <t>remonty obiektów sportowych</t>
  </si>
  <si>
    <t>Instytucje kultury fizycznej</t>
  </si>
  <si>
    <t>dotacja dla MOSiR "Bystrzyca"</t>
  </si>
  <si>
    <t>upowszechnianie kultury fizycznej</t>
  </si>
  <si>
    <t>wspieranie sportu kwalifikowanego</t>
  </si>
  <si>
    <t>zajęcia sportowo - rekreacyjne w szkołach</t>
  </si>
  <si>
    <t>nagrody dla zawodników i kadry szkoleniowej</t>
  </si>
  <si>
    <t>Wydatki na zadania realizowane na podstawie porozumień i umów</t>
  </si>
  <si>
    <t>wydatki związane z utrzymaniem grobów i cmentarzy</t>
  </si>
  <si>
    <t>wydatki rzeczowe - remonty</t>
  </si>
  <si>
    <t>realizacja programu z zakresu opieki nad dzieckiem i rodziną</t>
  </si>
  <si>
    <t>zakup i modernizacja wyposażenia i sprzętu dla zabezpieczenia i upowszechniania dorobku Zespołu  Pieśni i Tańca "Lublin" im. W. Kaniorowej - inwestycje</t>
  </si>
  <si>
    <t>Wydatki na zadania zlecone</t>
  </si>
  <si>
    <t>Wydatki na zadania ustawowo zlecone gminie</t>
  </si>
  <si>
    <t xml:space="preserve">    010</t>
  </si>
  <si>
    <t xml:space="preserve">    01095</t>
  </si>
  <si>
    <t>wydatki związane ze zwrotem podatku akcyzowego producentom rolnym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</si>
  <si>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</si>
  <si>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</si>
  <si>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</si>
  <si>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prowadzenie i aktualizacja rejestru wyborców</t>
  </si>
  <si>
    <t>Wybory do rad gmin, rad powiatów i sejmików województw, wybory wójtów, burmistrzów 
i prezydentów miast oraz referenda gminne, powiatowe i wojewódzkie</t>
  </si>
  <si>
    <t>wybory samorządowe</t>
  </si>
  <si>
    <t>Obrona cywilna</t>
  </si>
  <si>
    <t>wydatki z zakresu obrony cywilnej</t>
  </si>
  <si>
    <t>wydawanie decyzji o świadczeniach zdrowotnych</t>
  </si>
  <si>
    <t>Środowiskowy Dom Samopomocy przy ul. Gospodarczej, z tego:</t>
  </si>
  <si>
    <t>dotacja na prowadzenie Środowiskowego Domu Samopomocy przy al. Spółdzielczości Pracy</t>
  </si>
  <si>
    <t>Świadczenia rodzinne, zaliczka alimentacyjna oraz składki na ubezpieczenia emerytalne 
i rentowe z ubezpieczenia społecznego</t>
  </si>
  <si>
    <t xml:space="preserve">świadczenia rodzinne </t>
  </si>
  <si>
    <t>Składki na ubezpieczenie zdrowotne opłacane za osoby pobierające niektóre świadczenia 
z pomocy społecznej oraz niektóre świadczenia rodzinne</t>
  </si>
  <si>
    <t>składki na ubezpieczenie zdrowotne opłacane za osoby pobierające świadczenia z pomocy społecznej</t>
  </si>
  <si>
    <t xml:space="preserve">usługi opiekuńcze </t>
  </si>
  <si>
    <t>zasiłki celowe dla rodzin poszkodowanych wskutek powodzi i suszy</t>
  </si>
  <si>
    <t>realizacja projektu "Podajmy sobie ręce"</t>
  </si>
  <si>
    <t>Wydatki na zadania z zakresu administracji rządowej wykonywane przez powiat</t>
  </si>
  <si>
    <t>700</t>
  </si>
  <si>
    <t>gospodarka nieruchomościami</t>
  </si>
  <si>
    <t>Prace geodezyjne i kartograficzne (nieinwestycyjne)</t>
  </si>
  <si>
    <t xml:space="preserve">modernizacja ewidencji gruntów </t>
  </si>
  <si>
    <t>Nadzór budowlany</t>
  </si>
  <si>
    <t>Komisje poborowe</t>
  </si>
  <si>
    <t>przeprowadzenie poboru do wojska</t>
  </si>
  <si>
    <t>Obrona narodowa</t>
  </si>
  <si>
    <t>Pozostałe wydatki obronne</t>
  </si>
  <si>
    <t>szkolenia obronne</t>
  </si>
  <si>
    <t>Ratownictwo medyczne</t>
  </si>
  <si>
    <t>Centrum Powiadamiania Ratunkowego</t>
  </si>
  <si>
    <t>Składki na ubezpieczenie zdrowotne oraz świadczenia dla osób nieobjętych obowiązkiem ubezpieczenia zdrowotnego</t>
  </si>
  <si>
    <t>składki na ubezpieczenie zdrowotne za uczniów oraz wychowanków placówek opiekuńczo-wychowawczych</t>
  </si>
  <si>
    <t>składki na ubezpieczenie zdrowotne za osoby bezrobotne bez prawa do zasiłku</t>
  </si>
  <si>
    <t>Środowiskowy Dom Samopomocy przy ul. Kalinowszczyzna, z tego:</t>
  </si>
  <si>
    <t>kluby samopomocy działające przy ul. Pozytywistów i ul. Nałkowskich, z tego:</t>
  </si>
  <si>
    <t>ośrodek wsparcia przy ul. Nałkowskich 78, z tego:</t>
  </si>
  <si>
    <t>dotacja na zakupy inwestycyjne dla środowiskowych domów samopomocy dla osób z zaburzeniami psychicznymi</t>
  </si>
  <si>
    <t>Pomoc dla uchodźców</t>
  </si>
  <si>
    <t>pomoc dla uchodźców</t>
  </si>
  <si>
    <t>realizacja programów korekcyjno-edukacyjnych dla sprawców przemocy w rodzinie</t>
  </si>
  <si>
    <t>pomoc dla repatriantów</t>
  </si>
  <si>
    <t>dotacja dla Miejskiej Biblioteki Publicznej im. H. Łopacińskiego na realizację projektu "Informatyzacja Miejskiej Biblioteki Publicznej im. H. Łopacińskiego w Lublinie i utworzenie Publicznych Punktów Dostępu do Internetu w filiach MBP" - II etap - inwestycje</t>
  </si>
  <si>
    <t>pomoc dla członków rodzin z problemem alkoholowym oraz problemem przemocy domowej</t>
  </si>
  <si>
    <t>zapewnienie schronienia osobom bezdomnym, ofiarom przemocy i matkom samotnie wychowującym dzieci</t>
  </si>
  <si>
    <t>świadczenie kompleksowego poradnictwa dla osób niepełnosprawnych i ich rodzin, w tym specjalistycznego poradnictwa z zakresu likwidacji barier architektonicznych, transportowych oraz 
w komunikowaniu się</t>
  </si>
  <si>
    <t>realizacja działań o charakterze edukacyinym 
i informacyjnym, w szczególności dla dzieci 
i młodzieży</t>
  </si>
  <si>
    <t>zwiększanie dostępności pomocy terapeutycznej i rehabilitacyjnej 
dla osób uzależnionych od alkoholu</t>
  </si>
  <si>
    <t>udzielanie rodzinom, w których występują problemy narkomanii, pomocy psychospołecznej 
i prawnej</t>
  </si>
  <si>
    <t>pomoc osobom z zaburzeniami psychicznymi 
i osobom z chorobą Alzheimera</t>
  </si>
  <si>
    <t>utrzymanie wychowanków spoza miasta Lublin 
w niepublicznych placówkach opiekuńczo-wychowawczych prowadzonych przez osoby prawne i fizyczne</t>
  </si>
  <si>
    <t>Placówki opiekuńczo-wychowawcze</t>
  </si>
  <si>
    <t>Wynagrodzenia bezosobowe</t>
  </si>
  <si>
    <t>Zakup pomocy naukowych, dydaktycznych i książek</t>
  </si>
  <si>
    <t>Zakup usług pozostałych</t>
  </si>
  <si>
    <t>zakup pojemników do selektywnej zbiórki odpadów</t>
  </si>
  <si>
    <t xml:space="preserve">zakup sorbentów dla wyposażenia Jednostki Ratowniczo - Gaśniczej Komendy Miejskiej Państwowej Straży Pożarnej </t>
  </si>
  <si>
    <t>monitoring środowiska i tworzenie baz danych w Miejskim Banku Zanieczyszczeń Środowiska</t>
  </si>
  <si>
    <t>udział w kursach i szkoleniach naukowo - technicznych</t>
  </si>
  <si>
    <t xml:space="preserve">ratowanie lubelskich kasztanowców przed inwazją szrotówka kasztanowcowiaczka </t>
  </si>
  <si>
    <t>trwałe oznaczenie psów</t>
  </si>
  <si>
    <t xml:space="preserve">Zakup usług pozostałych </t>
  </si>
  <si>
    <t>prace interwencyjne</t>
  </si>
  <si>
    <t>rekultywacja Zbiornika Zemborzyckiego poprzez wykonanie sztucznych tarlisk 
dla sandacza</t>
  </si>
  <si>
    <t xml:space="preserve">rekultywacja Zbiornika Zemborzyckiego poprzez zmianę struktury ilościowej ichtiofauny </t>
  </si>
  <si>
    <t>eksploatacja i rozbudowa barier ekologicznych na Zbiorniku Zemborzyckim</t>
  </si>
  <si>
    <t>sterylizacja bezdomnych kotów</t>
  </si>
  <si>
    <t>realizacja planu działania i postępowania z dzikimi zwierzętami</t>
  </si>
  <si>
    <t>Wydatki na zakupy inwestycyjne funduszy celowych</t>
  </si>
  <si>
    <t>leczenie i konserwacja starodrzewu</t>
  </si>
  <si>
    <t>nasadzenia zieleni wysokiej oraz krzewów na terenie miasta Lublina</t>
  </si>
  <si>
    <t>pomoc placówkom użyteczności publicznej w zakładaniu terenów zieleni 
(w konsultacji z jednostkami pomocniczymi miasta)</t>
  </si>
  <si>
    <t>nasadzanie roślinności faszynowej na wschodnim brzegu Zbiornika Zemborzyckiego</t>
  </si>
  <si>
    <t>program ochrony przed hałasem - etap I</t>
  </si>
  <si>
    <t>przeprowadzenie akcji zwalczania komarów</t>
  </si>
  <si>
    <t>inwentaryzacja zieleni Śródmieścia</t>
  </si>
  <si>
    <t>odmulenie urządzeń hydrotechnicznych nad Zalewem Zemborzyckim</t>
  </si>
  <si>
    <t xml:space="preserve">modernizacja skarp odwodnych Zbiornika Zemborzyckiego </t>
  </si>
  <si>
    <t>Wydatki inwestycyjne funduszy celowych</t>
  </si>
  <si>
    <t>dostosowanie umocnień brzegowych jazu Cukrowni oraz stopnia wodnego 
ul. Kąpielowej dla ułatwienia przenoszenia kajaków</t>
  </si>
  <si>
    <t>Zakup usług remontowych</t>
  </si>
  <si>
    <t>remont konstrukcji betonowych jazu</t>
  </si>
  <si>
    <t>likwidacja niskiej emisji</t>
  </si>
  <si>
    <t>zakup detektora do wykrywania materiałów niebezpiecznych w transporcie drogowym</t>
  </si>
  <si>
    <t>zakup silnika do łodzi przeznaczonej do monitoringu Zbiornika Zemborzyckiego</t>
  </si>
  <si>
    <t>organizacja konferencji naukowej</t>
  </si>
  <si>
    <t>zakup samochodu terenowego</t>
  </si>
  <si>
    <t>inne zmniejszenia</t>
  </si>
  <si>
    <t>Stan środków obrotowych na koniec okresu sprawozdawczego</t>
  </si>
  <si>
    <t>Załącznik nr 13</t>
  </si>
  <si>
    <t>Powiatowy Fundusz Ochrony Środowiska i Gospodarki Wodnej</t>
  </si>
  <si>
    <t>Wykonanie
na 31 grudnia 2006 roku</t>
  </si>
  <si>
    <t xml:space="preserve">wpływy z tytułu nałożonych kar przekazane przez Państwową Inspekcję Ochrony Środowiska </t>
  </si>
  <si>
    <t>gospodarka surowcami organicznymi i nieorganicznymi</t>
  </si>
  <si>
    <t>likwidacja zagrożeń sanitarno-epidemicznych powierzchni ziemi i ekologiczne zagospodarowanie terenu</t>
  </si>
  <si>
    <t>selektywna zbiórka odpadów niebezpiecznych (w tym zakup pojemników 
do zbiórki odpadów niebezpiecznych)</t>
  </si>
  <si>
    <t>rekultywacja terenów zdegradowanych</t>
  </si>
  <si>
    <t>Załącznik nr 14</t>
  </si>
  <si>
    <t>Fundusz Gospodarki Zasobem Geodezyjnym i Kartograficznym</t>
  </si>
  <si>
    <t>Wykonanie
na 31 grudnia
2006 roku</t>
  </si>
  <si>
    <t>sprzedaż map i wyrysów</t>
  </si>
  <si>
    <t>0830</t>
  </si>
  <si>
    <t xml:space="preserve">Wpływy z usług </t>
  </si>
  <si>
    <t xml:space="preserve">odsetki </t>
  </si>
  <si>
    <t>zakup materiałów i usług</t>
  </si>
  <si>
    <t xml:space="preserve">wpłaty na rzecz Centralnego i Wojewódzkiego Funduszu Gospodarki Zasobem Geodezyjnym i Kartograficznym </t>
  </si>
  <si>
    <t>zakup sprzętu specjalistycznego</t>
  </si>
  <si>
    <t>Prezydenta Miasta Lublin</t>
  </si>
  <si>
    <t xml:space="preserve">              Załącznik nr 1</t>
  </si>
  <si>
    <t>Dochody</t>
  </si>
  <si>
    <t xml:space="preserve">Treść
 /nazwa działu, rozdziału, źródła dochodów/    </t>
  </si>
  <si>
    <t>Plan na 
2006 r.
wg uchwały 
budżetowej</t>
  </si>
  <si>
    <t>Dochody budżetu miasta ogółem</t>
  </si>
  <si>
    <t>Dochody gminy ogółem, z tego:</t>
  </si>
  <si>
    <t xml:space="preserve">Dochody własne </t>
  </si>
  <si>
    <t>01095</t>
  </si>
  <si>
    <t>czynsz dzierżawny za obwody łowieckie</t>
  </si>
  <si>
    <t>opłaty pobierane na podstawie ustawy o drogach publicznych</t>
  </si>
  <si>
    <t xml:space="preserve">pozostałe dochody </t>
  </si>
  <si>
    <t>odsetki bankowe od środków dotacji przekazanej z budżetu miasta</t>
  </si>
  <si>
    <t>opłaty za wieczyste użytkowanie</t>
  </si>
  <si>
    <t>wpływy z dzierżawy gruntów</t>
  </si>
  <si>
    <t>wpływy z tytułu odpłatnego korzystania z mienia (dzierżawa, najem)</t>
  </si>
  <si>
    <t>wpływy z tytułu uzyskania prawa własności w wyniku przekształcenia lub odpłatnego nabycia</t>
  </si>
  <si>
    <t>wpłaty zwaloryzowanych odszkodowań przez byłych właścicieli w związku z przywróceniem prawa własności</t>
  </si>
  <si>
    <t>sprzedaż działek</t>
  </si>
  <si>
    <t>sprzedaż mieszkań komunalnych</t>
  </si>
  <si>
    <t>sprzedaż  składników majątkowych</t>
  </si>
  <si>
    <t>zwrot środków przez spółdzielnie mieszkaniowe za skredytowane mieszkania</t>
  </si>
  <si>
    <t>odsetki za nieterminowe regulowanie należności</t>
  </si>
  <si>
    <t>pozostałe dochody</t>
  </si>
  <si>
    <t>opłaty za korzystanie z cmentarzy komunalnych i urządzeń cmentarnych</t>
  </si>
  <si>
    <t>darowizna pieniężna na utrzymanie cmentarza żydowskiego przy ul. Walecznych</t>
  </si>
  <si>
    <t>udział w dochodach budżetu państwa z tytułu pobranych opłat za wydanie dowodów osobistych, opłat  za udostępnianie danych ze zbiorów meldunkowych, zbioru PESEL i innych</t>
  </si>
  <si>
    <t xml:space="preserve">opłaty pokrywające koszt specyfikacji przetargowej, dziennika budowy i inne </t>
  </si>
  <si>
    <t>zaległe wpłaty za pobyt w Izbie Wytrzeźwień</t>
  </si>
  <si>
    <t>wpływy z tytułu wynagrodzenia przysługującego płatnikowi za terminowe wpłacanie podatków pobranych na rzecz budżetu państwa i z tytułu wykonywania zadań z ubezpieczenia społecznego</t>
  </si>
  <si>
    <t>wpływy z tytułu należności po zlikwidowanym Zespole Opieki Zdrowotnej w Lublinie</t>
  </si>
  <si>
    <t>wpłata do budżetu z rachunku dochodów własnych "Egzekucja administracyjna"</t>
  </si>
  <si>
    <t>wpływy z mandatów nakładanych przez Straż Miejską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</si>
  <si>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</si>
  <si>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</si>
  <si>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</si>
  <si>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odsetki od nieterminowych wpłat </t>
  </si>
  <si>
    <t>Wpłaty z zysku przedsiębiorstw i jednoosobowych spółek</t>
  </si>
  <si>
    <t>wpłaty z zysku jednoosobowych spółek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</si>
  <si>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</si>
  <si>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</si>
  <si>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</si>
  <si>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</si>
  <si>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</si>
  <si>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odsetki, opłaty za upomnienia, opłata prolongacyjna</t>
  </si>
  <si>
    <t>Wpływy z podatku rolnego, podatku leśnego, podatku od spadków i darowizn, podatku od czynności cywilnoprawnych oraz podatków i opłat lokalnych od osób fizycznych</t>
  </si>
  <si>
    <t>podatek od spadków i darowizn</t>
  </si>
  <si>
    <t>podatek od posiadania psów</t>
  </si>
  <si>
    <t>opłata targowa</t>
  </si>
  <si>
    <t xml:space="preserve">opłata administracyjna </t>
  </si>
  <si>
    <t>Wpływy z innych opłat stanowiących dochody jednostek samorządu terytorialnego na podstawie ustaw</t>
  </si>
  <si>
    <t>opłata skarbowa</t>
  </si>
  <si>
    <t>opłata za zezwolenia i korzystanie z zezwoleń na sprzedaż napojów alkoholowych</t>
  </si>
  <si>
    <t>opłata za licencję na wykonywanie transportu drogowego taksówką</t>
  </si>
  <si>
    <t>wpis do ewidencji działalności gospodarczej</t>
  </si>
  <si>
    <t>opłata za wydanie zezwolenia na wykonywanie przewozu osób w krajowym transporcie drogowym</t>
  </si>
  <si>
    <t>opłata za składowanie odpadów w górotworze</t>
  </si>
  <si>
    <t>Udziały gmin w podatkach stanowiących dochód budżetu państwa</t>
  </si>
  <si>
    <t xml:space="preserve">podatek dochodowy od osób fizycznych </t>
  </si>
  <si>
    <t>podatek dochodowy od osób prawnych</t>
  </si>
  <si>
    <t>odsetki za nieterminowe przekazanie udziałów w podatku dochodowym od osób prawnych</t>
  </si>
  <si>
    <t>odsetki od środków na rachunkach bankowych</t>
  </si>
  <si>
    <t>Wpływy do wyjaśnienia</t>
  </si>
  <si>
    <t xml:space="preserve">wpływy do wyjaśnienia </t>
  </si>
  <si>
    <t>opłaty za pobyt w oddziałach przedszkolnych</t>
  </si>
  <si>
    <t>opłaty za pobyt w przedszkolach</t>
  </si>
  <si>
    <t>opłaty za usługi świadczone podopiecznym</t>
  </si>
  <si>
    <t>udział w dochodach budżetu państwa z tytułu opłat za pobyt  w środowiskowych domach samopomocy</t>
  </si>
  <si>
    <t xml:space="preserve">opłaty za pobyt w schroniskach dla bezdomnych </t>
  </si>
  <si>
    <t>Świadczenia rodzinne, zaliczka alimentacyjna oraz składki na ubezpieczenia emerytalne
i rentowe z ubezpieczenia społecznego</t>
  </si>
  <si>
    <t>udział w dochodach budżetu państwa z tytułu zwrotów nienależnie pobranych świadczeń</t>
  </si>
  <si>
    <t xml:space="preserve">Zasiłki i pomoc w naturze oraz składki na ubezpieczenia społeczne </t>
  </si>
  <si>
    <t>zwrot niesłusznie pobranych dodatków mieszkaniowych</t>
  </si>
  <si>
    <t>opłaty za pobyt w Centrum Aktywizacji i Rozwoju Seniorów</t>
  </si>
  <si>
    <t>opłaty podopiecznych za świadczone usługi</t>
  </si>
  <si>
    <t>udział w dochodach budżetu państwa z tytułu opłat za usługi opiekuńcze</t>
  </si>
  <si>
    <t>wpłata z zysku Centrum Integracji Społecznej "Integro"</t>
  </si>
  <si>
    <t>opłaty za pobyt w żłobkach</t>
  </si>
  <si>
    <t>opłaty za składowanie odpadów komunalnych w Rokitnie</t>
  </si>
  <si>
    <t xml:space="preserve">wpływy ze sprzedaży psów w schronisku </t>
  </si>
  <si>
    <t>Wpływy i wydatki związane z gromadzeniem środków z opłat produktowych</t>
  </si>
  <si>
    <t>opłata produktowa</t>
  </si>
  <si>
    <t>opłaty wnoszone przez rolników za zużytą wodę (Rokitno)</t>
  </si>
  <si>
    <t xml:space="preserve">opłaty za korzystanie z przystanków przez prywatnych przewoźników </t>
  </si>
  <si>
    <t xml:space="preserve">wpłaty społecznych komitetów i innych podmiotów na inwestycje </t>
  </si>
  <si>
    <t>wpływy z dzierżawy gablot reklamowych wiat przystankowych</t>
  </si>
  <si>
    <t>Subwencje i dotacja rekompensująca</t>
  </si>
  <si>
    <t>Wpływy z podatku rolnego, podatku leśnego, podatku od czynności cywilnoprawnych, podatków i opłat lokalnych od osób prawnych i innych jednostek organizacyjnych</t>
  </si>
  <si>
    <t>dotacja rekompensująca dochody utracone z tytułu zwolnień ustawowych</t>
  </si>
  <si>
    <t>Część oświatowa subwencji ogólnej dla jednostek samorządu terytorialnego</t>
  </si>
  <si>
    <t>subwencja oświatowa</t>
  </si>
  <si>
    <t>Część równoważąca subwencji ogólnej dla gmin</t>
  </si>
  <si>
    <t>subwencja równoważąca</t>
  </si>
  <si>
    <t>Dotacje celowe i inne środki na zadania własne</t>
  </si>
  <si>
    <t>środki z Europejskiego Funduszu Rozwoju Regionalnego na dofinansowanie inwestycji z zakresu transportu zbiorowego</t>
  </si>
  <si>
    <t xml:space="preserve">środki z Europejskiego Funduszu Rozwoju Regionalnego na dofinansowanie inwestycji drogowych </t>
  </si>
  <si>
    <t>środki z Europejskiego Funduszu Rozwoju Regionalnego na realizację projektu "Zintegrowane oznakowanie turystyczne Lublina"</t>
  </si>
  <si>
    <t>środki z Europejskiego Funduszu Rozwoju Regionalnego na realizację projektu "Wprowadzenie Elektronicznego Systemu Obiegu Dokumentów i informatyzacja Biura Obsługi Mieszkańców"</t>
  </si>
  <si>
    <t>środki z Europejskiego Funduszu Rozwoju Regionalnego na realizację projektu "Integracja systemów teleinformatycznych w Urzędzie Miasta Lublin i jednostkach organizacyjnych"</t>
  </si>
  <si>
    <t>środki z PHARE na współfinansowanie projektu "Lubelskie centrum międzynarodowej współpracy gospodarczej"</t>
  </si>
  <si>
    <t>środki z PHARE na współfinansowanie projektu "Na wspólnej drodze. Podnoszenie standardów współpracy transgranicznej samorządów Lublina i Łucka"</t>
  </si>
  <si>
    <t>środki z Programu Sąsiedztwa Interreg IIIA/Tacis CBC na realizację projektu "TURYSTYKA BEZ GRANIC - promocja ośrodków turystycznych Euroregionu Bug"</t>
  </si>
  <si>
    <t>środki z Programu Sąsiedztwa Interreg IIIA/Tacis CBC na realizację projektu "Współpraca kulturalna Lublina, Brześcia i Łucka - działania informacyjne i artystyczne"</t>
  </si>
  <si>
    <t>środki z programu Wspólnoty Europejskiej Socrates-Comenius na realizację projektów oświatowych</t>
  </si>
  <si>
    <t>środki z Funduszu Rozwoju Kultury Fizycznej na dofinansowanie budowy hali sportowej z krytą pływalnią i zapleczem w Szkole Podstawowej nr 51 w Lublinie</t>
  </si>
  <si>
    <t>środki z Funduszu Rozwoju Kultury Fizycznej na dofinansowanie budowy sali gimnastycznej 
z zapleczem w Szkole Podstawowej nr 48 w Lublinie</t>
  </si>
  <si>
    <t>dotacja celowa z budżetu państwa na sfinansowanie wyprawki szkolnej</t>
  </si>
  <si>
    <t>dotacja celowa z budżetu państwa na sfinansowanie wprowadzenia od 1 września 2006 r. nauczania języka angielskiego w pierwszych klasach</t>
  </si>
  <si>
    <t>dotacja z Fundacji EkoFundusz na termomodernizację obiektów szkolnych</t>
  </si>
  <si>
    <t>dotacja celowa z budżetu państwa na dofinansowanie pracodawcom kosztów przygotowania zawodowego młodocianych pracowników</t>
  </si>
  <si>
    <t>dotacja celowa z budżetu państwa na sfinansowanie prac komisji kwalifikacyjnych 
i egzaminacyjnych</t>
  </si>
  <si>
    <t>środki z PFRON na realizację programu wyrównywania różnic między regionami</t>
  </si>
  <si>
    <t>dotacja celowa z budżetu państwa na zasiłki i pomoc w naturze oraz składki na ubezpieczenia emerytalne i rentowe</t>
  </si>
  <si>
    <t>dotacja celowa z budżetu państwa na dofinansowanie utrzymania Miejskiego Ośrodka Pomocy Rodzinie</t>
  </si>
  <si>
    <t>dotacja celowa z budżetu państwa na sfinansowanie dodatku do wynagrodzenia pracownika socjalnego</t>
  </si>
  <si>
    <t>środki z Programu Inicjatywy Wspólnotowej EQUAL na realizację projektu "@lterEgo"</t>
  </si>
  <si>
    <t>środki z Europejskiego Funduszu Społecznego na realizację projektu "Sami sobie - program rozwoju standardów jakości usług dla pracowników socjalnych"</t>
  </si>
  <si>
    <t>środki z Programu Wspólnoty Europejskiej Socrates Grundtvig 2 na realizację projektu "EduPart. Partnerstwo na rzecz edukacji i pobudzania aktywności rodzin"</t>
  </si>
  <si>
    <t>środki z Europejskiego Funduszu Społecznego na realizację projektu "Od smutku do radości"</t>
  </si>
  <si>
    <t>dotacja celowa z budżetu państwa na dofinansowanie realizacji programu wieloletniego "Pomoc państwa w zakresie dożywiania"</t>
  </si>
  <si>
    <t>dotacja celowa z budżetu państwa na pomoc materialną dla uczniów w ramach Narodowego Programu Stypendialnego</t>
  </si>
  <si>
    <t>dotacja celowa z budżetu państwa na realizację programu wyrównywania szans edukacyjnych dzieci i młodzieży</t>
  </si>
  <si>
    <t>środki z Europejskiego Funduszu Rozwoju Regionalnego na realizację projektu "Rekultywacja składowiska odpadów komunalnych dla Lublina w miejscowości Rokitno"</t>
  </si>
  <si>
    <t>środki na projekt "Stereotypy a Rzeczywistość"</t>
  </si>
  <si>
    <t>środki na realizację projektu "Kultura bez granic - Dni Debreczyna w Lublinie"</t>
  </si>
  <si>
    <t>środki z Programu Wspólnoty Europejskiej Młodzież na realizację projektu "Historie 
z fotogramów"</t>
  </si>
  <si>
    <t>dotacja od samorządu województwa na rewaloryzację klasztoru oo. Dominikanów</t>
  </si>
  <si>
    <t>środki z Europejskiego Funduszu Rozwoju Regionalnego na realizację projektu "Budowa 
i zagospodarowanie wielofunkcyjnej hali sportowo - widowiskowej w Lublinie przy ul. Kazimierza Wielkiego 10"</t>
  </si>
  <si>
    <t>środki z Funduszu Zajęć Sportowo - Rekreacyjnych dla Uczniów na dofinansowanie zajęć sportowo - rekreacyjnych</t>
  </si>
  <si>
    <t>Dotacje celowe i inne środki na zadania realizowane na podstawie porozumień i umów</t>
  </si>
  <si>
    <t>Przetwórstwo przemysłowe</t>
  </si>
  <si>
    <t>Rozwój przedsiębiorczości</t>
  </si>
  <si>
    <t xml:space="preserve">środki na realizację projektu "Lublin Miasto Wiedzy" </t>
  </si>
  <si>
    <t>dotacja celowa z budżetu państwa na realizację zadań z zakresu utrzymania grobów i cmentarzy wojennych</t>
  </si>
  <si>
    <t>wpływy z tytułu umieszczenia dziecka z innej gminy w przedszkolu na terenie gminy Lublin</t>
  </si>
  <si>
    <t xml:space="preserve">odsetki od nieterminowych wpływów </t>
  </si>
  <si>
    <t>środki z Gminy Garbów na prowadzenie doradztwa metodycznego dla nauczycieli</t>
  </si>
  <si>
    <t>dotacja celowa z Gminy Świdnik na refundację wydatków poniesionych na budowę składowiska odpadów komunalnych w Rokitnie</t>
  </si>
  <si>
    <t>Dotacje celowe z budżetu państwa na zadania zlecone z zakresu administracji rządowej</t>
  </si>
  <si>
    <t>dotacja celowa z budżetu państwa na wydatki związane ze zwrotem podatku akcyzowego producentom rolnym</t>
  </si>
  <si>
    <t>dotacja celowa z budżetu państwa na realizację bieżących zadań z zakresu administracji rządowej</t>
  </si>
  <si>
    <t xml:space="preserve">Urzędy naczelnych organów władzy państwowej, kontroli i ochrony prawa </t>
  </si>
  <si>
    <t xml:space="preserve">dotacja celowa z budżetu państwa na sfinansowanie kosztów prowadzenia i aktualizacji rejestru wyborców </t>
  </si>
  <si>
    <t>dotacja celowa z budżetu państwa na sfinansowanie kosztów przeprowadzenia wyborów samorządowych</t>
  </si>
  <si>
    <t>Bezpieczeństwo publiczne i ochrona przecipożarowa</t>
  </si>
  <si>
    <t>dotacja celowa z budżetu państwa na finansowanie zadań z zakresu obrony cywilnej</t>
  </si>
  <si>
    <t>dotacja celowa z budżetu państwa na sfinansowanie kosztów wydawania decyzji o świadczeniach zdrowotnych</t>
  </si>
  <si>
    <t xml:space="preserve">Ośrodki wsparcia </t>
  </si>
  <si>
    <t xml:space="preserve">dotacja celowa z budżetu państwa na prowadzenie środowiskowych domów samopomocy </t>
  </si>
  <si>
    <t>dotacja celowa z budżetu państwa na inwestycje w środowiskowych domach samopomoocy</t>
  </si>
  <si>
    <t>dotacja celowa z budżetu państwa na wydatki związane z wypłatą świadczeń rodzinnych i zaliczki alimentacyjnej</t>
  </si>
  <si>
    <t>Składki na ubezpieczenie zdrowotne opłacane za osoby pobierajace niektóre świadczenia 
z pomocy społecznej oraz niektóre świadczenia rodzinne</t>
  </si>
  <si>
    <t xml:space="preserve">dotacja celowa z budżetu państwa na składki na ubezpieczenie zdrowotne opłacane za osoby pobierające świadczenia z pomocy społecznej </t>
  </si>
  <si>
    <t>dotacja celowa z budżetu państwa na zasiłki i pomoc w naturze oraz na składki 
na ubezpieczenia emerytalne i rentowe</t>
  </si>
  <si>
    <t xml:space="preserve">Usługi opiekuńcze i specjalistyczne usługi opiekuńcze </t>
  </si>
  <si>
    <t>dotacja celowa z budżetu państwa na usługi opiekuńcze</t>
  </si>
  <si>
    <t>dotacja celowa z budżetu państwa na wypłaty zasiłków celowych dla rodzin poszkodowanych wskutek powodzi i suszy</t>
  </si>
  <si>
    <t>dotacja celowa z budżetu państwa na realizację projektu "Podajmy sobie ręce"</t>
  </si>
  <si>
    <t>II. Dochody powiatu ogółem, z tego:</t>
  </si>
  <si>
    <t>Dochody własne</t>
  </si>
  <si>
    <t>Gospodarka gruntami  i nieruchomościami</t>
  </si>
  <si>
    <t xml:space="preserve">dochody z tytułu zarządzania nieruchomościami Skarbu Państwa </t>
  </si>
  <si>
    <t>Nadzór Budowlany</t>
  </si>
  <si>
    <t xml:space="preserve">wpływy z tytułu wynagrodzenia przysługującego płatnikowi za terminowewpłacanie podatków pobranych na rzecz budżetu państwa i z tytułu wykonywania zadań z ubezpieczenia społecznego </t>
  </si>
  <si>
    <t>wpływy z kar nakładanych przez Powiatowy Inspektorat Nadzoru Budowlanego</t>
  </si>
  <si>
    <t>opłata za wydanie karty wędkarskiej</t>
  </si>
  <si>
    <t xml:space="preserve">Komendy powiatowe Państwowej Straży Pożarnej </t>
  </si>
  <si>
    <t>utrzymanie dzieci spoza miasta Lublin 
w publicznych i niepublicznych przedszkolach prowadzonych przez osoby prawne i fizyczne</t>
  </si>
  <si>
    <t xml:space="preserve">wpływy z tytułu wynagrodzenia przysługującego płatnikowi za terminowe wpłacanie podatków pobranych na rzecz budżetu państwa i z tytułu wykonywania zadań z ubezpieczenia społecznego </t>
  </si>
  <si>
    <t>udział w dochodach budżetu państwa z tytułu wpływów z najmu i innych</t>
  </si>
  <si>
    <t>Dochody od osób prawnych, od osób fizycznych i od innych jednostek 
nieposiadających osobowości prawnej oraz wydatki związane z ich poborem</t>
  </si>
  <si>
    <t>Wpływy z innych opłat stanowiących dochody jednostek samorządu 
terytorialnego na podstawie ustaw</t>
  </si>
  <si>
    <t>opłaty z tytułu wydawania tablic rejestracyjnych, praw jazdy, czasowych pozwoleń i innych</t>
  </si>
  <si>
    <t>opłata za wydanie licencji na wykonywanie krajowego transportu drogowego i opłata za wydanie zaświadczenia i wypisu z zaświadczenia na wykonywanie przewozu osób i rzeczy na potrzeby własne</t>
  </si>
  <si>
    <t>opłata za egzamin na wykonywanie transportu drogowego taksówką</t>
  </si>
  <si>
    <t>opłata za wydanie karty parkingowej</t>
  </si>
  <si>
    <t>opłata za czasowe wycofanie pojazdu z ruchu drogowego</t>
  </si>
  <si>
    <t>Udziały powiatów w podatkach stanowiących dochód budżetu państwa</t>
  </si>
  <si>
    <t xml:space="preserve">podatek dochodowy od osób prawnych </t>
  </si>
  <si>
    <t>odsetki od środków na rachunku bankowym</t>
  </si>
  <si>
    <t xml:space="preserve">Licea profilowane </t>
  </si>
  <si>
    <t xml:space="preserve">wpływy z tytułu wynagrodzenia przysługującego płatnikowi za terminowe wpłacanie podatków pobranych na rzeczbudżetu państwa i z tytułu wykonywaniazadań z ubezpieczenia społecznego </t>
  </si>
  <si>
    <t>wpłaty z zysku gospodarstw pomocniczych</t>
  </si>
  <si>
    <t>opłaty za pobyt w placówkach</t>
  </si>
  <si>
    <t xml:space="preserve">wpływy z tytułu wynagrodzenia przysługującego płatnikowi za terminowe wpłacanie podatków pobranych na rzecz budżetu państwa i z tytułu wykonywaniazadań z ubezpieczenia społecznego </t>
  </si>
  <si>
    <t>opłaty za pobyt w domach pomocy społecznej</t>
  </si>
  <si>
    <t>udział w dochodach budżetu państwa z tytułu opłat za pobyt w środowiskowych domach samopomocy</t>
  </si>
  <si>
    <t>odpłatnośc rodziców za pobyt dzieci w rodzinach zastępczych</t>
  </si>
  <si>
    <t>opłaty za pobyt w mieszkaniach chronionych</t>
  </si>
  <si>
    <t>opłaty za pobyt w specjalnych ośrodkach szkolno - wychowawczych</t>
  </si>
  <si>
    <t>Poradnie psychologiczno-pedagogiczne, w tym poradnie specjalistyczne</t>
  </si>
  <si>
    <t xml:space="preserve">opłaty za pobyt w internatach i bursach </t>
  </si>
  <si>
    <t>opłaty za noclegi w schronisku</t>
  </si>
  <si>
    <t xml:space="preserve">Subwencje </t>
  </si>
  <si>
    <t>Uzupełnienie subwencji ogólnej dla jednostek samorządu terytorialnego</t>
  </si>
  <si>
    <t>subwencja ogólna (przeznaczona na inwestycje drogowe)</t>
  </si>
  <si>
    <t>Część równoważąca subwencji ogólnej dla powiatów</t>
  </si>
  <si>
    <t xml:space="preserve">środki z PHARE i Europejskiego Funduszu Rozwoju Regionalnego na dofinansowanie inwestycji drogowych </t>
  </si>
  <si>
    <t>dotacja celowa z budżetu państwa na realizację zadań w ramach Kontraktu Wojewódzkiego 
na "Modernizację i rozbudowę Portu Lotniczego Lublin S.A. w Świdniku"</t>
  </si>
  <si>
    <t>środki z Funduszu Rozwoju Kultury Fizycznej na dofinansowanie przebudowy boiska sportowego wraz z ogrodzeniem przy II LO w Lublinie</t>
  </si>
  <si>
    <t>środki z Programu Leonardo da Vinci na realizację projektu "Standardy nowoczesnego hotelarstwa"</t>
  </si>
  <si>
    <t>środki z Programu Sąsiedztwa Interreg IIIA/Tacis CBC na realizację projektu 
"III Euroregionalne Spotkania Muzyczne &lt;&lt;Skrzypce i Ja&gt;&gt; Lublin 2006"</t>
  </si>
  <si>
    <t>dotacja celowa z budżetu państwa na podniesienie standardów w placówkach opiekuńczo - wychowawczych</t>
  </si>
  <si>
    <t>dotacja celowa z budżetu państwa na realizację zadań w ramach Kontraktu Wojewódzkiego 
na 2006 rok</t>
  </si>
  <si>
    <t>dotacja celowa z budżetu państwa na utrzymanie domów pomocy społecznej</t>
  </si>
  <si>
    <t>dotacja celowa z budżetu państwa na podniesienie standardów w domach pomocy społecznej</t>
  </si>
  <si>
    <t>dotacja celowa z budżetu państwa na modernizację budynków mieszkalnych DPS im. Matki Teresy z Kalkuty celem dostosowania do potrzeb osób niepełnosprawnych</t>
  </si>
  <si>
    <t>dotacja celowa z budżetu państwa na kompleksowe uzupełnienie systemu przyzywowo-alarmowego i alarmowo-przeciwpożarowego z wymianą instalacji elektrycznej 
i teleinformatycznej w DPS im. W. Michelisowej</t>
  </si>
  <si>
    <t xml:space="preserve">dotacja celowa z budżetu państwa na dofinansowanie działalności ośrodków wsparcia oraz ośrodków interwencji kryzysowej </t>
  </si>
  <si>
    <t>Ośrodki adopcyjno - opiekuńcze</t>
  </si>
  <si>
    <t>Fundusz Pracy</t>
  </si>
  <si>
    <t>środki z Funduszu Pracy na finansowanie kosztów wynagrodzenia i składek na ubezpieczenia społeczne pracowników Miejskiego Urzędu Pracy</t>
  </si>
  <si>
    <t xml:space="preserve">Państwowy Fundusz Rehabilitacji Osób Niepełnosprawnych  </t>
  </si>
  <si>
    <t xml:space="preserve">środki na częściowe sfinansowanie kosztów obsługi zadań z zakresu rehabilitacji zawodowej 
i społecznej </t>
  </si>
  <si>
    <t>środki z Europejskiego Funduszu Społecznego na realizację projektu "Aktywny powrót"</t>
  </si>
  <si>
    <t>środki z Europejskiego Funduszu Społecznego na realizację projektu "Start Młodych"</t>
  </si>
  <si>
    <t>środki z Europejskiego Funduszu Społecznego na realizację projektu "Siłaczka"</t>
  </si>
  <si>
    <t>środki z Europejskiego Funduszu Społecznego na realizację projektu "Tylko dla orłów"</t>
  </si>
  <si>
    <t>środki z Europejskiego Funduszu Społecznego na realizację projektu "Marketing usług pośredniaka - MUP"</t>
  </si>
  <si>
    <t>środki z PHARE na realizację projektu "Promocja wzrostu zatrudnienia wśród młodzieży"</t>
  </si>
  <si>
    <t>środki z Programu Wspólnoty Europejskiej Młodzież na realizację projektu "Moja przyszłość"</t>
  </si>
  <si>
    <t>środki z PFRON na realizację projektów w ramach programu "EDUKACJA - program pomocy 
w dostępie do nauki dzieci i młodzieży niepełnosprawnej"</t>
  </si>
  <si>
    <t>dotacja celowa z budżetu państwa na pomoc materialną dla uczniów pochodzących z rodzin byłych pracowników państwowych przedsiębiorstw gospodarki rolnej</t>
  </si>
  <si>
    <t>60015</t>
  </si>
  <si>
    <t>dotacja celowa z budżetu państwa na poprawę bezpieczeństwa ruchu drogowego 
na ul. Kunickiego</t>
  </si>
  <si>
    <t>75411</t>
  </si>
  <si>
    <t>dotacja celowa z gminy Bełżyce na sfinansowanie remontu instalacji centralnego ogrzewania 
w JRG PSP w Bełżycach</t>
  </si>
  <si>
    <t>dotacja na dzieci z innych powiatów przebywające w placówkach opiekuńczo-wychowawczych na terenie miasta Lublin</t>
  </si>
  <si>
    <t>środki z PFRON na dofinansowanie robót budowlanych budynku przy ul. Nałkowskich 78</t>
  </si>
  <si>
    <t>dotacja na dzieci z innych powiatów umieszczone w rodzinach zastępczych na terenie miasta Lublin</t>
  </si>
  <si>
    <t>zwrot kosztów szkolenia kandydatów na prowadzenie rodzin zastępczych</t>
  </si>
  <si>
    <t xml:space="preserve">dotacja celowa z budżetu państwa na realizację programu z zakresu opieki nad dzieckiem 
i rodziną </t>
  </si>
  <si>
    <t>dotacja z Europejskiego Funduszu Społecznego i budżetu państwa na realizację projektu: "Fundusz stypendialny Miasta Lublin szansą ponadgimnazjalistów z terenów wiejskich"</t>
  </si>
  <si>
    <t>dotacja z Europejskiego Funduszu Społecznego i budżetu państwa na realizację projektu: "Program stypendialny Miasta Lublin szansą ponadgimnazjalistów z terenów wiejskich"</t>
  </si>
  <si>
    <t>dotacja celowa z budżetu państwa na zakup i modernizację wyposażenia i sprzętu dla zabezpieczenia i upowszechniania dorobku Zespołu Pieśni i Tańca "Lublin" im. W. Kaniorowej</t>
  </si>
  <si>
    <t xml:space="preserve">Dotacje celowe z budżetu państwa na zadania z zakresu administracji rządowej </t>
  </si>
  <si>
    <t>dotacja celowa z budżetu państwa na finansowanie zadań bieżących z zakresu 
gospodarki nieruchomościami</t>
  </si>
  <si>
    <t xml:space="preserve">dotacja celowa z budżetu państwa na modernizację ewidencji gruntów </t>
  </si>
  <si>
    <t>dotacja celowa z budżetu państwa na utrzymanie Powiatowego Inspektoratu Nadzoru Budowlanego</t>
  </si>
  <si>
    <t>dotacja celowa z budżetu państwa na przeprowadzenie poboru do wojska</t>
  </si>
  <si>
    <t>dotacja celowa z budżetu państwa na szkolenia z zakresu obrony cywilnej</t>
  </si>
  <si>
    <t>dotacja celowa z budżetu państwa na utrzymanie Komendy Miejskiej Państwowej Straży Pożarnej</t>
  </si>
  <si>
    <t>dotacja celowa z budżetu państwa na dofinansowanie funkcjonowania Centrum Powiadamiania Ratunkowego</t>
  </si>
  <si>
    <t xml:space="preserve">dotacja celowa z budżetu państwa na składki na ubezpieczenie zdrowotne za dzieci i uczniów niepozostających na utrzymaniu osoby ubezpieczonej </t>
  </si>
  <si>
    <t>dotacja celowa z budżetu państwa na składki na ubezpieczenie zdrowotne za osoby bezrobotne bez prawa do zasiłku</t>
  </si>
  <si>
    <t>dotacja celowa z budżetu państwa na prowadzenie ośrodków wsparcia dla osób z zaburzeniami psychicznymi</t>
  </si>
  <si>
    <t>dotacja celowa z budżetu państwa na inwestycje w ośrodkach wsparcia dla osób z zaburzeniami psychicznymi</t>
  </si>
  <si>
    <t>dotacja celowa z budżetu państwa na tworzenie, przekształcenie i utrzymanie specjalistycznych ośrodków wsparcia dla ofiar przemocy w rodzinie</t>
  </si>
  <si>
    <t>dotacja celowa z budżetu państwa na pomoc dla cudzoziemców posiadających status uchodźcy</t>
  </si>
  <si>
    <t>dotacja celowa z budżetu państwa na realizację programów korekcyjno - edukacyjnych dla sprawców przemocy w rodzinie</t>
  </si>
  <si>
    <t>dotacja celowa z budżetu państwa na utrzymanie zespołu ds. orzekania o niepełnosprawności</t>
  </si>
  <si>
    <t>dotacja celowa z budżetu państwa na zakupy inwestycyjne dla zespołu ds. orzekania 
o niepesłnosprawności</t>
  </si>
  <si>
    <t>dotacja celowa z budżetu państwa na pomoc dla repatriantów</t>
  </si>
  <si>
    <t>środki z Programu Sąsiedztwa Interreg IIIA/Tacis CBC na refundację wydatków na realizację projektu "Rozbudowa transgranicznego systemu ochrony środowiska naturalnego oraz zwalczania skutków katastrof i klęsk żywiołowych na terenie województwa lubelskiego oraz obwodu lwowskiego"</t>
  </si>
  <si>
    <t xml:space="preserve">              Prezydenta Miasta Lublin</t>
  </si>
  <si>
    <t>Załącznik nr 3</t>
  </si>
  <si>
    <t xml:space="preserve">Przychody i rozchody </t>
  </si>
  <si>
    <t xml:space="preserve">         </t>
  </si>
  <si>
    <t>§</t>
  </si>
  <si>
    <t>Planowane 
przychody
na 2006 rok
wg uchwały
budżetowej</t>
  </si>
  <si>
    <t>Planowane przychody 
na 2006 rok
po zmianach</t>
  </si>
  <si>
    <t>Wykonanie
przychodów
na 31 grudnia
2006 roku</t>
  </si>
  <si>
    <t>Planowane 
rozchody
na 2006 rok
wg uchwały
budżetowej</t>
  </si>
  <si>
    <t>Planowane rozchody 
na 2006 rok
po zmianach</t>
  </si>
  <si>
    <t>Wykonanie
rozchodów
na 31 grudnia 2006 roku</t>
  </si>
  <si>
    <t>Przychody ze spłat pożyczek udzielonych na finansowanie zadań realizowanych z udziałem środków pochodzących z budżetu Unii Europejskiej</t>
  </si>
  <si>
    <t>Spłata pożyczek udzielonych Miejskiej Bibliotece Publicznej 
im. H. Łopacińskiego</t>
  </si>
  <si>
    <t xml:space="preserve">Przychody ze sprzedaży innych papierów wartościowych </t>
  </si>
  <si>
    <t>Emisja obligacji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</si>
  <si>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</si>
  <si>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</si>
  <si>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Przychody z zaciągniętych pożyczek i kredytów na rynku krajowym</t>
  </si>
  <si>
    <t>Pożyczki i kredyty</t>
  </si>
  <si>
    <t>Nadwyżki z lat ubiegłych</t>
  </si>
  <si>
    <t>Wolne środki stanowiące nadwyżkę środków pieniężnych na rachunku bieżącym budżetu miasta wynikającą z lat ubiegłych</t>
  </si>
  <si>
    <t>Wykup innych papierów wartościowych</t>
  </si>
  <si>
    <t>Wykup obligacji pięcioletnich wyemitowanych w 2001 roku</t>
  </si>
  <si>
    <t>Spłaty otrzymanych krajowych pożyczek i kredytów</t>
  </si>
  <si>
    <t xml:space="preserve">Spłata zaciągniętych pożyczek i kredytów </t>
  </si>
  <si>
    <t>Załącznik nr 4</t>
  </si>
  <si>
    <t>Wydatki majątkowe</t>
  </si>
  <si>
    <t>Planowane
wydatki
majątkowe
na 2006 rok
wg uchwały 
budżetowej</t>
  </si>
  <si>
    <t>Planowane 
wydatki
majątkowe
na 2006 rok
po zmianach</t>
  </si>
  <si>
    <t>z tego ze środków:</t>
  </si>
  <si>
    <t>Wykonanie 
na 31 grudnia 2006 roku</t>
  </si>
  <si>
    <t xml:space="preserve">   Nazwa: działu, rozdziału, </t>
  </si>
  <si>
    <t xml:space="preserve">własnych </t>
  </si>
  <si>
    <t xml:space="preserve">Unii </t>
  </si>
  <si>
    <t>z kredytów,</t>
  </si>
  <si>
    <t>budżetu</t>
  </si>
  <si>
    <t xml:space="preserve">                 zadania inwestycyjnego</t>
  </si>
  <si>
    <t>i innych</t>
  </si>
  <si>
    <t>Europejskiej</t>
  </si>
  <si>
    <t xml:space="preserve">pożyczek </t>
  </si>
  <si>
    <t>państwa i innych</t>
  </si>
  <si>
    <t>9:5</t>
  </si>
  <si>
    <t>10:6</t>
  </si>
  <si>
    <t>zwrotnych</t>
  </si>
  <si>
    <t>bezzwrotnych</t>
  </si>
  <si>
    <t>Ogółem wydatki majątkowe</t>
  </si>
  <si>
    <t>rozbudowa i przebudowa trakcji trolejbusowej</t>
  </si>
  <si>
    <t>przebudowa skrzyżowania Wolska-Fabryczna-Łęczyńska</t>
  </si>
  <si>
    <t>budowa trakcji trolejbusowej w ulicach Roztocze-Orkana-Armii Krajowej-Bohaterów Monte Cassino-Wileńska-Głęboka</t>
  </si>
  <si>
    <t>ul. Willowa</t>
  </si>
  <si>
    <t>przebudowa al. Spółdzielczości Pracy</t>
  </si>
  <si>
    <t>trasa zielona - I etap</t>
  </si>
  <si>
    <t>trasa zielona - II etap wraz z ul. Muzyczną</t>
  </si>
  <si>
    <t>węzeł drogowy Poniatowskiego (wiadukt 
z połączeniem do ul. ks. Popiełuszki)</t>
  </si>
  <si>
    <t>obwodnica miejska od węzła al. Tysiąclecia - 
ul. Hutnicza do ul. Mełgiewskiej</t>
  </si>
  <si>
    <t>przedłużenie ul. Jana Pawła II do al. Kraśnickiej 
wraz z odwodnieniem i oświetleniem w Lublinie</t>
  </si>
  <si>
    <t>przedłużenie ul. Krańcowej do ul. Kunickiego 
wraz z mostem na rzece Czerniejówce</t>
  </si>
  <si>
    <t>przebudowa ul. Poniatowskiego i ul. Sowińskiego
(od ul. ks. Popiełuszki do ul. Filaretów)</t>
  </si>
  <si>
    <t>przebudowa al. Kraśnickiej (odcinek 
od ul. Roztocze do granic miasta)</t>
  </si>
  <si>
    <t>przebudowa ul. Krańcowej na odcinku od al. Witosa do ul. Długiej</t>
  </si>
  <si>
    <t>przebudowa ul. Jana Pawła II na odcinku 
od ul. Nadbystrzyckiej do ul. Szafirowej</t>
  </si>
  <si>
    <t>przebudowa ul. Choiny na odcinku 
od ul. Związkowej do ul. Paderewskiego</t>
  </si>
  <si>
    <t>przebudowa ul. Szeligowskiego na odcinku 
od al. Smorawińskiego do ul. Związkowej</t>
  </si>
  <si>
    <t>przebudowa al. Smorawińskiego od al. Solidarności do al. Kompozytorów Polskich (wraz z rondem)</t>
  </si>
  <si>
    <t>przebudowa al. Andersa od al. Spółdzielczości Pracy do ul. Koryznowej (wraz z rondem gen. Berbeckiego) w Lublinie</t>
  </si>
  <si>
    <t>przebudowa ul. Nadbystrzyckiej od ul. Jana Pawła II (bez ronda) do ul. Zana (łącznie ze skrzyżowaniem)</t>
  </si>
  <si>
    <t>przebudowa ulic: Mełgiewskiej, Metalurgicznej 
i częściowo Grygowej w celu połączenia z węzłem drogowym obwodnicy Mełgiew</t>
  </si>
  <si>
    <t>przebudowa ul. 3-go Maja i Radziwiłłowskiej wraz ze skrzyżowaniami</t>
  </si>
  <si>
    <t xml:space="preserve">poszerzenie ul. Choiny wraz z oświetleniem 
i odwodnieniem </t>
  </si>
  <si>
    <t>przebudowa skrzyżowania ulic: Krężnicka-Cienista</t>
  </si>
  <si>
    <t>przebudowa skrzyżowań wraz z sygnalizacjami świetlnymi</t>
  </si>
  <si>
    <t xml:space="preserve">budowa i modernizacja zatok, chodników, parkingów 
i kładek dla pieszych </t>
  </si>
  <si>
    <t>modernizacja sygnalizacji świetlnych</t>
  </si>
  <si>
    <t>dokumentacja przyszłościowa</t>
  </si>
  <si>
    <t xml:space="preserve"> </t>
  </si>
  <si>
    <t>poprawa bezpieczeństwa na ul. Kunickiego</t>
  </si>
  <si>
    <t>przebudowa ulic: 3-go Maja i Radziwiłowskiej 
wraz ze skrzyżowaniem</t>
  </si>
  <si>
    <t xml:space="preserve">ul. Bursaki </t>
  </si>
  <si>
    <t>ul. Wyżynna na odcinku od ul. Szczytowej 
do ul. Nadbystrzyckiej</t>
  </si>
  <si>
    <t>ul. Rapackiego</t>
  </si>
  <si>
    <t>ul. Stefczyka, włączenie do ul. Związkowej</t>
  </si>
  <si>
    <t>budowa ul. Gnieźnieńskiej nr 106846 L 
w Lublinie</t>
  </si>
  <si>
    <t>przebudowa ul. Majdan Tatarski</t>
  </si>
  <si>
    <t>ul. Rudlickiego</t>
  </si>
  <si>
    <t>ul. Kwiatów Polnych</t>
  </si>
  <si>
    <t>ścieżki rowerowe</t>
  </si>
  <si>
    <t>budowa połączeń ulic i ciągów pieszych</t>
  </si>
  <si>
    <t>dojazd do Szkoły Podstawowej nr 10</t>
  </si>
  <si>
    <t>budowa ciągów pieszo - jezdnych i przejść dla pieszych</t>
  </si>
  <si>
    <t>zintegrowane oznakowanie turystyczne Lublina</t>
  </si>
  <si>
    <t>objęcie akcji w spółce Port Lotniczy Lublin SA 
w Świdniku</t>
  </si>
  <si>
    <t>modernizacja i rozbudowa Portu Lotniczego Lublin S.A. z siedzibą w Świdniku</t>
  </si>
  <si>
    <t>inwestycje w ramach projektu "Zintegrowane oznakowanie turystyczne Lublina"</t>
  </si>
  <si>
    <t xml:space="preserve">modernizacje budynków </t>
  </si>
  <si>
    <t>udziały w TBS "Nowy Dom" - budownictwo mieszkaniowe</t>
  </si>
  <si>
    <t>budownictwo mieszkaniowe komunalne i socjalne</t>
  </si>
  <si>
    <t>cmentarz komunalny</t>
  </si>
  <si>
    <t>zakupy inwestycyjne</t>
  </si>
  <si>
    <t>Miejska Szerokopasmowa Sieć Teleinformatyczna</t>
  </si>
  <si>
    <t>wprowadzenie Elektronicznego Systemu Obiegu Dokumentów i informatyzacja Biura Obsługi Mieszkańców</t>
  </si>
  <si>
    <t xml:space="preserve">integracja systemów teleinformatycznych 
w Urzędzie Miasta i jednostkach organizacyjnych </t>
  </si>
  <si>
    <t>termomodernizacje budynków</t>
  </si>
  <si>
    <t>przystosowanie Ratusza do wymogów przepisów przeciwpożarowych oraz dla osób niepełnosprawnych</t>
  </si>
  <si>
    <t>zakupy inwestycyjne w ramach projektu "Lublin 
Miasto Wiedzy"</t>
  </si>
  <si>
    <t>dofinansowanie budowy Komisariatu IV Policji</t>
  </si>
  <si>
    <t>dofinansowanie zakupu samochodu</t>
  </si>
  <si>
    <t xml:space="preserve">monitoring wizyjny w ramach programu "Bezpieczny Lublin" </t>
  </si>
  <si>
    <t>zakupy inwestycyjne w ramach programu "Bezpieczny Lublin"</t>
  </si>
  <si>
    <t xml:space="preserve">rozbudowa Szkoły Podstawowej nr 21 </t>
  </si>
  <si>
    <t>Szkoła Podstawowa nr 39 przy ul. Krężnickiej</t>
  </si>
  <si>
    <t>Szkoła Podstawowa nr 51 w os. Widok</t>
  </si>
  <si>
    <t>Szkoła Podstawowa nr 52 w os. Felin</t>
  </si>
  <si>
    <t>budowa sali gimnastycznej w Szkole 
Podstawowej nr 48</t>
  </si>
  <si>
    <t>modernizacja Szkoły Podstawowej nr 30</t>
  </si>
  <si>
    <t xml:space="preserve">termomodernizacje obiektów </t>
  </si>
  <si>
    <t>modernizacje obiektów</t>
  </si>
  <si>
    <t>budowa gimnazjum przy ul. Roztocze</t>
  </si>
  <si>
    <t>budowa boisk</t>
  </si>
  <si>
    <t>mur oporowy oddzielający boisko II LO 
im. Zamoyskiego od posesji Starostwa Powiatowego przy ul. Spokojnej</t>
  </si>
  <si>
    <t>termomodernizacje obiektów</t>
  </si>
  <si>
    <t>Zespół Szkół nr 1</t>
  </si>
  <si>
    <t>Zespół Szkół nr 5</t>
  </si>
  <si>
    <t>modernizacje szkół</t>
  </si>
  <si>
    <t>modernizacje przychodni</t>
  </si>
  <si>
    <t>likwidacja barier architektonicznych w Szkole Podstawowej nr 6</t>
  </si>
  <si>
    <t>modernizacje i termomodernizacje obiektów</t>
  </si>
  <si>
    <t>zakup nieruchomości</t>
  </si>
  <si>
    <t>modernizacja DPS im. W. Michelisowej</t>
  </si>
  <si>
    <t>modernizacja i termomodernizacja budynku DPS dla Osób Niepełnosprawnych Fizycznie</t>
  </si>
  <si>
    <t>roboty termomodernizacyjne i ogólnobudowlane 
DPS Betania</t>
  </si>
  <si>
    <t>budowa domu pomocy społecznej przy ul. Opalowej</t>
  </si>
  <si>
    <t>modernizacja budynków mieszkalnych DPS im. Matki Teresy z Kalkuty</t>
  </si>
  <si>
    <t>zakupy inwestycyjne w ramach programu wyrównywania różnic między regionami</t>
  </si>
  <si>
    <t>adaptacja budynku przy ul. Zemborzyckiej dla potrzeb MOPR</t>
  </si>
  <si>
    <t xml:space="preserve">modernizacje pomieszczeń </t>
  </si>
  <si>
    <t>termomodernizacja obiektu</t>
  </si>
  <si>
    <t>zakupy inwestycyjne w ramach projektu "Marketing usług pośredniaka - MUP"</t>
  </si>
  <si>
    <t>dotacja na zakupy inwestycyjne w ramach programu wyrównywania różnic między regionami</t>
  </si>
  <si>
    <t xml:space="preserve">inwestycje w ramach programu "EDUKACJA - program pomocy w dostępie do nauki dzieci 
i młodzieży niepełnosprawnych" </t>
  </si>
  <si>
    <t>modernizacja obiektu</t>
  </si>
  <si>
    <t>Gospodarka komunalna i ochrona środowiska</t>
  </si>
  <si>
    <t xml:space="preserve">kolektor sanitarny N-II </t>
  </si>
  <si>
    <t>odprowadzenie wód deszczowych z osiedli: Szerokie, Lipniak, Węglin Północny, Sławin</t>
  </si>
  <si>
    <t>odprowadzenie wód deszczowych z ulic: Dworskiej, Ludowej, Wielkiej i Rudnickiej</t>
  </si>
  <si>
    <t>odwodnienie os. Sławin</t>
  </si>
  <si>
    <t>kanalizacja sanitarna w os. Węglin Południowy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</si>
</sst>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###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&quot;-&quot;#,##0"/>
    <numFmt numFmtId="175" formatCode="#,##0;[Red]&quot;-&quot;#,##0"/>
    <numFmt numFmtId="176" formatCode="#,##0.00;&quot;-&quot;#,##0.00"/>
    <numFmt numFmtId="177" formatCode="#,##0.00;[Red]&quot;-&quot;#,##0.00"/>
    <numFmt numFmtId="178" formatCode="#,##0.0"/>
    <numFmt numFmtId="179" formatCode="\1000,000"/>
    <numFmt numFmtId="180" formatCode="\1\ 000,000"/>
    <numFmt numFmtId="181" formatCode="#\.##0"/>
    <numFmt numFmtId="182" formatCode="#\.###\.##0"/>
    <numFmt numFmtId="183" formatCode="0.0%"/>
    <numFmt numFmtId="184" formatCode="_-* #,##0\ _z_ł_-;\-* #,##0\ _z_ł_-;_-* &quot;-&quot;??\ _z_ł_-;_-@_-"/>
    <numFmt numFmtId="185" formatCode="#,##0.00\ &quot;zł&quot;"/>
    <numFmt numFmtId="186" formatCode="0.0"/>
    <numFmt numFmtId="187" formatCode="#,##0.0000"/>
    <numFmt numFmtId="188" formatCode="h:m"/>
    <numFmt numFmtId="189" formatCode="#,##0.00\ &quot;zł&quot;;[Red]#,##0.00\ &quot;zł&quot;"/>
    <numFmt numFmtId="190" formatCode="#,##0\ &quot;zł&quot;"/>
    <numFmt numFmtId="191" formatCode="#,##0.000"/>
    <numFmt numFmtId="192" formatCode="#,##0.00\ _z_ł"/>
    <numFmt numFmtId="193" formatCode="#,##0\ _z_ł"/>
    <numFmt numFmtId="194" formatCode="#,##0_ ;\-#,##0\ "/>
    <numFmt numFmtId="195" formatCode="#,##0_ ;[Red]\-#,##0\ "/>
    <numFmt numFmtId="196" formatCode="\ h\ h:m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_-* #,##0.0\ _z_ł_-;\-* #,##0.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i/>
      <sz val="11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15"/>
      <name val="Arial CE"/>
      <family val="2"/>
    </font>
    <font>
      <b/>
      <i/>
      <sz val="11"/>
      <name val="Arial CE"/>
      <family val="0"/>
    </font>
    <font>
      <sz val="14"/>
      <name val="Arial CE"/>
      <family val="2"/>
    </font>
    <font>
      <b/>
      <sz val="13"/>
      <name val="Arial CE"/>
      <family val="2"/>
    </font>
    <font>
      <sz val="15"/>
      <name val="Arial CE"/>
      <family val="2"/>
    </font>
    <font>
      <b/>
      <sz val="9"/>
      <name val="Arial CE"/>
      <family val="2"/>
    </font>
    <font>
      <b/>
      <i/>
      <sz val="10"/>
      <color indexed="8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2"/>
      <name val="Arial CE"/>
      <family val="0"/>
    </font>
    <font>
      <b/>
      <sz val="16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0"/>
      <color indexed="48"/>
      <name val="Arial CE"/>
      <family val="2"/>
    </font>
    <font>
      <b/>
      <sz val="10"/>
      <color indexed="4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dotted"/>
    </border>
    <border>
      <left style="thin"/>
      <right style="thin"/>
      <top style="thin"/>
      <bottom style="dashDotDot"/>
    </border>
    <border>
      <left style="thin"/>
      <right style="thin"/>
      <top style="dotted"/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dotted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dashDotDot"/>
      <bottom style="thin"/>
    </border>
    <border>
      <left style="thin"/>
      <right style="thin"/>
      <top style="medium"/>
      <bottom style="medium"/>
    </border>
    <border>
      <left style="thin"/>
      <right style="thin"/>
      <top style="dotted"/>
      <bottom style="dashDot"/>
    </border>
    <border>
      <left style="thin"/>
      <right style="thin"/>
      <top style="dashDotDot"/>
      <bottom style="dashDot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0" xfId="0" applyFont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3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3" fontId="1" fillId="0" borderId="20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0" fontId="7" fillId="2" borderId="2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0" fillId="0" borderId="0" xfId="0" applyFont="1" applyAlignment="1">
      <alignment/>
    </xf>
    <xf numFmtId="3" fontId="0" fillId="0" borderId="5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3" fontId="0" fillId="2" borderId="6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6" xfId="0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/>
    </xf>
    <xf numFmtId="10" fontId="5" fillId="0" borderId="18" xfId="0" applyNumberFormat="1" applyFont="1" applyBorder="1" applyAlignment="1">
      <alignment horizontal="right"/>
    </xf>
    <xf numFmtId="10" fontId="1" fillId="0" borderId="20" xfId="0" applyNumberFormat="1" applyFont="1" applyBorder="1" applyAlignment="1">
      <alignment wrapText="1"/>
    </xf>
    <xf numFmtId="10" fontId="0" fillId="3" borderId="6" xfId="0" applyNumberFormat="1" applyFont="1" applyFill="1" applyBorder="1" applyAlignment="1">
      <alignment/>
    </xf>
    <xf numFmtId="10" fontId="1" fillId="3" borderId="6" xfId="0" applyNumberFormat="1" applyFont="1" applyFill="1" applyBorder="1" applyAlignment="1">
      <alignment/>
    </xf>
    <xf numFmtId="10" fontId="1" fillId="3" borderId="7" xfId="0" applyNumberFormat="1" applyFont="1" applyFill="1" applyBorder="1" applyAlignment="1">
      <alignment wrapText="1"/>
    </xf>
    <xf numFmtId="10" fontId="0" fillId="3" borderId="13" xfId="0" applyNumberFormat="1" applyFont="1" applyFill="1" applyBorder="1" applyAlignment="1">
      <alignment/>
    </xf>
    <xf numFmtId="10" fontId="0" fillId="0" borderId="6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1" fillId="0" borderId="14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10" fontId="5" fillId="0" borderId="20" xfId="0" applyNumberFormat="1" applyFont="1" applyBorder="1" applyAlignment="1">
      <alignment/>
    </xf>
    <xf numFmtId="10" fontId="5" fillId="0" borderId="1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1" fillId="0" borderId="7" xfId="0" applyNumberFormat="1" applyFont="1" applyBorder="1" applyAlignment="1">
      <alignment wrapText="1"/>
    </xf>
    <xf numFmtId="10" fontId="0" fillId="0" borderId="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0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3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5" fillId="0" borderId="18" xfId="0" applyNumberFormat="1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3" fontId="0" fillId="2" borderId="2" xfId="0" applyNumberFormat="1" applyFont="1" applyFill="1" applyBorder="1" applyAlignment="1">
      <alignment/>
    </xf>
    <xf numFmtId="4" fontId="16" fillId="0" borderId="7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4" fontId="17" fillId="0" borderId="7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" fontId="18" fillId="3" borderId="6" xfId="0" applyNumberFormat="1" applyFont="1" applyFill="1" applyBorder="1" applyAlignment="1">
      <alignment/>
    </xf>
    <xf numFmtId="4" fontId="19" fillId="3" borderId="6" xfId="0" applyNumberFormat="1" applyFont="1" applyFill="1" applyBorder="1" applyAlignment="1">
      <alignment/>
    </xf>
    <xf numFmtId="4" fontId="19" fillId="3" borderId="7" xfId="0" applyNumberFormat="1" applyFont="1" applyFill="1" applyBorder="1" applyAlignment="1">
      <alignment wrapText="1"/>
    </xf>
    <xf numFmtId="4" fontId="18" fillId="3" borderId="13" xfId="0" applyNumberFormat="1" applyFont="1" applyFill="1" applyBorder="1" applyAlignment="1">
      <alignment/>
    </xf>
    <xf numFmtId="4" fontId="18" fillId="0" borderId="6" xfId="0" applyNumberFormat="1" applyFont="1" applyBorder="1" applyAlignment="1">
      <alignment/>
    </xf>
    <xf numFmtId="4" fontId="19" fillId="0" borderId="7" xfId="0" applyNumberFormat="1" applyFont="1" applyBorder="1" applyAlignment="1">
      <alignment/>
    </xf>
    <xf numFmtId="4" fontId="18" fillId="2" borderId="6" xfId="0" applyNumberFormat="1" applyFont="1" applyFill="1" applyBorder="1" applyAlignment="1">
      <alignment/>
    </xf>
    <xf numFmtId="4" fontId="19" fillId="0" borderId="20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/>
    </xf>
    <xf numFmtId="4" fontId="18" fillId="0" borderId="2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7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8" fillId="0" borderId="5" xfId="0" applyNumberFormat="1" applyFont="1" applyBorder="1" applyAlignment="1">
      <alignment/>
    </xf>
    <xf numFmtId="4" fontId="18" fillId="0" borderId="1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4" fontId="18" fillId="0" borderId="9" xfId="0" applyNumberFormat="1" applyFont="1" applyBorder="1" applyAlignment="1">
      <alignment/>
    </xf>
    <xf numFmtId="4" fontId="20" fillId="0" borderId="18" xfId="0" applyNumberFormat="1" applyFont="1" applyBorder="1" applyAlignment="1">
      <alignment/>
    </xf>
    <xf numFmtId="4" fontId="20" fillId="0" borderId="2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9" fillId="0" borderId="7" xfId="0" applyNumberFormat="1" applyFont="1" applyBorder="1" applyAlignment="1">
      <alignment/>
    </xf>
    <xf numFmtId="4" fontId="18" fillId="0" borderId="7" xfId="0" applyNumberFormat="1" applyFont="1" applyBorder="1" applyAlignment="1">
      <alignment/>
    </xf>
    <xf numFmtId="4" fontId="19" fillId="0" borderId="7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" fontId="20" fillId="0" borderId="19" xfId="0" applyNumberFormat="1" applyFont="1" applyBorder="1" applyAlignment="1">
      <alignment/>
    </xf>
    <xf numFmtId="4" fontId="20" fillId="0" borderId="17" xfId="0" applyNumberFormat="1" applyFont="1" applyBorder="1" applyAlignment="1">
      <alignment horizontal="right"/>
    </xf>
    <xf numFmtId="4" fontId="20" fillId="0" borderId="18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4" fontId="18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4" fontId="19" fillId="2" borderId="19" xfId="0" applyNumberFormat="1" applyFont="1" applyFill="1" applyBorder="1" applyAlignment="1">
      <alignment/>
    </xf>
    <xf numFmtId="10" fontId="1" fillId="2" borderId="19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4" fontId="19" fillId="2" borderId="7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3" fontId="1" fillId="2" borderId="19" xfId="0" applyNumberFormat="1" applyFont="1" applyFill="1" applyBorder="1" applyAlignment="1">
      <alignment wrapText="1"/>
    </xf>
    <xf numFmtId="4" fontId="19" fillId="2" borderId="19" xfId="0" applyNumberFormat="1" applyFont="1" applyFill="1" applyBorder="1" applyAlignment="1">
      <alignment wrapText="1"/>
    </xf>
    <xf numFmtId="10" fontId="1" fillId="2" borderId="19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4" fontId="19" fillId="2" borderId="18" xfId="0" applyNumberFormat="1" applyFont="1" applyFill="1" applyBorder="1" applyAlignment="1">
      <alignment wrapText="1"/>
    </xf>
    <xf numFmtId="10" fontId="1" fillId="2" borderId="18" xfId="0" applyNumberFormat="1" applyFont="1" applyFill="1" applyBorder="1" applyAlignment="1">
      <alignment wrapText="1"/>
    </xf>
    <xf numFmtId="4" fontId="16" fillId="2" borderId="19" xfId="0" applyNumberFormat="1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3" fontId="1" fillId="2" borderId="26" xfId="0" applyNumberFormat="1" applyFont="1" applyFill="1" applyBorder="1" applyAlignment="1">
      <alignment/>
    </xf>
    <xf numFmtId="4" fontId="19" fillId="2" borderId="26" xfId="0" applyNumberFormat="1" applyFont="1" applyFill="1" applyBorder="1" applyAlignment="1">
      <alignment/>
    </xf>
    <xf numFmtId="10" fontId="1" fillId="2" borderId="26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4" fontId="19" fillId="2" borderId="18" xfId="0" applyNumberFormat="1" applyFont="1" applyFill="1" applyBorder="1" applyAlignment="1">
      <alignment/>
    </xf>
    <xf numFmtId="10" fontId="1" fillId="2" borderId="18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10" fontId="2" fillId="0" borderId="26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3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10" fontId="0" fillId="0" borderId="3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10" fontId="1" fillId="0" borderId="14" xfId="0" applyNumberFormat="1" applyFont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/>
    </xf>
    <xf numFmtId="0" fontId="1" fillId="2" borderId="7" xfId="0" applyFont="1" applyFill="1" applyBorder="1" applyAlignment="1" quotePrefix="1">
      <alignment horizontal="right"/>
    </xf>
    <xf numFmtId="4" fontId="1" fillId="2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0" fontId="1" fillId="2" borderId="18" xfId="0" applyFont="1" applyFill="1" applyBorder="1" applyAlignment="1" quotePrefix="1">
      <alignment horizontal="right"/>
    </xf>
    <xf numFmtId="4" fontId="1" fillId="2" borderId="18" xfId="0" applyNumberFormat="1" applyFont="1" applyFill="1" applyBorder="1" applyAlignment="1">
      <alignment/>
    </xf>
    <xf numFmtId="3" fontId="1" fillId="2" borderId="32" xfId="0" applyNumberFormat="1" applyFont="1" applyFill="1" applyBorder="1" applyAlignment="1">
      <alignment/>
    </xf>
    <xf numFmtId="4" fontId="1" fillId="2" borderId="32" xfId="0" applyNumberFormat="1" applyFont="1" applyFill="1" applyBorder="1" applyAlignment="1">
      <alignment/>
    </xf>
    <xf numFmtId="10" fontId="1" fillId="2" borderId="32" xfId="0" applyNumberFormat="1" applyFont="1" applyFill="1" applyBorder="1" applyAlignment="1">
      <alignment/>
    </xf>
    <xf numFmtId="3" fontId="1" fillId="2" borderId="33" xfId="0" applyNumberFormat="1" applyFont="1" applyFill="1" applyBorder="1" applyAlignment="1">
      <alignment/>
    </xf>
    <xf numFmtId="4" fontId="1" fillId="2" borderId="33" xfId="0" applyNumberFormat="1" applyFont="1" applyFill="1" applyBorder="1" applyAlignment="1">
      <alignment/>
    </xf>
    <xf numFmtId="10" fontId="1" fillId="2" borderId="33" xfId="0" applyNumberFormat="1" applyFont="1" applyFill="1" applyBorder="1" applyAlignment="1">
      <alignment/>
    </xf>
    <xf numFmtId="0" fontId="0" fillId="2" borderId="13" xfId="0" applyFont="1" applyFill="1" applyBorder="1" applyAlignment="1">
      <alignment wrapText="1"/>
    </xf>
    <xf numFmtId="3" fontId="0" fillId="2" borderId="13" xfId="0" applyNumberFormat="1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0" fontId="7" fillId="2" borderId="9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10" fontId="7" fillId="2" borderId="9" xfId="0" applyNumberFormat="1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wrapText="1"/>
    </xf>
    <xf numFmtId="3" fontId="7" fillId="2" borderId="7" xfId="0" applyNumberFormat="1" applyFont="1" applyFill="1" applyBorder="1" applyAlignment="1">
      <alignment/>
    </xf>
    <xf numFmtId="4" fontId="7" fillId="2" borderId="7" xfId="0" applyNumberFormat="1" applyFont="1" applyFill="1" applyBorder="1" applyAlignment="1">
      <alignment/>
    </xf>
    <xf numFmtId="10" fontId="7" fillId="2" borderId="16" xfId="0" applyNumberFormat="1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3" fontId="7" fillId="2" borderId="21" xfId="0" applyNumberFormat="1" applyFont="1" applyFill="1" applyBorder="1" applyAlignment="1">
      <alignment/>
    </xf>
    <xf numFmtId="4" fontId="7" fillId="2" borderId="21" xfId="0" applyNumberFormat="1" applyFont="1" applyFill="1" applyBorder="1" applyAlignment="1">
      <alignment/>
    </xf>
    <xf numFmtId="10" fontId="7" fillId="2" borderId="21" xfId="0" applyNumberFormat="1" applyFont="1" applyFill="1" applyBorder="1" applyAlignment="1">
      <alignment/>
    </xf>
    <xf numFmtId="10" fontId="7" fillId="2" borderId="7" xfId="0" applyNumberFormat="1" applyFont="1" applyFill="1" applyBorder="1" applyAlignment="1">
      <alignment/>
    </xf>
    <xf numFmtId="3" fontId="7" fillId="2" borderId="24" xfId="0" applyNumberFormat="1" applyFont="1" applyFill="1" applyBorder="1" applyAlignment="1">
      <alignment/>
    </xf>
    <xf numFmtId="4" fontId="7" fillId="2" borderId="24" xfId="0" applyNumberFormat="1" applyFont="1" applyFill="1" applyBorder="1" applyAlignment="1">
      <alignment/>
    </xf>
    <xf numFmtId="10" fontId="7" fillId="2" borderId="24" xfId="0" applyNumberFormat="1" applyFont="1" applyFill="1" applyBorder="1" applyAlignment="1">
      <alignment/>
    </xf>
    <xf numFmtId="0" fontId="7" fillId="2" borderId="34" xfId="0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3" fontId="0" fillId="2" borderId="8" xfId="0" applyNumberFormat="1" applyFont="1" applyFill="1" applyBorder="1" applyAlignment="1">
      <alignment/>
    </xf>
    <xf numFmtId="4" fontId="0" fillId="2" borderId="8" xfId="0" applyNumberFormat="1" applyFont="1" applyFill="1" applyBorder="1" applyAlignment="1">
      <alignment/>
    </xf>
    <xf numFmtId="10" fontId="0" fillId="2" borderId="8" xfId="0" applyNumberFormat="1" applyFont="1" applyFill="1" applyBorder="1" applyAlignment="1">
      <alignment/>
    </xf>
    <xf numFmtId="0" fontId="0" fillId="2" borderId="16" xfId="0" applyFont="1" applyFill="1" applyBorder="1" applyAlignment="1">
      <alignment wrapText="1"/>
    </xf>
    <xf numFmtId="10" fontId="0" fillId="2" borderId="16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0" fontId="7" fillId="2" borderId="8" xfId="0" applyFont="1" applyFill="1" applyBorder="1" applyAlignment="1">
      <alignment wrapText="1"/>
    </xf>
    <xf numFmtId="3" fontId="7" fillId="2" borderId="22" xfId="0" applyNumberFormat="1" applyFont="1" applyFill="1" applyBorder="1" applyAlignment="1">
      <alignment/>
    </xf>
    <xf numFmtId="4" fontId="7" fillId="2" borderId="22" xfId="0" applyNumberFormat="1" applyFont="1" applyFill="1" applyBorder="1" applyAlignment="1">
      <alignment/>
    </xf>
    <xf numFmtId="10" fontId="7" fillId="2" borderId="22" xfId="0" applyNumberFormat="1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/>
    </xf>
    <xf numFmtId="0" fontId="7" fillId="2" borderId="16" xfId="0" applyFont="1" applyFill="1" applyBorder="1" applyAlignment="1">
      <alignment wrapText="1"/>
    </xf>
    <xf numFmtId="3" fontId="7" fillId="2" borderId="16" xfId="0" applyNumberFormat="1" applyFont="1" applyFill="1" applyBorder="1" applyAlignment="1">
      <alignment/>
    </xf>
    <xf numFmtId="4" fontId="7" fillId="2" borderId="16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0" fontId="0" fillId="2" borderId="35" xfId="0" applyFont="1" applyFill="1" applyBorder="1" applyAlignment="1">
      <alignment wrapText="1"/>
    </xf>
    <xf numFmtId="3" fontId="0" fillId="2" borderId="35" xfId="0" applyNumberFormat="1" applyFont="1" applyFill="1" applyBorder="1" applyAlignment="1">
      <alignment/>
    </xf>
    <xf numFmtId="4" fontId="0" fillId="2" borderId="35" xfId="0" applyNumberFormat="1" applyFont="1" applyFill="1" applyBorder="1" applyAlignment="1">
      <alignment/>
    </xf>
    <xf numFmtId="10" fontId="0" fillId="2" borderId="35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10" fontId="7" fillId="2" borderId="1" xfId="0" applyNumberFormat="1" applyFont="1" applyFill="1" applyBorder="1" applyAlignment="1">
      <alignment/>
    </xf>
    <xf numFmtId="3" fontId="7" fillId="2" borderId="34" xfId="0" applyNumberFormat="1" applyFont="1" applyFill="1" applyBorder="1" applyAlignment="1">
      <alignment/>
    </xf>
    <xf numFmtId="4" fontId="7" fillId="2" borderId="34" xfId="0" applyNumberFormat="1" applyFont="1" applyFill="1" applyBorder="1" applyAlignment="1">
      <alignment/>
    </xf>
    <xf numFmtId="10" fontId="0" fillId="2" borderId="34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4" fontId="7" fillId="2" borderId="8" xfId="0" applyNumberFormat="1" applyFont="1" applyFill="1" applyBorder="1" applyAlignment="1">
      <alignment/>
    </xf>
    <xf numFmtId="10" fontId="7" fillId="2" borderId="8" xfId="0" applyNumberFormat="1" applyFont="1" applyFill="1" applyBorder="1" applyAlignment="1">
      <alignment/>
    </xf>
    <xf numFmtId="0" fontId="0" fillId="2" borderId="34" xfId="0" applyFont="1" applyFill="1" applyBorder="1" applyAlignment="1">
      <alignment wrapText="1"/>
    </xf>
    <xf numFmtId="3" fontId="0" fillId="2" borderId="34" xfId="0" applyNumberFormat="1" applyFont="1" applyFill="1" applyBorder="1" applyAlignment="1">
      <alignment/>
    </xf>
    <xf numFmtId="4" fontId="0" fillId="2" borderId="34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0" fontId="7" fillId="2" borderId="5" xfId="0" applyFont="1" applyFill="1" applyBorder="1" applyAlignment="1">
      <alignment wrapText="1"/>
    </xf>
    <xf numFmtId="3" fontId="7" fillId="2" borderId="5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10" fontId="7" fillId="2" borderId="16" xfId="0" applyNumberFormat="1" applyFont="1" applyFill="1" applyBorder="1" applyAlignment="1">
      <alignment/>
    </xf>
    <xf numFmtId="10" fontId="7" fillId="2" borderId="34" xfId="0" applyNumberFormat="1" applyFont="1" applyFill="1" applyBorder="1" applyAlignment="1">
      <alignment/>
    </xf>
    <xf numFmtId="0" fontId="7" fillId="2" borderId="34" xfId="0" applyFont="1" applyFill="1" applyBorder="1" applyAlignment="1">
      <alignment wrapText="1"/>
    </xf>
    <xf numFmtId="3" fontId="7" fillId="2" borderId="34" xfId="0" applyNumberFormat="1" applyFont="1" applyFill="1" applyBorder="1" applyAlignment="1">
      <alignment/>
    </xf>
    <xf numFmtId="4" fontId="7" fillId="2" borderId="34" xfId="0" applyNumberFormat="1" applyFont="1" applyFill="1" applyBorder="1" applyAlignment="1">
      <alignment/>
    </xf>
    <xf numFmtId="10" fontId="7" fillId="2" borderId="34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0" fontId="7" fillId="2" borderId="21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0" fillId="2" borderId="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4" fontId="7" fillId="2" borderId="21" xfId="0" applyNumberFormat="1" applyFont="1" applyFill="1" applyBorder="1" applyAlignment="1">
      <alignment/>
    </xf>
    <xf numFmtId="10" fontId="7" fillId="2" borderId="21" xfId="0" applyNumberFormat="1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3" fontId="7" fillId="2" borderId="16" xfId="0" applyNumberFormat="1" applyFont="1" applyFill="1" applyBorder="1" applyAlignment="1">
      <alignment/>
    </xf>
    <xf numFmtId="4" fontId="7" fillId="2" borderId="16" xfId="0" applyNumberFormat="1" applyFont="1" applyFill="1" applyBorder="1" applyAlignment="1">
      <alignment/>
    </xf>
    <xf numFmtId="10" fontId="1" fillId="2" borderId="16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3" fontId="0" fillId="2" borderId="36" xfId="0" applyNumberFormat="1" applyFont="1" applyFill="1" applyBorder="1" applyAlignment="1">
      <alignment/>
    </xf>
    <xf numFmtId="4" fontId="0" fillId="2" borderId="36" xfId="0" applyNumberFormat="1" applyFont="1" applyFill="1" applyBorder="1" applyAlignment="1">
      <alignment/>
    </xf>
    <xf numFmtId="10" fontId="0" fillId="2" borderId="36" xfId="0" applyNumberFormat="1" applyFont="1" applyFill="1" applyBorder="1" applyAlignment="1">
      <alignment/>
    </xf>
    <xf numFmtId="0" fontId="0" fillId="2" borderId="37" xfId="0" applyFont="1" applyFill="1" applyBorder="1" applyAlignment="1">
      <alignment/>
    </xf>
    <xf numFmtId="3" fontId="0" fillId="2" borderId="37" xfId="0" applyNumberFormat="1" applyFont="1" applyFill="1" applyBorder="1" applyAlignment="1">
      <alignment/>
    </xf>
    <xf numFmtId="4" fontId="0" fillId="2" borderId="37" xfId="0" applyNumberFormat="1" applyFont="1" applyFill="1" applyBorder="1" applyAlignment="1">
      <alignment/>
    </xf>
    <xf numFmtId="10" fontId="0" fillId="2" borderId="37" xfId="0" applyNumberFormat="1" applyFont="1" applyFill="1" applyBorder="1" applyAlignment="1">
      <alignment/>
    </xf>
    <xf numFmtId="0" fontId="0" fillId="2" borderId="38" xfId="0" applyFont="1" applyFill="1" applyBorder="1" applyAlignment="1">
      <alignment/>
    </xf>
    <xf numFmtId="3" fontId="0" fillId="2" borderId="38" xfId="0" applyNumberFormat="1" applyFont="1" applyFill="1" applyBorder="1" applyAlignment="1">
      <alignment/>
    </xf>
    <xf numFmtId="4" fontId="0" fillId="2" borderId="38" xfId="0" applyNumberFormat="1" applyFont="1" applyFill="1" applyBorder="1" applyAlignment="1">
      <alignment/>
    </xf>
    <xf numFmtId="10" fontId="0" fillId="2" borderId="38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3" fontId="0" fillId="2" borderId="39" xfId="0" applyNumberFormat="1" applyFont="1" applyFill="1" applyBorder="1" applyAlignment="1">
      <alignment/>
    </xf>
    <xf numFmtId="4" fontId="0" fillId="2" borderId="39" xfId="0" applyNumberFormat="1" applyFont="1" applyFill="1" applyBorder="1" applyAlignment="1">
      <alignment/>
    </xf>
    <xf numFmtId="10" fontId="0" fillId="2" borderId="39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23" xfId="0" applyFont="1" applyFill="1" applyBorder="1" applyAlignment="1">
      <alignment wrapText="1"/>
    </xf>
    <xf numFmtId="3" fontId="0" fillId="2" borderId="23" xfId="0" applyNumberFormat="1" applyFont="1" applyFill="1" applyBorder="1" applyAlignment="1">
      <alignment/>
    </xf>
    <xf numFmtId="4" fontId="0" fillId="2" borderId="23" xfId="0" applyNumberFormat="1" applyFont="1" applyFill="1" applyBorder="1" applyAlignment="1">
      <alignment/>
    </xf>
    <xf numFmtId="10" fontId="0" fillId="2" borderId="23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4" fontId="7" fillId="2" borderId="23" xfId="0" applyNumberFormat="1" applyFont="1" applyFill="1" applyBorder="1" applyAlignment="1">
      <alignment/>
    </xf>
    <xf numFmtId="10" fontId="7" fillId="2" borderId="2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0" fontId="0" fillId="2" borderId="21" xfId="0" applyNumberFormat="1" applyFont="1" applyFill="1" applyBorder="1" applyAlignment="1">
      <alignment/>
    </xf>
    <xf numFmtId="10" fontId="7" fillId="2" borderId="1" xfId="0" applyNumberFormat="1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0" borderId="40" xfId="0" applyFont="1" applyBorder="1" applyAlignment="1">
      <alignment/>
    </xf>
    <xf numFmtId="0" fontId="1" fillId="2" borderId="14" xfId="0" applyFont="1" applyFill="1" applyBorder="1" applyAlignment="1">
      <alignment wrapText="1"/>
    </xf>
    <xf numFmtId="3" fontId="1" fillId="2" borderId="14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/>
    </xf>
    <xf numFmtId="0" fontId="0" fillId="2" borderId="41" xfId="0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0" fontId="7" fillId="2" borderId="7" xfId="0" applyNumberFormat="1" applyFont="1" applyFill="1" applyBorder="1" applyAlignment="1">
      <alignment/>
    </xf>
    <xf numFmtId="0" fontId="0" fillId="2" borderId="9" xfId="0" applyFont="1" applyFill="1" applyBorder="1" applyAlignment="1">
      <alignment wrapText="1"/>
    </xf>
    <xf numFmtId="3" fontId="0" fillId="2" borderId="35" xfId="0" applyNumberFormat="1" applyFont="1" applyFill="1" applyBorder="1" applyAlignment="1">
      <alignment/>
    </xf>
    <xf numFmtId="4" fontId="0" fillId="2" borderId="35" xfId="0" applyNumberFormat="1" applyFont="1" applyFill="1" applyBorder="1" applyAlignment="1">
      <alignment/>
    </xf>
    <xf numFmtId="10" fontId="0" fillId="2" borderId="35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10" fontId="10" fillId="2" borderId="1" xfId="0" applyNumberFormat="1" applyFont="1" applyFill="1" applyBorder="1" applyAlignment="1">
      <alignment/>
    </xf>
    <xf numFmtId="0" fontId="1" fillId="2" borderId="19" xfId="0" applyFont="1" applyFill="1" applyBorder="1" applyAlignment="1" quotePrefix="1">
      <alignment/>
    </xf>
    <xf numFmtId="0" fontId="1" fillId="2" borderId="42" xfId="0" applyFont="1" applyFill="1" applyBorder="1" applyAlignment="1">
      <alignment wrapText="1"/>
    </xf>
    <xf numFmtId="3" fontId="1" fillId="2" borderId="42" xfId="0" applyNumberFormat="1" applyFont="1" applyFill="1" applyBorder="1" applyAlignment="1">
      <alignment/>
    </xf>
    <xf numFmtId="4" fontId="1" fillId="2" borderId="42" xfId="0" applyNumberFormat="1" applyFont="1" applyFill="1" applyBorder="1" applyAlignment="1">
      <alignment/>
    </xf>
    <xf numFmtId="10" fontId="1" fillId="2" borderId="42" xfId="0" applyNumberFormat="1" applyFont="1" applyFill="1" applyBorder="1" applyAlignment="1">
      <alignment/>
    </xf>
    <xf numFmtId="0" fontId="1" fillId="2" borderId="7" xfId="0" applyFont="1" applyFill="1" applyBorder="1" applyAlignment="1" quotePrefix="1">
      <alignment/>
    </xf>
    <xf numFmtId="10" fontId="1" fillId="2" borderId="7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0" fillId="2" borderId="43" xfId="0" applyFont="1" applyFill="1" applyBorder="1" applyAlignment="1">
      <alignment wrapText="1"/>
    </xf>
    <xf numFmtId="3" fontId="0" fillId="2" borderId="43" xfId="0" applyNumberFormat="1" applyFont="1" applyFill="1" applyBorder="1" applyAlignment="1">
      <alignment/>
    </xf>
    <xf numFmtId="4" fontId="0" fillId="2" borderId="43" xfId="0" applyNumberFormat="1" applyFont="1" applyFill="1" applyBorder="1" applyAlignment="1">
      <alignment/>
    </xf>
    <xf numFmtId="10" fontId="0" fillId="2" borderId="43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0" fillId="2" borderId="2" xfId="0" applyFont="1" applyFill="1" applyBorder="1" applyAlignment="1">
      <alignment wrapText="1"/>
    </xf>
    <xf numFmtId="3" fontId="10" fillId="2" borderId="2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10" fontId="10" fillId="2" borderId="2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/>
    </xf>
    <xf numFmtId="10" fontId="1" fillId="2" borderId="42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0" fillId="2" borderId="36" xfId="0" applyFont="1" applyFill="1" applyBorder="1" applyAlignment="1">
      <alignment wrapText="1"/>
    </xf>
    <xf numFmtId="3" fontId="0" fillId="2" borderId="41" xfId="0" applyNumberFormat="1" applyFont="1" applyFill="1" applyBorder="1" applyAlignment="1">
      <alignment/>
    </xf>
    <xf numFmtId="4" fontId="0" fillId="2" borderId="41" xfId="0" applyNumberFormat="1" applyFont="1" applyFill="1" applyBorder="1" applyAlignment="1">
      <alignment/>
    </xf>
    <xf numFmtId="10" fontId="0" fillId="2" borderId="41" xfId="0" applyNumberFormat="1" applyFont="1" applyFill="1" applyBorder="1" applyAlignment="1">
      <alignment/>
    </xf>
    <xf numFmtId="0" fontId="0" fillId="2" borderId="37" xfId="0" applyFont="1" applyFill="1" applyBorder="1" applyAlignment="1">
      <alignment wrapText="1"/>
    </xf>
    <xf numFmtId="0" fontId="0" fillId="2" borderId="44" xfId="0" applyFont="1" applyFill="1" applyBorder="1" applyAlignment="1">
      <alignment wrapText="1"/>
    </xf>
    <xf numFmtId="3" fontId="0" fillId="2" borderId="44" xfId="0" applyNumberFormat="1" applyFont="1" applyFill="1" applyBorder="1" applyAlignment="1">
      <alignment/>
    </xf>
    <xf numFmtId="4" fontId="0" fillId="2" borderId="44" xfId="0" applyNumberFormat="1" applyFont="1" applyFill="1" applyBorder="1" applyAlignment="1">
      <alignment/>
    </xf>
    <xf numFmtId="10" fontId="0" fillId="2" borderId="4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2" borderId="49" xfId="0" applyFont="1" applyFill="1" applyBorder="1" applyAlignment="1">
      <alignment horizontal="center"/>
    </xf>
    <xf numFmtId="3" fontId="2" fillId="2" borderId="49" xfId="0" applyNumberFormat="1" applyFont="1" applyFill="1" applyBorder="1" applyAlignment="1">
      <alignment/>
    </xf>
    <xf numFmtId="4" fontId="2" fillId="2" borderId="49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4" fontId="2" fillId="2" borderId="26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0" fontId="6" fillId="0" borderId="6" xfId="0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4" fontId="6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3" borderId="50" xfId="0" applyFont="1" applyFill="1" applyBorder="1" applyAlignment="1">
      <alignment/>
    </xf>
    <xf numFmtId="0" fontId="5" fillId="3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1" fontId="5" fillId="0" borderId="28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22" fillId="0" borderId="4" xfId="0" applyNumberFormat="1" applyFont="1" applyBorder="1" applyAlignment="1">
      <alignment horizontal="center"/>
    </xf>
    <xf numFmtId="1" fontId="22" fillId="3" borderId="4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58" xfId="0" applyNumberFormat="1" applyFont="1" applyBorder="1" applyAlignment="1">
      <alignment horizontal="center"/>
    </xf>
    <xf numFmtId="1" fontId="22" fillId="0" borderId="59" xfId="0" applyNumberFormat="1" applyFont="1" applyBorder="1" applyAlignment="1">
      <alignment horizontal="center"/>
    </xf>
    <xf numFmtId="1" fontId="22" fillId="3" borderId="58" xfId="0" applyNumberFormat="1" applyFont="1" applyFill="1" applyBorder="1" applyAlignment="1">
      <alignment horizontal="center"/>
    </xf>
    <xf numFmtId="1" fontId="22" fillId="3" borderId="59" xfId="0" applyNumberFormat="1" applyFont="1" applyFill="1" applyBorder="1" applyAlignment="1">
      <alignment horizontal="center"/>
    </xf>
    <xf numFmtId="1" fontId="22" fillId="3" borderId="15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4" fontId="2" fillId="3" borderId="60" xfId="0" applyNumberFormat="1" applyFont="1" applyFill="1" applyBorder="1" applyAlignment="1">
      <alignment/>
    </xf>
    <xf numFmtId="4" fontId="2" fillId="3" borderId="61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10" fontId="2" fillId="0" borderId="19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4" fontId="6" fillId="3" borderId="62" xfId="0" applyNumberFormat="1" applyFont="1" applyFill="1" applyBorder="1" applyAlignment="1">
      <alignment/>
    </xf>
    <xf numFmtId="4" fontId="6" fillId="3" borderId="3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10" fontId="6" fillId="0" borderId="1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4" fontId="5" fillId="3" borderId="63" xfId="0" applyNumberFormat="1" applyFont="1" applyFill="1" applyBorder="1" applyAlignment="1">
      <alignment/>
    </xf>
    <xf numFmtId="4" fontId="5" fillId="3" borderId="64" xfId="0" applyNumberFormat="1" applyFont="1" applyFill="1" applyBorder="1" applyAlignment="1">
      <alignment/>
    </xf>
    <xf numFmtId="10" fontId="5" fillId="0" borderId="64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4" fontId="5" fillId="0" borderId="60" xfId="0" applyNumberFormat="1" applyFont="1" applyFill="1" applyBorder="1" applyAlignment="1">
      <alignment/>
    </xf>
    <xf numFmtId="4" fontId="5" fillId="0" borderId="61" xfId="0" applyNumberFormat="1" applyFont="1" applyFill="1" applyBorder="1" applyAlignment="1">
      <alignment/>
    </xf>
    <xf numFmtId="10" fontId="5" fillId="0" borderId="61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1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 wrapText="1"/>
    </xf>
    <xf numFmtId="3" fontId="5" fillId="0" borderId="6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10" fontId="5" fillId="0" borderId="7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6" fillId="0" borderId="66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9" xfId="0" applyNumberFormat="1" applyFont="1" applyBorder="1" applyAlignment="1">
      <alignment horizontal="left" wrapText="1"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10" fontId="6" fillId="0" borderId="9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4" fontId="6" fillId="0" borderId="3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wrapText="1"/>
    </xf>
    <xf numFmtId="3" fontId="5" fillId="0" borderId="7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4" fontId="6" fillId="0" borderId="71" xfId="0" applyNumberFormat="1" applyFont="1" applyFill="1" applyBorder="1" applyAlignment="1">
      <alignment/>
    </xf>
    <xf numFmtId="4" fontId="6" fillId="0" borderId="67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4" fontId="6" fillId="0" borderId="5" xfId="0" applyNumberFormat="1" applyFont="1" applyFill="1" applyBorder="1" applyAlignment="1">
      <alignment/>
    </xf>
    <xf numFmtId="10" fontId="6" fillId="0" borderId="5" xfId="0" applyNumberFormat="1" applyFont="1" applyFill="1" applyBorder="1" applyAlignment="1">
      <alignment/>
    </xf>
    <xf numFmtId="3" fontId="6" fillId="0" borderId="72" xfId="0" applyNumberFormat="1" applyFont="1" applyBorder="1" applyAlignment="1">
      <alignment/>
    </xf>
    <xf numFmtId="4" fontId="6" fillId="0" borderId="72" xfId="0" applyNumberFormat="1" applyFont="1" applyFill="1" applyBorder="1" applyAlignment="1">
      <alignment/>
    </xf>
    <xf numFmtId="3" fontId="6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3" fontId="6" fillId="0" borderId="72" xfId="0" applyNumberFormat="1" applyFont="1" applyFill="1" applyBorder="1" applyAlignment="1">
      <alignment/>
    </xf>
    <xf numFmtId="4" fontId="6" fillId="0" borderId="72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3" fontId="6" fillId="0" borderId="9" xfId="0" applyNumberFormat="1" applyFont="1" applyBorder="1" applyAlignment="1">
      <alignment wrapText="1"/>
    </xf>
    <xf numFmtId="3" fontId="6" fillId="0" borderId="68" xfId="0" applyNumberFormat="1" applyFont="1" applyFill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4" fontId="6" fillId="0" borderId="68" xfId="0" applyNumberFormat="1" applyFont="1" applyFill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10" fontId="6" fillId="0" borderId="9" xfId="0" applyNumberFormat="1" applyFont="1" applyBorder="1" applyAlignment="1">
      <alignment/>
    </xf>
    <xf numFmtId="10" fontId="6" fillId="0" borderId="9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3" fontId="6" fillId="0" borderId="16" xfId="0" applyNumberFormat="1" applyFont="1" applyBorder="1" applyAlignment="1">
      <alignment wrapText="1"/>
    </xf>
    <xf numFmtId="3" fontId="6" fillId="0" borderId="73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4" fontId="6" fillId="0" borderId="73" xfId="0" applyNumberFormat="1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3" fontId="6" fillId="0" borderId="2" xfId="0" applyNumberFormat="1" applyFont="1" applyBorder="1" applyAlignment="1">
      <alignment wrapText="1"/>
    </xf>
    <xf numFmtId="3" fontId="6" fillId="0" borderId="74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4" fontId="6" fillId="0" borderId="74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0" fontId="6" fillId="0" borderId="9" xfId="0" applyFont="1" applyBorder="1" applyAlignment="1">
      <alignment horizontal="left" wrapText="1"/>
    </xf>
    <xf numFmtId="3" fontId="6" fillId="4" borderId="72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 wrapText="1"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4" fontId="6" fillId="0" borderId="72" xfId="0" applyNumberFormat="1" applyFont="1" applyBorder="1" applyAlignment="1">
      <alignment/>
    </xf>
    <xf numFmtId="4" fontId="6" fillId="0" borderId="75" xfId="0" applyNumberFormat="1" applyFont="1" applyBorder="1" applyAlignment="1">
      <alignment/>
    </xf>
    <xf numFmtId="3" fontId="6" fillId="0" borderId="5" xfId="0" applyNumberFormat="1" applyFont="1" applyFill="1" applyBorder="1" applyAlignment="1">
      <alignment wrapText="1"/>
    </xf>
    <xf numFmtId="1" fontId="5" fillId="0" borderId="6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4" fontId="5" fillId="0" borderId="76" xfId="0" applyNumberFormat="1" applyFont="1" applyBorder="1" applyAlignment="1">
      <alignment/>
    </xf>
    <xf numFmtId="10" fontId="5" fillId="0" borderId="76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4" fontId="6" fillId="0" borderId="72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4" fontId="5" fillId="0" borderId="76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6" fillId="0" borderId="16" xfId="0" applyFont="1" applyFill="1" applyBorder="1" applyAlignment="1">
      <alignment wrapText="1"/>
    </xf>
    <xf numFmtId="1" fontId="5" fillId="5" borderId="6" xfId="0" applyNumberFormat="1" applyFont="1" applyFill="1" applyBorder="1" applyAlignment="1">
      <alignment/>
    </xf>
    <xf numFmtId="3" fontId="5" fillId="5" borderId="7" xfId="0" applyNumberFormat="1" applyFont="1" applyFill="1" applyBorder="1" applyAlignment="1">
      <alignment/>
    </xf>
    <xf numFmtId="3" fontId="5" fillId="5" borderId="70" xfId="0" applyNumberFormat="1" applyFont="1" applyFill="1" applyBorder="1" applyAlignment="1">
      <alignment/>
    </xf>
    <xf numFmtId="3" fontId="5" fillId="5" borderId="76" xfId="0" applyNumberFormat="1" applyFont="1" applyFill="1" applyBorder="1" applyAlignment="1">
      <alignment/>
    </xf>
    <xf numFmtId="4" fontId="5" fillId="5" borderId="70" xfId="0" applyNumberFormat="1" applyFont="1" applyFill="1" applyBorder="1" applyAlignment="1">
      <alignment/>
    </xf>
    <xf numFmtId="4" fontId="5" fillId="5" borderId="76" xfId="0" applyNumberFormat="1" applyFont="1" applyFill="1" applyBorder="1" applyAlignment="1">
      <alignment/>
    </xf>
    <xf numFmtId="10" fontId="5" fillId="5" borderId="76" xfId="0" applyNumberFormat="1" applyFont="1" applyFill="1" applyBorder="1" applyAlignment="1">
      <alignment/>
    </xf>
    <xf numFmtId="10" fontId="5" fillId="5" borderId="0" xfId="0" applyNumberFormat="1" applyFont="1" applyFill="1" applyBorder="1" applyAlignment="1">
      <alignment/>
    </xf>
    <xf numFmtId="1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wrapText="1"/>
    </xf>
    <xf numFmtId="3" fontId="6" fillId="0" borderId="70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4" fontId="6" fillId="0" borderId="70" xfId="0" applyNumberFormat="1" applyFont="1" applyBorder="1" applyAlignment="1">
      <alignment/>
    </xf>
    <xf numFmtId="4" fontId="6" fillId="0" borderId="7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 wrapText="1"/>
    </xf>
    <xf numFmtId="3" fontId="6" fillId="0" borderId="65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" fontId="6" fillId="0" borderId="65" xfId="0" applyNumberFormat="1" applyFont="1" applyBorder="1" applyAlignment="1">
      <alignment/>
    </xf>
    <xf numFmtId="4" fontId="6" fillId="0" borderId="77" xfId="0" applyNumberFormat="1" applyFont="1" applyBorder="1" applyAlignment="1">
      <alignment/>
    </xf>
    <xf numFmtId="10" fontId="6" fillId="0" borderId="7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78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4" fontId="5" fillId="0" borderId="78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10" fontId="5" fillId="0" borderId="32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4" fontId="5" fillId="0" borderId="65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10" fontId="5" fillId="0" borderId="3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" fontId="6" fillId="0" borderId="7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 wrapText="1"/>
    </xf>
    <xf numFmtId="3" fontId="6" fillId="0" borderId="70" xfId="0" applyNumberFormat="1" applyFont="1" applyFill="1" applyBorder="1" applyAlignment="1">
      <alignment/>
    </xf>
    <xf numFmtId="3" fontId="6" fillId="0" borderId="7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4" fontId="6" fillId="0" borderId="70" xfId="0" applyNumberFormat="1" applyFont="1" applyFill="1" applyBorder="1" applyAlignment="1">
      <alignment/>
    </xf>
    <xf numFmtId="4" fontId="6" fillId="0" borderId="7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10" fontId="6" fillId="0" borderId="76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10" fontId="5" fillId="0" borderId="33" xfId="0" applyNumberFormat="1" applyFont="1" applyBorder="1" applyAlignment="1">
      <alignment/>
    </xf>
    <xf numFmtId="10" fontId="5" fillId="0" borderId="76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4" fontId="6" fillId="0" borderId="66" xfId="0" applyNumberFormat="1" applyFont="1" applyFill="1" applyBorder="1" applyAlignment="1">
      <alignment/>
    </xf>
    <xf numFmtId="4" fontId="6" fillId="0" borderId="62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4" fontId="6" fillId="0" borderId="65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10" fontId="6" fillId="0" borderId="7" xfId="0" applyNumberFormat="1" applyFont="1" applyBorder="1" applyAlignment="1">
      <alignment/>
    </xf>
    <xf numFmtId="1" fontId="5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wrapText="1"/>
    </xf>
    <xf numFmtId="1" fontId="6" fillId="0" borderId="6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4" fontId="6" fillId="0" borderId="66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10" fontId="6" fillId="0" borderId="54" xfId="0" applyNumberFormat="1" applyFont="1" applyBorder="1" applyAlignment="1">
      <alignment/>
    </xf>
    <xf numFmtId="10" fontId="6" fillId="0" borderId="6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 wrapText="1"/>
    </xf>
    <xf numFmtId="3" fontId="6" fillId="0" borderId="72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4" fontId="6" fillId="0" borderId="72" xfId="0" applyNumberFormat="1" applyFont="1" applyBorder="1" applyAlignment="1">
      <alignment/>
    </xf>
    <xf numFmtId="4" fontId="6" fillId="0" borderId="75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0" fontId="6" fillId="0" borderId="75" xfId="0" applyNumberFormat="1" applyFont="1" applyBorder="1" applyAlignment="1">
      <alignment/>
    </xf>
    <xf numFmtId="1" fontId="5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>
      <alignment/>
    </xf>
    <xf numFmtId="10" fontId="6" fillId="0" borderId="6" xfId="0" applyNumberFormat="1" applyFont="1" applyFill="1" applyBorder="1" applyAlignment="1">
      <alignment/>
    </xf>
    <xf numFmtId="3" fontId="5" fillId="0" borderId="78" xfId="0" applyNumberFormat="1" applyFont="1" applyFill="1" applyBorder="1" applyAlignment="1">
      <alignment/>
    </xf>
    <xf numFmtId="4" fontId="5" fillId="0" borderId="78" xfId="0" applyNumberFormat="1" applyFont="1" applyFill="1" applyBorder="1" applyAlignment="1">
      <alignment/>
    </xf>
    <xf numFmtId="3" fontId="6" fillId="0" borderId="79" xfId="0" applyNumberFormat="1" applyFont="1" applyBorder="1" applyAlignment="1">
      <alignment/>
    </xf>
    <xf numFmtId="4" fontId="6" fillId="0" borderId="71" xfId="0" applyNumberFormat="1" applyFont="1" applyBorder="1" applyAlignment="1">
      <alignment/>
    </xf>
    <xf numFmtId="4" fontId="6" fillId="0" borderId="79" xfId="0" applyNumberFormat="1" applyFont="1" applyBorder="1" applyAlignment="1">
      <alignment/>
    </xf>
    <xf numFmtId="3" fontId="6" fillId="0" borderId="8" xfId="0" applyNumberFormat="1" applyFont="1" applyBorder="1" applyAlignment="1">
      <alignment wrapText="1"/>
    </xf>
    <xf numFmtId="3" fontId="6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3" fontId="5" fillId="0" borderId="76" xfId="0" applyNumberFormat="1" applyFont="1" applyBorder="1" applyAlignment="1" quotePrefix="1">
      <alignment/>
    </xf>
    <xf numFmtId="4" fontId="5" fillId="0" borderId="76" xfId="0" applyNumberFormat="1" applyFont="1" applyBorder="1" applyAlignment="1" quotePrefix="1">
      <alignment/>
    </xf>
    <xf numFmtId="10" fontId="6" fillId="0" borderId="79" xfId="0" applyNumberFormat="1" applyFont="1" applyBorder="1" applyAlignment="1">
      <alignment/>
    </xf>
    <xf numFmtId="10" fontId="6" fillId="0" borderId="75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4" fontId="6" fillId="0" borderId="73" xfId="0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4" fontId="5" fillId="0" borderId="76" xfId="0" applyNumberFormat="1" applyFont="1" applyBorder="1" applyAlignment="1">
      <alignment/>
    </xf>
    <xf numFmtId="10" fontId="5" fillId="0" borderId="76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wrapText="1"/>
    </xf>
    <xf numFmtId="3" fontId="6" fillId="0" borderId="7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4" fontId="6" fillId="0" borderId="74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10" fontId="6" fillId="0" borderId="54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7" xfId="0" applyNumberFormat="1" applyFont="1" applyBorder="1" applyAlignment="1">
      <alignment/>
    </xf>
    <xf numFmtId="3" fontId="6" fillId="0" borderId="16" xfId="0" applyNumberFormat="1" applyFont="1" applyBorder="1" applyAlignment="1">
      <alignment wrapText="1"/>
    </xf>
    <xf numFmtId="3" fontId="6" fillId="0" borderId="73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4" fontId="6" fillId="0" borderId="73" xfId="0" applyNumberFormat="1" applyFont="1" applyBorder="1" applyAlignment="1">
      <alignment/>
    </xf>
    <xf numFmtId="4" fontId="6" fillId="0" borderId="77" xfId="0" applyNumberFormat="1" applyFont="1" applyBorder="1" applyAlignment="1">
      <alignment/>
    </xf>
    <xf numFmtId="10" fontId="6" fillId="0" borderId="77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5" fillId="0" borderId="74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4" fontId="5" fillId="0" borderId="74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4" fontId="6" fillId="0" borderId="70" xfId="0" applyNumberFormat="1" applyFont="1" applyBorder="1" applyAlignment="1">
      <alignment/>
    </xf>
    <xf numFmtId="4" fontId="6" fillId="0" borderId="76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10" fontId="5" fillId="0" borderId="3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4" fontId="6" fillId="0" borderId="74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10" fontId="6" fillId="0" borderId="54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10" fontId="6" fillId="0" borderId="67" xfId="0" applyNumberFormat="1" applyFont="1" applyBorder="1" applyAlignment="1">
      <alignment/>
    </xf>
    <xf numFmtId="10" fontId="6" fillId="0" borderId="77" xfId="0" applyNumberFormat="1" applyFont="1" applyBorder="1" applyAlignment="1">
      <alignment/>
    </xf>
    <xf numFmtId="3" fontId="5" fillId="0" borderId="32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10" fontId="5" fillId="0" borderId="32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left"/>
    </xf>
    <xf numFmtId="3" fontId="6" fillId="0" borderId="66" xfId="0" applyNumberFormat="1" applyFont="1" applyBorder="1" applyAlignment="1">
      <alignment/>
    </xf>
    <xf numFmtId="4" fontId="6" fillId="0" borderId="66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 horizontal="left"/>
    </xf>
    <xf numFmtId="3" fontId="6" fillId="0" borderId="72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4" fontId="6" fillId="0" borderId="72" xfId="0" applyNumberFormat="1" applyFont="1" applyBorder="1" applyAlignment="1">
      <alignment/>
    </xf>
    <xf numFmtId="4" fontId="6" fillId="0" borderId="75" xfId="0" applyNumberFormat="1" applyFont="1" applyBorder="1" applyAlignment="1">
      <alignment/>
    </xf>
    <xf numFmtId="4" fontId="5" fillId="0" borderId="7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6" fillId="0" borderId="7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left" wrapText="1"/>
    </xf>
    <xf numFmtId="3" fontId="6" fillId="0" borderId="9" xfId="0" applyNumberFormat="1" applyFont="1" applyBorder="1" applyAlignment="1">
      <alignment horizontal="left" wrapText="1"/>
    </xf>
    <xf numFmtId="10" fontId="6" fillId="0" borderId="31" xfId="0" applyNumberFormat="1" applyFont="1" applyBorder="1" applyAlignment="1">
      <alignment/>
    </xf>
    <xf numFmtId="3" fontId="6" fillId="0" borderId="7" xfId="0" applyNumberFormat="1" applyFont="1" applyBorder="1" applyAlignment="1">
      <alignment horizontal="left"/>
    </xf>
    <xf numFmtId="3" fontId="6" fillId="0" borderId="65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" fontId="6" fillId="0" borderId="65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10" fontId="6" fillId="0" borderId="69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3" fontId="6" fillId="0" borderId="5" xfId="0" applyNumberFormat="1" applyFont="1" applyBorder="1" applyAlignment="1">
      <alignment horizontal="left" wrapText="1"/>
    </xf>
    <xf numFmtId="1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6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6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10" fontId="5" fillId="0" borderId="31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4" fontId="5" fillId="0" borderId="77" xfId="0" applyNumberFormat="1" applyFont="1" applyBorder="1" applyAlignment="1">
      <alignment/>
    </xf>
    <xf numFmtId="10" fontId="5" fillId="0" borderId="77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3" fontId="6" fillId="0" borderId="16" xfId="0" applyNumberFormat="1" applyFont="1" applyBorder="1" applyAlignment="1">
      <alignment wrapText="1"/>
    </xf>
    <xf numFmtId="3" fontId="6" fillId="0" borderId="73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4" fontId="6" fillId="0" borderId="73" xfId="0" applyNumberFormat="1" applyFont="1" applyBorder="1" applyAlignment="1">
      <alignment/>
    </xf>
    <xf numFmtId="4" fontId="6" fillId="0" borderId="77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5" fillId="0" borderId="75" xfId="0" applyNumberFormat="1" applyFont="1" applyBorder="1" applyAlignment="1">
      <alignment/>
    </xf>
    <xf numFmtId="10" fontId="6" fillId="0" borderId="76" xfId="0" applyNumberFormat="1" applyFont="1" applyBorder="1" applyAlignment="1">
      <alignment/>
    </xf>
    <xf numFmtId="3" fontId="6" fillId="0" borderId="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/>
    </xf>
    <xf numFmtId="3" fontId="6" fillId="0" borderId="8" xfId="0" applyNumberFormat="1" applyFont="1" applyBorder="1" applyAlignment="1">
      <alignment wrapText="1"/>
    </xf>
    <xf numFmtId="1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 wrapText="1"/>
    </xf>
    <xf numFmtId="3" fontId="6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8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4" fontId="6" fillId="0" borderId="73" xfId="0" applyNumberFormat="1" applyFont="1" applyBorder="1" applyAlignment="1">
      <alignment/>
    </xf>
    <xf numFmtId="4" fontId="6" fillId="0" borderId="77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10" fontId="5" fillId="0" borderId="54" xfId="0" applyNumberFormat="1" applyFont="1" applyBorder="1" applyAlignment="1">
      <alignment/>
    </xf>
    <xf numFmtId="4" fontId="5" fillId="0" borderId="18" xfId="0" applyNumberFormat="1" applyFont="1" applyFill="1" applyBorder="1" applyAlignment="1">
      <alignment/>
    </xf>
    <xf numFmtId="10" fontId="5" fillId="0" borderId="18" xfId="0" applyNumberFormat="1" applyFont="1" applyFill="1" applyBorder="1" applyAlignment="1">
      <alignment/>
    </xf>
    <xf numFmtId="1" fontId="5" fillId="0" borderId="2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" fontId="24" fillId="0" borderId="7" xfId="0" applyNumberFormat="1" applyFont="1" applyBorder="1" applyAlignment="1">
      <alignment/>
    </xf>
    <xf numFmtId="3" fontId="24" fillId="0" borderId="2" xfId="0" applyNumberFormat="1" applyFont="1" applyBorder="1" applyAlignment="1">
      <alignment wrapText="1"/>
    </xf>
    <xf numFmtId="3" fontId="24" fillId="0" borderId="74" xfId="0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4" fontId="24" fillId="0" borderId="74" xfId="0" applyNumberFormat="1" applyFont="1" applyBorder="1" applyAlignment="1">
      <alignment/>
    </xf>
    <xf numFmtId="4" fontId="24" fillId="0" borderId="54" xfId="0" applyNumberFormat="1" applyFont="1" applyBorder="1" applyAlignment="1">
      <alignment/>
    </xf>
    <xf numFmtId="4" fontId="24" fillId="0" borderId="2" xfId="0" applyNumberFormat="1" applyFont="1" applyBorder="1" applyAlignment="1">
      <alignment/>
    </xf>
    <xf numFmtId="10" fontId="24" fillId="0" borderId="2" xfId="0" applyNumberFormat="1" applyFont="1" applyBorder="1" applyAlignment="1">
      <alignment/>
    </xf>
    <xf numFmtId="10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5" fillId="0" borderId="26" xfId="0" applyNumberFormat="1" applyFont="1" applyFill="1" applyBorder="1" applyAlignment="1">
      <alignment wrapText="1"/>
    </xf>
    <xf numFmtId="3" fontId="5" fillId="0" borderId="81" xfId="0" applyNumberFormat="1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4" fontId="5" fillId="0" borderId="81" xfId="0" applyNumberFormat="1" applyFont="1" applyFill="1" applyBorder="1" applyAlignment="1">
      <alignment/>
    </xf>
    <xf numFmtId="4" fontId="5" fillId="0" borderId="82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4" fontId="5" fillId="0" borderId="63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" fontId="24" fillId="0" borderId="1" xfId="0" applyNumberFormat="1" applyFont="1" applyBorder="1" applyAlignment="1">
      <alignment/>
    </xf>
    <xf numFmtId="3" fontId="24" fillId="0" borderId="7" xfId="0" applyNumberFormat="1" applyFont="1" applyBorder="1" applyAlignment="1">
      <alignment wrapText="1"/>
    </xf>
    <xf numFmtId="3" fontId="24" fillId="0" borderId="65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7" xfId="0" applyNumberFormat="1" applyFont="1" applyBorder="1" applyAlignment="1">
      <alignment/>
    </xf>
    <xf numFmtId="4" fontId="24" fillId="0" borderId="65" xfId="0" applyNumberFormat="1" applyFont="1" applyBorder="1" applyAlignment="1">
      <alignment/>
    </xf>
    <xf numFmtId="4" fontId="24" fillId="0" borderId="33" xfId="0" applyNumberFormat="1" applyFont="1" applyBorder="1" applyAlignment="1">
      <alignment/>
    </xf>
    <xf numFmtId="4" fontId="24" fillId="0" borderId="7" xfId="0" applyNumberFormat="1" applyFont="1" applyBorder="1" applyAlignment="1">
      <alignment/>
    </xf>
    <xf numFmtId="10" fontId="24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 wrapText="1"/>
    </xf>
    <xf numFmtId="3" fontId="24" fillId="0" borderId="6" xfId="0" applyNumberFormat="1" applyFont="1" applyBorder="1" applyAlignment="1">
      <alignment wrapText="1"/>
    </xf>
    <xf numFmtId="3" fontId="24" fillId="0" borderId="70" xfId="0" applyNumberFormat="1" applyFont="1" applyBorder="1" applyAlignment="1">
      <alignment/>
    </xf>
    <xf numFmtId="3" fontId="24" fillId="0" borderId="76" xfId="0" applyNumberFormat="1" applyFont="1" applyBorder="1" applyAlignment="1">
      <alignment/>
    </xf>
    <xf numFmtId="3" fontId="24" fillId="0" borderId="6" xfId="0" applyNumberFormat="1" applyFont="1" applyBorder="1" applyAlignment="1">
      <alignment/>
    </xf>
    <xf numFmtId="4" fontId="24" fillId="0" borderId="70" xfId="0" applyNumberFormat="1" applyFont="1" applyBorder="1" applyAlignment="1">
      <alignment/>
    </xf>
    <xf numFmtId="4" fontId="24" fillId="0" borderId="76" xfId="0" applyNumberFormat="1" applyFont="1" applyBorder="1" applyAlignment="1">
      <alignment/>
    </xf>
    <xf numFmtId="4" fontId="24" fillId="0" borderId="6" xfId="0" applyNumberFormat="1" applyFont="1" applyBorder="1" applyAlignment="1">
      <alignment/>
    </xf>
    <xf numFmtId="10" fontId="24" fillId="0" borderId="6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3" borderId="27" xfId="0" applyFont="1" applyFill="1" applyBorder="1" applyAlignment="1">
      <alignment/>
    </xf>
    <xf numFmtId="0" fontId="0" fillId="3" borderId="27" xfId="0" applyFont="1" applyFill="1" applyBorder="1" applyAlignment="1">
      <alignment wrapText="1"/>
    </xf>
    <xf numFmtId="0" fontId="1" fillId="3" borderId="27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vertical="top"/>
    </xf>
    <xf numFmtId="0" fontId="1" fillId="3" borderId="28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10" fontId="5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7" fillId="3" borderId="7" xfId="0" applyFont="1" applyFill="1" applyBorder="1" applyAlignment="1">
      <alignment/>
    </xf>
    <xf numFmtId="0" fontId="24" fillId="3" borderId="26" xfId="0" applyFont="1" applyFill="1" applyBorder="1" applyAlignment="1">
      <alignment horizontal="left" wrapText="1"/>
    </xf>
    <xf numFmtId="0" fontId="24" fillId="3" borderId="26" xfId="0" applyFont="1" applyFill="1" applyBorder="1" applyAlignment="1">
      <alignment wrapText="1"/>
    </xf>
    <xf numFmtId="0" fontId="24" fillId="3" borderId="26" xfId="0" applyFont="1" applyFill="1" applyBorder="1" applyAlignment="1">
      <alignment horizontal="center" wrapText="1"/>
    </xf>
    <xf numFmtId="3" fontId="24" fillId="3" borderId="26" xfId="0" applyNumberFormat="1" applyFont="1" applyFill="1" applyBorder="1" applyAlignment="1">
      <alignment horizontal="right"/>
    </xf>
    <xf numFmtId="4" fontId="24" fillId="3" borderId="26" xfId="0" applyNumberFormat="1" applyFont="1" applyFill="1" applyBorder="1" applyAlignment="1">
      <alignment horizontal="right"/>
    </xf>
    <xf numFmtId="10" fontId="24" fillId="3" borderId="26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5" fillId="2" borderId="19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5" fillId="2" borderId="42" xfId="0" applyFont="1" applyFill="1" applyBorder="1" applyAlignment="1">
      <alignment horizontal="center"/>
    </xf>
    <xf numFmtId="3" fontId="5" fillId="2" borderId="42" xfId="0" applyNumberFormat="1" applyFont="1" applyFill="1" applyBorder="1" applyAlignment="1">
      <alignment horizontal="right"/>
    </xf>
    <xf numFmtId="3" fontId="5" fillId="2" borderId="42" xfId="0" applyNumberFormat="1" applyFont="1" applyFill="1" applyBorder="1" applyAlignment="1">
      <alignment/>
    </xf>
    <xf numFmtId="4" fontId="5" fillId="2" borderId="42" xfId="0" applyNumberFormat="1" applyFont="1" applyFill="1" applyBorder="1" applyAlignment="1">
      <alignment horizontal="right"/>
    </xf>
    <xf numFmtId="10" fontId="5" fillId="2" borderId="42" xfId="0" applyNumberFormat="1" applyFont="1" applyFill="1" applyBorder="1" applyAlignment="1">
      <alignment horizontal="right"/>
    </xf>
    <xf numFmtId="1" fontId="5" fillId="0" borderId="7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wrapText="1"/>
    </xf>
    <xf numFmtId="10" fontId="5" fillId="0" borderId="7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wrapText="1"/>
    </xf>
    <xf numFmtId="3" fontId="22" fillId="0" borderId="2" xfId="0" applyNumberFormat="1" applyFont="1" applyFill="1" applyBorder="1" applyAlignment="1">
      <alignment horizontal="center" wrapText="1"/>
    </xf>
    <xf numFmtId="3" fontId="6" fillId="0" borderId="8" xfId="0" applyNumberFormat="1" applyFont="1" applyBorder="1" applyAlignment="1">
      <alignment wrapText="1"/>
    </xf>
    <xf numFmtId="1" fontId="6" fillId="0" borderId="8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3" fontId="28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10" fontId="5" fillId="0" borderId="6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2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2" borderId="18" xfId="0" applyFont="1" applyFill="1" applyBorder="1" applyAlignment="1">
      <alignment/>
    </xf>
    <xf numFmtId="1" fontId="6" fillId="2" borderId="18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 wrapText="1"/>
    </xf>
    <xf numFmtId="1" fontId="5" fillId="2" borderId="18" xfId="0" applyNumberFormat="1" applyFont="1" applyFill="1" applyBorder="1" applyAlignment="1">
      <alignment horizontal="center" wrapText="1"/>
    </xf>
    <xf numFmtId="3" fontId="5" fillId="2" borderId="18" xfId="0" applyNumberFormat="1" applyFont="1" applyFill="1" applyBorder="1" applyAlignment="1">
      <alignment horizontal="right" wrapText="1"/>
    </xf>
    <xf numFmtId="3" fontId="5" fillId="2" borderId="18" xfId="0" applyNumberFormat="1" applyFont="1" applyFill="1" applyBorder="1" applyAlignment="1">
      <alignment/>
    </xf>
    <xf numFmtId="4" fontId="5" fillId="2" borderId="18" xfId="0" applyNumberFormat="1" applyFont="1" applyFill="1" applyBorder="1" applyAlignment="1">
      <alignment horizontal="right" wrapText="1"/>
    </xf>
    <xf numFmtId="10" fontId="5" fillId="2" borderId="18" xfId="0" applyNumberFormat="1" applyFont="1" applyFill="1" applyBorder="1" applyAlignment="1">
      <alignment horizontal="right" wrapText="1"/>
    </xf>
    <xf numFmtId="0" fontId="10" fillId="0" borderId="7" xfId="0" applyFont="1" applyBorder="1" applyAlignment="1">
      <alignment/>
    </xf>
    <xf numFmtId="3" fontId="22" fillId="0" borderId="6" xfId="0" applyNumberFormat="1" applyFont="1" applyFill="1" applyBorder="1" applyAlignment="1">
      <alignment horizontal="center" wrapText="1"/>
    </xf>
    <xf numFmtId="1" fontId="6" fillId="0" borderId="16" xfId="0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3" fontId="22" fillId="0" borderId="6" xfId="0" applyNumberFormat="1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0" fontId="5" fillId="2" borderId="18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wrapText="1"/>
    </xf>
    <xf numFmtId="3" fontId="6" fillId="0" borderId="5" xfId="0" applyNumberFormat="1" applyFont="1" applyBorder="1" applyAlignment="1">
      <alignment wrapText="1"/>
    </xf>
    <xf numFmtId="3" fontId="22" fillId="0" borderId="5" xfId="0" applyNumberFormat="1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right" wrapText="1"/>
    </xf>
    <xf numFmtId="4" fontId="5" fillId="2" borderId="18" xfId="0" applyNumberFormat="1" applyFont="1" applyFill="1" applyBorder="1" applyAlignment="1">
      <alignment/>
    </xf>
    <xf numFmtId="10" fontId="5" fillId="2" borderId="18" xfId="0" applyNumberFormat="1" applyFont="1" applyFill="1" applyBorder="1" applyAlignment="1">
      <alignment/>
    </xf>
    <xf numFmtId="1" fontId="5" fillId="0" borderId="6" xfId="0" applyNumberFormat="1" applyFont="1" applyBorder="1" applyAlignment="1">
      <alignment horizontal="center" wrapText="1"/>
    </xf>
    <xf numFmtId="3" fontId="22" fillId="0" borderId="7" xfId="0" applyNumberFormat="1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0" fontId="6" fillId="0" borderId="6" xfId="0" applyNumberFormat="1" applyFont="1" applyBorder="1" applyAlignment="1">
      <alignment/>
    </xf>
    <xf numFmtId="0" fontId="6" fillId="2" borderId="16" xfId="0" applyFont="1" applyFill="1" applyBorder="1" applyAlignment="1">
      <alignment horizontal="left" wrapText="1"/>
    </xf>
    <xf numFmtId="3" fontId="5" fillId="2" borderId="18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0" fontId="5" fillId="0" borderId="7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right" wrapText="1"/>
    </xf>
    <xf numFmtId="3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/>
    </xf>
    <xf numFmtId="10" fontId="6" fillId="0" borderId="5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/>
    </xf>
    <xf numFmtId="10" fontId="6" fillId="0" borderId="8" xfId="0" applyNumberFormat="1" applyFont="1" applyBorder="1" applyAlignment="1">
      <alignment horizontal="right" wrapText="1"/>
    </xf>
    <xf numFmtId="0" fontId="2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right" wrapText="1"/>
    </xf>
    <xf numFmtId="3" fontId="6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/>
    </xf>
    <xf numFmtId="10" fontId="6" fillId="0" borderId="9" xfId="0" applyNumberFormat="1" applyFont="1" applyBorder="1" applyAlignment="1">
      <alignment/>
    </xf>
    <xf numFmtId="0" fontId="22" fillId="0" borderId="6" xfId="0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10" fontId="5" fillId="2" borderId="18" xfId="0" applyNumberFormat="1" applyFont="1" applyFill="1" applyBorder="1" applyAlignment="1">
      <alignment/>
    </xf>
    <xf numFmtId="10" fontId="5" fillId="0" borderId="7" xfId="0" applyNumberFormat="1" applyFont="1" applyBorder="1" applyAlignment="1">
      <alignment/>
    </xf>
    <xf numFmtId="3" fontId="22" fillId="0" borderId="8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0" fontId="5" fillId="2" borderId="6" xfId="0" applyFont="1" applyFill="1" applyBorder="1" applyAlignment="1">
      <alignment wrapText="1"/>
    </xf>
    <xf numFmtId="4" fontId="5" fillId="0" borderId="6" xfId="0" applyNumberFormat="1" applyFont="1" applyBorder="1" applyAlignment="1">
      <alignment/>
    </xf>
    <xf numFmtId="10" fontId="5" fillId="0" borderId="16" xfId="0" applyNumberFormat="1" applyFont="1" applyBorder="1" applyAlignment="1">
      <alignment/>
    </xf>
    <xf numFmtId="0" fontId="22" fillId="0" borderId="2" xfId="0" applyFont="1" applyBorder="1" applyAlignment="1">
      <alignment horizontal="center" wrapText="1"/>
    </xf>
    <xf numFmtId="10" fontId="5" fillId="0" borderId="6" xfId="0" applyNumberFormat="1" applyFont="1" applyBorder="1" applyAlignment="1">
      <alignment/>
    </xf>
    <xf numFmtId="0" fontId="24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horizontal="center" wrapText="1"/>
    </xf>
    <xf numFmtId="3" fontId="24" fillId="3" borderId="1" xfId="0" applyNumberFormat="1" applyFont="1" applyFill="1" applyBorder="1" applyAlignment="1">
      <alignment horizontal="right"/>
    </xf>
    <xf numFmtId="4" fontId="24" fillId="3" borderId="1" xfId="0" applyNumberFormat="1" applyFont="1" applyFill="1" applyBorder="1" applyAlignment="1">
      <alignment horizontal="right"/>
    </xf>
    <xf numFmtId="10" fontId="24" fillId="3" borderId="1" xfId="0" applyNumberFormat="1" applyFont="1" applyFill="1" applyBorder="1" applyAlignment="1">
      <alignment horizontal="right"/>
    </xf>
    <xf numFmtId="1" fontId="6" fillId="2" borderId="19" xfId="0" applyNumberFormat="1" applyFont="1" applyFill="1" applyBorder="1" applyAlignment="1">
      <alignment/>
    </xf>
    <xf numFmtId="3" fontId="5" fillId="2" borderId="42" xfId="0" applyNumberFormat="1" applyFont="1" applyFill="1" applyBorder="1" applyAlignment="1">
      <alignment wrapText="1"/>
    </xf>
    <xf numFmtId="3" fontId="5" fillId="2" borderId="42" xfId="0" applyNumberFormat="1" applyFont="1" applyFill="1" applyBorder="1" applyAlignment="1">
      <alignment horizontal="center" wrapText="1"/>
    </xf>
    <xf numFmtId="4" fontId="5" fillId="2" borderId="42" xfId="0" applyNumberFormat="1" applyFont="1" applyFill="1" applyBorder="1" applyAlignment="1">
      <alignment/>
    </xf>
    <xf numFmtId="10" fontId="5" fillId="2" borderId="42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left" wrapText="1"/>
    </xf>
    <xf numFmtId="3" fontId="6" fillId="0" borderId="2" xfId="0" applyNumberFormat="1" applyFont="1" applyBorder="1" applyAlignment="1">
      <alignment horizontal="center" wrapText="1"/>
    </xf>
    <xf numFmtId="10" fontId="6" fillId="0" borderId="16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right" wrapText="1"/>
    </xf>
    <xf numFmtId="0" fontId="5" fillId="3" borderId="19" xfId="0" applyFont="1" applyFill="1" applyBorder="1" applyAlignment="1">
      <alignment wrapText="1"/>
    </xf>
    <xf numFmtId="0" fontId="5" fillId="3" borderId="19" xfId="0" applyFont="1" applyFill="1" applyBorder="1" applyAlignment="1">
      <alignment horizontal="center" wrapText="1"/>
    </xf>
    <xf numFmtId="3" fontId="5" fillId="3" borderId="19" xfId="0" applyNumberFormat="1" applyFont="1" applyFill="1" applyBorder="1" applyAlignment="1">
      <alignment horizontal="right"/>
    </xf>
    <xf numFmtId="3" fontId="5" fillId="3" borderId="86" xfId="0" applyNumberFormat="1" applyFont="1" applyFill="1" applyBorder="1" applyAlignment="1">
      <alignment horizontal="right"/>
    </xf>
    <xf numFmtId="3" fontId="5" fillId="3" borderId="87" xfId="0" applyNumberFormat="1" applyFont="1" applyFill="1" applyBorder="1" applyAlignment="1">
      <alignment horizontal="right"/>
    </xf>
    <xf numFmtId="3" fontId="5" fillId="3" borderId="61" xfId="0" applyNumberFormat="1" applyFont="1" applyFill="1" applyBorder="1" applyAlignment="1">
      <alignment horizontal="right"/>
    </xf>
    <xf numFmtId="3" fontId="5" fillId="3" borderId="88" xfId="0" applyNumberFormat="1" applyFont="1" applyFill="1" applyBorder="1" applyAlignment="1">
      <alignment horizontal="right"/>
    </xf>
    <xf numFmtId="4" fontId="5" fillId="3" borderId="87" xfId="0" applyNumberFormat="1" applyFont="1" applyFill="1" applyBorder="1" applyAlignment="1">
      <alignment horizontal="right"/>
    </xf>
    <xf numFmtId="10" fontId="5" fillId="3" borderId="61" xfId="0" applyNumberFormat="1" applyFont="1" applyFill="1" applyBorder="1" applyAlignment="1">
      <alignment horizontal="right"/>
    </xf>
    <xf numFmtId="0" fontId="5" fillId="2" borderId="42" xfId="0" applyFont="1" applyFill="1" applyBorder="1" applyAlignment="1">
      <alignment/>
    </xf>
    <xf numFmtId="3" fontId="5" fillId="2" borderId="89" xfId="0" applyNumberFormat="1" applyFont="1" applyFill="1" applyBorder="1" applyAlignment="1">
      <alignment/>
    </xf>
    <xf numFmtId="3" fontId="5" fillId="2" borderId="90" xfId="0" applyNumberFormat="1" applyFont="1" applyFill="1" applyBorder="1" applyAlignment="1">
      <alignment horizontal="right"/>
    </xf>
    <xf numFmtId="4" fontId="5" fillId="2" borderId="90" xfId="0" applyNumberFormat="1" applyFont="1" applyFill="1" applyBorder="1" applyAlignment="1">
      <alignment horizontal="right"/>
    </xf>
    <xf numFmtId="3" fontId="28" fillId="0" borderId="7" xfId="0" applyNumberFormat="1" applyFont="1" applyBorder="1" applyAlignment="1">
      <alignment wrapText="1"/>
    </xf>
    <xf numFmtId="3" fontId="5" fillId="0" borderId="91" xfId="0" applyNumberFormat="1" applyFont="1" applyBorder="1" applyAlignment="1">
      <alignment/>
    </xf>
    <xf numFmtId="3" fontId="5" fillId="0" borderId="92" xfId="0" applyNumberFormat="1" applyFont="1" applyBorder="1" applyAlignment="1">
      <alignment horizontal="right" wrapText="1"/>
    </xf>
    <xf numFmtId="4" fontId="5" fillId="0" borderId="92" xfId="0" applyNumberFormat="1" applyFont="1" applyBorder="1" applyAlignment="1">
      <alignment horizontal="right" wrapText="1"/>
    </xf>
    <xf numFmtId="0" fontId="22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3" fontId="6" fillId="0" borderId="93" xfId="0" applyNumberFormat="1" applyFont="1" applyBorder="1" applyAlignment="1">
      <alignment/>
    </xf>
    <xf numFmtId="3" fontId="6" fillId="0" borderId="94" xfId="0" applyNumberFormat="1" applyFont="1" applyBorder="1" applyAlignment="1">
      <alignment/>
    </xf>
    <xf numFmtId="4" fontId="6" fillId="0" borderId="94" xfId="0" applyNumberFormat="1" applyFont="1" applyBorder="1" applyAlignment="1">
      <alignment/>
    </xf>
    <xf numFmtId="3" fontId="5" fillId="0" borderId="95" xfId="0" applyNumberFormat="1" applyFont="1" applyBorder="1" applyAlignment="1">
      <alignment horizontal="right" wrapText="1"/>
    </xf>
    <xf numFmtId="3" fontId="5" fillId="0" borderId="96" xfId="0" applyNumberFormat="1" applyFont="1" applyBorder="1" applyAlignment="1">
      <alignment horizontal="right" wrapText="1"/>
    </xf>
    <xf numFmtId="3" fontId="5" fillId="0" borderId="76" xfId="0" applyNumberFormat="1" applyFont="1" applyBorder="1" applyAlignment="1">
      <alignment horizontal="right" wrapText="1"/>
    </xf>
    <xf numFmtId="4" fontId="5" fillId="0" borderId="97" xfId="0" applyNumberFormat="1" applyFont="1" applyBorder="1" applyAlignment="1">
      <alignment horizontal="right" wrapText="1"/>
    </xf>
    <xf numFmtId="3" fontId="6" fillId="0" borderId="98" xfId="0" applyNumberFormat="1" applyFont="1" applyBorder="1" applyAlignment="1">
      <alignment/>
    </xf>
    <xf numFmtId="3" fontId="6" fillId="0" borderId="99" xfId="0" applyNumberFormat="1" applyFont="1" applyBorder="1" applyAlignment="1">
      <alignment/>
    </xf>
    <xf numFmtId="4" fontId="6" fillId="0" borderId="99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3" fontId="6" fillId="0" borderId="101" xfId="0" applyNumberFormat="1" applyFont="1" applyBorder="1" applyAlignment="1">
      <alignment/>
    </xf>
    <xf numFmtId="4" fontId="6" fillId="0" borderId="101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3" fontId="6" fillId="0" borderId="102" xfId="0" applyNumberFormat="1" applyFont="1" applyBorder="1" applyAlignment="1">
      <alignment/>
    </xf>
    <xf numFmtId="3" fontId="6" fillId="0" borderId="103" xfId="0" applyNumberFormat="1" applyFont="1" applyBorder="1" applyAlignment="1">
      <alignment/>
    </xf>
    <xf numFmtId="4" fontId="6" fillId="0" borderId="103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3" fontId="5" fillId="0" borderId="93" xfId="0" applyNumberFormat="1" applyFont="1" applyBorder="1" applyAlignment="1">
      <alignment horizontal="right" wrapText="1"/>
    </xf>
    <xf numFmtId="3" fontId="5" fillId="0" borderId="94" xfId="0" applyNumberFormat="1" applyFont="1" applyBorder="1" applyAlignment="1">
      <alignment horizontal="right" wrapText="1"/>
    </xf>
    <xf numFmtId="4" fontId="5" fillId="0" borderId="94" xfId="0" applyNumberFormat="1" applyFont="1" applyBorder="1" applyAlignment="1">
      <alignment horizontal="right" wrapText="1"/>
    </xf>
    <xf numFmtId="10" fontId="5" fillId="0" borderId="2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wrapText="1"/>
    </xf>
    <xf numFmtId="3" fontId="5" fillId="2" borderId="104" xfId="0" applyNumberFormat="1" applyFont="1" applyFill="1" applyBorder="1" applyAlignment="1">
      <alignment/>
    </xf>
    <xf numFmtId="3" fontId="5" fillId="2" borderId="105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4" fontId="5" fillId="2" borderId="105" xfId="0" applyNumberFormat="1" applyFont="1" applyFill="1" applyBorder="1" applyAlignment="1">
      <alignment/>
    </xf>
    <xf numFmtId="3" fontId="5" fillId="0" borderId="106" xfId="0" applyNumberFormat="1" applyFont="1" applyBorder="1" applyAlignment="1">
      <alignment/>
    </xf>
    <xf numFmtId="4" fontId="5" fillId="0" borderId="106" xfId="0" applyNumberFormat="1" applyFont="1" applyBorder="1" applyAlignment="1">
      <alignment/>
    </xf>
    <xf numFmtId="3" fontId="6" fillId="0" borderId="9" xfId="0" applyNumberFormat="1" applyFont="1" applyBorder="1" applyAlignment="1">
      <alignment wrapText="1"/>
    </xf>
    <xf numFmtId="3" fontId="22" fillId="0" borderId="9" xfId="0" applyNumberFormat="1" applyFont="1" applyBorder="1" applyAlignment="1">
      <alignment horizontal="center" wrapText="1"/>
    </xf>
    <xf numFmtId="3" fontId="5" fillId="2" borderId="107" xfId="0" applyNumberFormat="1" applyFont="1" applyFill="1" applyBorder="1" applyAlignment="1">
      <alignment/>
    </xf>
    <xf numFmtId="4" fontId="5" fillId="2" borderId="107" xfId="0" applyNumberFormat="1" applyFont="1" applyFill="1" applyBorder="1" applyAlignment="1">
      <alignment/>
    </xf>
    <xf numFmtId="3" fontId="6" fillId="0" borderId="108" xfId="0" applyNumberFormat="1" applyFont="1" applyBorder="1" applyAlignment="1">
      <alignment/>
    </xf>
    <xf numFmtId="3" fontId="6" fillId="0" borderId="109" xfId="0" applyNumberFormat="1" applyFont="1" applyBorder="1" applyAlignment="1">
      <alignment/>
    </xf>
    <xf numFmtId="4" fontId="6" fillId="0" borderId="109" xfId="0" applyNumberFormat="1" applyFont="1" applyBorder="1" applyAlignment="1">
      <alignment/>
    </xf>
    <xf numFmtId="0" fontId="5" fillId="5" borderId="6" xfId="0" applyFont="1" applyFill="1" applyBorder="1" applyAlignment="1">
      <alignment/>
    </xf>
    <xf numFmtId="1" fontId="6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 wrapText="1"/>
    </xf>
    <xf numFmtId="3" fontId="5" fillId="5" borderId="6" xfId="0" applyNumberFormat="1" applyFont="1" applyFill="1" applyBorder="1" applyAlignment="1">
      <alignment horizontal="center" wrapText="1"/>
    </xf>
    <xf numFmtId="3" fontId="5" fillId="5" borderId="6" xfId="0" applyNumberFormat="1" applyFont="1" applyFill="1" applyBorder="1" applyAlignment="1">
      <alignment/>
    </xf>
    <xf numFmtId="3" fontId="5" fillId="5" borderId="95" xfId="0" applyNumberFormat="1" applyFont="1" applyFill="1" applyBorder="1" applyAlignment="1">
      <alignment/>
    </xf>
    <xf numFmtId="3" fontId="5" fillId="5" borderId="97" xfId="0" applyNumberFormat="1" applyFont="1" applyFill="1" applyBorder="1" applyAlignment="1">
      <alignment/>
    </xf>
    <xf numFmtId="4" fontId="5" fillId="5" borderId="97" xfId="0" applyNumberFormat="1" applyFont="1" applyFill="1" applyBorder="1" applyAlignment="1">
      <alignment/>
    </xf>
    <xf numFmtId="10" fontId="5" fillId="5" borderId="6" xfId="0" applyNumberFormat="1" applyFont="1" applyFill="1" applyBorder="1" applyAlignment="1">
      <alignment/>
    </xf>
    <xf numFmtId="3" fontId="5" fillId="0" borderId="95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4" fontId="5" fillId="0" borderId="97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3" fontId="5" fillId="0" borderId="5" xfId="0" applyNumberFormat="1" applyFont="1" applyBorder="1" applyAlignment="1">
      <alignment/>
    </xf>
    <xf numFmtId="3" fontId="5" fillId="0" borderId="100" xfId="0" applyNumberFormat="1" applyFont="1" applyBorder="1" applyAlignment="1">
      <alignment/>
    </xf>
    <xf numFmtId="3" fontId="5" fillId="0" borderId="101" xfId="0" applyNumberFormat="1" applyFont="1" applyBorder="1" applyAlignment="1">
      <alignment/>
    </xf>
    <xf numFmtId="4" fontId="5" fillId="0" borderId="101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6" fillId="0" borderId="95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4" fontId="6" fillId="0" borderId="97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4" fontId="5" fillId="0" borderId="92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right" wrapText="1"/>
    </xf>
    <xf numFmtId="3" fontId="6" fillId="0" borderId="91" xfId="0" applyNumberFormat="1" applyFont="1" applyBorder="1" applyAlignment="1">
      <alignment/>
    </xf>
    <xf numFmtId="3" fontId="6" fillId="0" borderId="92" xfId="0" applyNumberFormat="1" applyFont="1" applyBorder="1" applyAlignment="1">
      <alignment/>
    </xf>
    <xf numFmtId="4" fontId="6" fillId="0" borderId="92" xfId="0" applyNumberFormat="1" applyFont="1" applyBorder="1" applyAlignment="1">
      <alignment/>
    </xf>
    <xf numFmtId="10" fontId="6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 wrapText="1"/>
    </xf>
    <xf numFmtId="3" fontId="6" fillId="0" borderId="16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/>
    </xf>
    <xf numFmtId="0" fontId="22" fillId="0" borderId="76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0" fontId="22" fillId="0" borderId="7" xfId="0" applyFont="1" applyBorder="1" applyAlignment="1">
      <alignment horizontal="center" wrapText="1"/>
    </xf>
    <xf numFmtId="1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0" fontId="0" fillId="0" borderId="0" xfId="0" applyNumberFormat="1" applyFont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0" fontId="1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/>
    </xf>
    <xf numFmtId="0" fontId="19" fillId="3" borderId="26" xfId="0" applyFont="1" applyFill="1" applyBorder="1" applyAlignment="1">
      <alignment horizontal="center"/>
    </xf>
    <xf numFmtId="3" fontId="19" fillId="3" borderId="26" xfId="0" applyNumberFormat="1" applyFont="1" applyFill="1" applyBorder="1" applyAlignment="1">
      <alignment/>
    </xf>
    <xf numFmtId="4" fontId="19" fillId="3" borderId="26" xfId="0" applyNumberFormat="1" applyFont="1" applyFill="1" applyBorder="1" applyAlignment="1">
      <alignment/>
    </xf>
    <xf numFmtId="10" fontId="19" fillId="3" borderId="26" xfId="0" applyNumberFormat="1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3" borderId="1" xfId="0" applyFont="1" applyFill="1" applyBorder="1" applyAlignment="1">
      <alignment horizontal="left"/>
    </xf>
    <xf numFmtId="3" fontId="19" fillId="3" borderId="1" xfId="0" applyNumberFormat="1" applyFont="1" applyFill="1" applyBorder="1" applyAlignment="1">
      <alignment/>
    </xf>
    <xf numFmtId="4" fontId="19" fillId="3" borderId="1" xfId="0" applyNumberFormat="1" applyFont="1" applyFill="1" applyBorder="1" applyAlignment="1">
      <alignment/>
    </xf>
    <xf numFmtId="10" fontId="19" fillId="3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29" fillId="3" borderId="14" xfId="0" applyFont="1" applyFill="1" applyBorder="1" applyAlignment="1">
      <alignment horizontal="left"/>
    </xf>
    <xf numFmtId="3" fontId="29" fillId="3" borderId="14" xfId="0" applyNumberFormat="1" applyFont="1" applyFill="1" applyBorder="1" applyAlignment="1">
      <alignment/>
    </xf>
    <xf numFmtId="4" fontId="29" fillId="3" borderId="14" xfId="0" applyNumberFormat="1" applyFont="1" applyFill="1" applyBorder="1" applyAlignment="1">
      <alignment/>
    </xf>
    <xf numFmtId="10" fontId="29" fillId="3" borderId="14" xfId="0" applyNumberFormat="1" applyFont="1" applyFill="1" applyBorder="1" applyAlignment="1">
      <alignment/>
    </xf>
    <xf numFmtId="0" fontId="19" fillId="3" borderId="18" xfId="0" applyFont="1" applyFill="1" applyBorder="1" applyAlignment="1">
      <alignment/>
    </xf>
    <xf numFmtId="0" fontId="19" fillId="3" borderId="19" xfId="0" applyFont="1" applyFill="1" applyBorder="1" applyAlignment="1">
      <alignment/>
    </xf>
    <xf numFmtId="3" fontId="19" fillId="3" borderId="19" xfId="0" applyNumberFormat="1" applyFont="1" applyFill="1" applyBorder="1" applyAlignment="1">
      <alignment/>
    </xf>
    <xf numFmtId="4" fontId="19" fillId="3" borderId="19" xfId="0" applyNumberFormat="1" applyFont="1" applyFill="1" applyBorder="1" applyAlignment="1">
      <alignment/>
    </xf>
    <xf numFmtId="10" fontId="19" fillId="3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3" borderId="1" xfId="0" applyFont="1" applyFill="1" applyBorder="1" applyAlignment="1">
      <alignment/>
    </xf>
    <xf numFmtId="0" fontId="19" fillId="3" borderId="7" xfId="0" applyFont="1" applyFill="1" applyBorder="1" applyAlignment="1">
      <alignment/>
    </xf>
    <xf numFmtId="3" fontId="19" fillId="3" borderId="7" xfId="0" applyNumberFormat="1" applyFont="1" applyFill="1" applyBorder="1" applyAlignment="1">
      <alignment/>
    </xf>
    <xf numFmtId="4" fontId="19" fillId="3" borderId="7" xfId="0" applyNumberFormat="1" applyFont="1" applyFill="1" applyBorder="1" applyAlignment="1">
      <alignment/>
    </xf>
    <xf numFmtId="10" fontId="19" fillId="3" borderId="7" xfId="0" applyNumberFormat="1" applyFont="1" applyFill="1" applyBorder="1" applyAlignment="1">
      <alignment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left" wrapText="1"/>
    </xf>
    <xf numFmtId="3" fontId="18" fillId="3" borderId="2" xfId="0" applyNumberFormat="1" applyFont="1" applyFill="1" applyBorder="1" applyAlignment="1">
      <alignment/>
    </xf>
    <xf numFmtId="4" fontId="18" fillId="0" borderId="2" xfId="0" applyNumberFormat="1" applyFont="1" applyFill="1" applyBorder="1" applyAlignment="1">
      <alignment/>
    </xf>
    <xf numFmtId="10" fontId="18" fillId="3" borderId="2" xfId="0" applyNumberFormat="1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3" borderId="16" xfId="0" applyFont="1" applyFill="1" applyBorder="1" applyAlignment="1">
      <alignment horizontal="left" wrapText="1"/>
    </xf>
    <xf numFmtId="3" fontId="18" fillId="3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10" fontId="18" fillId="3" borderId="16" xfId="0" applyNumberFormat="1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18" fillId="3" borderId="6" xfId="0" applyFont="1" applyFill="1" applyBorder="1" applyAlignment="1">
      <alignment horizontal="left" wrapText="1"/>
    </xf>
    <xf numFmtId="3" fontId="18" fillId="3" borderId="6" xfId="0" applyNumberFormat="1" applyFont="1" applyFill="1" applyBorder="1" applyAlignment="1">
      <alignment/>
    </xf>
    <xf numFmtId="4" fontId="18" fillId="3" borderId="6" xfId="0" applyNumberFormat="1" applyFont="1" applyFill="1" applyBorder="1" applyAlignment="1">
      <alignment/>
    </xf>
    <xf numFmtId="10" fontId="18" fillId="3" borderId="6" xfId="0" applyNumberFormat="1" applyFont="1" applyFill="1" applyBorder="1" applyAlignment="1">
      <alignment/>
    </xf>
    <xf numFmtId="3" fontId="19" fillId="3" borderId="18" xfId="0" applyNumberFormat="1" applyFont="1" applyFill="1" applyBorder="1" applyAlignment="1">
      <alignment/>
    </xf>
    <xf numFmtId="4" fontId="19" fillId="3" borderId="18" xfId="0" applyNumberFormat="1" applyFont="1" applyFill="1" applyBorder="1" applyAlignment="1">
      <alignment/>
    </xf>
    <xf numFmtId="10" fontId="19" fillId="3" borderId="18" xfId="0" applyNumberFormat="1" applyFont="1" applyFill="1" applyBorder="1" applyAlignment="1">
      <alignment/>
    </xf>
    <xf numFmtId="0" fontId="19" fillId="3" borderId="18" xfId="0" applyFont="1" applyFill="1" applyBorder="1" applyAlignment="1">
      <alignment horizontal="left" wrapText="1"/>
    </xf>
    <xf numFmtId="0" fontId="19" fillId="3" borderId="7" xfId="0" applyFont="1" applyFill="1" applyBorder="1" applyAlignment="1">
      <alignment horizontal="left" wrapText="1"/>
    </xf>
    <xf numFmtId="3" fontId="19" fillId="3" borderId="7" xfId="0" applyNumberFormat="1" applyFont="1" applyFill="1" applyBorder="1" applyAlignment="1">
      <alignment/>
    </xf>
    <xf numFmtId="4" fontId="19" fillId="3" borderId="7" xfId="0" applyNumberFormat="1" applyFont="1" applyFill="1" applyBorder="1" applyAlignment="1">
      <alignment/>
    </xf>
    <xf numFmtId="10" fontId="19" fillId="3" borderId="7" xfId="0" applyNumberFormat="1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18" fillId="3" borderId="13" xfId="0" applyFont="1" applyFill="1" applyBorder="1" applyAlignment="1">
      <alignment wrapText="1"/>
    </xf>
    <xf numFmtId="3" fontId="18" fillId="3" borderId="13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10" fontId="18" fillId="3" borderId="13" xfId="0" applyNumberFormat="1" applyFont="1" applyFill="1" applyBorder="1" applyAlignment="1">
      <alignment/>
    </xf>
    <xf numFmtId="0" fontId="18" fillId="3" borderId="9" xfId="0" applyFont="1" applyFill="1" applyBorder="1" applyAlignment="1">
      <alignment horizontal="left"/>
    </xf>
    <xf numFmtId="3" fontId="18" fillId="3" borderId="9" xfId="0" applyNumberFormat="1" applyFont="1" applyFill="1" applyBorder="1" applyAlignment="1">
      <alignment/>
    </xf>
    <xf numFmtId="4" fontId="18" fillId="0" borderId="9" xfId="0" applyNumberFormat="1" applyFont="1" applyFill="1" applyBorder="1" applyAlignment="1">
      <alignment/>
    </xf>
    <xf numFmtId="10" fontId="18" fillId="3" borderId="9" xfId="0" applyNumberFormat="1" applyFont="1" applyFill="1" applyBorder="1" applyAlignment="1">
      <alignment/>
    </xf>
    <xf numFmtId="0" fontId="18" fillId="3" borderId="5" xfId="0" applyFont="1" applyFill="1" applyBorder="1" applyAlignment="1">
      <alignment horizontal="left" wrapText="1"/>
    </xf>
    <xf numFmtId="3" fontId="18" fillId="3" borderId="5" xfId="0" applyNumberFormat="1" applyFont="1" applyFill="1" applyBorder="1" applyAlignment="1">
      <alignment/>
    </xf>
    <xf numFmtId="4" fontId="18" fillId="0" borderId="5" xfId="0" applyNumberFormat="1" applyFont="1" applyFill="1" applyBorder="1" applyAlignment="1">
      <alignment/>
    </xf>
    <xf numFmtId="10" fontId="18" fillId="3" borderId="5" xfId="0" applyNumberFormat="1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8" fillId="3" borderId="7" xfId="0" applyFont="1" applyFill="1" applyBorder="1" applyAlignment="1">
      <alignment horizontal="left" wrapText="1"/>
    </xf>
    <xf numFmtId="3" fontId="18" fillId="3" borderId="7" xfId="0" applyNumberFormat="1" applyFont="1" applyFill="1" applyBorder="1" applyAlignment="1">
      <alignment/>
    </xf>
    <xf numFmtId="4" fontId="18" fillId="0" borderId="7" xfId="0" applyNumberFormat="1" applyFont="1" applyFill="1" applyBorder="1" applyAlignment="1">
      <alignment/>
    </xf>
    <xf numFmtId="10" fontId="18" fillId="3" borderId="7" xfId="0" applyNumberFormat="1" applyFont="1" applyFill="1" applyBorder="1" applyAlignment="1">
      <alignment/>
    </xf>
    <xf numFmtId="0" fontId="19" fillId="3" borderId="7" xfId="0" applyFont="1" applyFill="1" applyBorder="1" applyAlignment="1">
      <alignment/>
    </xf>
    <xf numFmtId="0" fontId="19" fillId="3" borderId="7" xfId="0" applyFont="1" applyFill="1" applyBorder="1" applyAlignment="1">
      <alignment wrapText="1"/>
    </xf>
    <xf numFmtId="0" fontId="18" fillId="3" borderId="7" xfId="0" applyFont="1" applyFill="1" applyBorder="1" applyAlignment="1">
      <alignment wrapText="1"/>
    </xf>
    <xf numFmtId="4" fontId="18" fillId="3" borderId="7" xfId="0" applyNumberFormat="1" applyFont="1" applyFill="1" applyBorder="1" applyAlignment="1">
      <alignment/>
    </xf>
    <xf numFmtId="3" fontId="19" fillId="3" borderId="18" xfId="0" applyNumberFormat="1" applyFont="1" applyFill="1" applyBorder="1" applyAlignment="1">
      <alignment/>
    </xf>
    <xf numFmtId="4" fontId="19" fillId="3" borderId="18" xfId="0" applyNumberFormat="1" applyFont="1" applyFill="1" applyBorder="1" applyAlignment="1">
      <alignment/>
    </xf>
    <xf numFmtId="10" fontId="19" fillId="3" borderId="18" xfId="0" applyNumberFormat="1" applyFont="1" applyFill="1" applyBorder="1" applyAlignment="1">
      <alignment/>
    </xf>
    <xf numFmtId="3" fontId="18" fillId="3" borderId="7" xfId="0" applyNumberFormat="1" applyFont="1" applyFill="1" applyBorder="1" applyAlignment="1">
      <alignment/>
    </xf>
    <xf numFmtId="4" fontId="18" fillId="3" borderId="7" xfId="0" applyNumberFormat="1" applyFont="1" applyFill="1" applyBorder="1" applyAlignment="1">
      <alignment/>
    </xf>
    <xf numFmtId="10" fontId="18" fillId="3" borderId="7" xfId="0" applyNumberFormat="1" applyFont="1" applyFill="1" applyBorder="1" applyAlignment="1">
      <alignment/>
    </xf>
    <xf numFmtId="0" fontId="19" fillId="3" borderId="6" xfId="0" applyFont="1" applyFill="1" applyBorder="1" applyAlignment="1">
      <alignment/>
    </xf>
    <xf numFmtId="0" fontId="19" fillId="3" borderId="6" xfId="0" applyFont="1" applyFill="1" applyBorder="1" applyAlignment="1">
      <alignment horizontal="left" wrapText="1"/>
    </xf>
    <xf numFmtId="3" fontId="19" fillId="3" borderId="6" xfId="0" applyNumberFormat="1" applyFont="1" applyFill="1" applyBorder="1" applyAlignment="1">
      <alignment/>
    </xf>
    <xf numFmtId="4" fontId="19" fillId="3" borderId="6" xfId="0" applyNumberFormat="1" applyFont="1" applyFill="1" applyBorder="1" applyAlignment="1">
      <alignment/>
    </xf>
    <xf numFmtId="10" fontId="19" fillId="3" borderId="6" xfId="0" applyNumberFormat="1" applyFont="1" applyFill="1" applyBorder="1" applyAlignment="1">
      <alignment/>
    </xf>
    <xf numFmtId="0" fontId="18" fillId="3" borderId="18" xfId="0" applyFont="1" applyFill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8" fillId="3" borderId="1" xfId="0" applyFont="1" applyFill="1" applyBorder="1" applyAlignment="1">
      <alignment horizontal="left" wrapText="1"/>
    </xf>
    <xf numFmtId="3" fontId="18" fillId="3" borderId="1" xfId="0" applyNumberFormat="1" applyFont="1" applyFill="1" applyBorder="1" applyAlignment="1">
      <alignment/>
    </xf>
    <xf numFmtId="4" fontId="18" fillId="3" borderId="1" xfId="0" applyNumberFormat="1" applyFont="1" applyFill="1" applyBorder="1" applyAlignment="1">
      <alignment/>
    </xf>
    <xf numFmtId="10" fontId="18" fillId="3" borderId="1" xfId="0" applyNumberFormat="1" applyFont="1" applyFill="1" applyBorder="1" applyAlignment="1">
      <alignment/>
    </xf>
    <xf numFmtId="0" fontId="18" fillId="3" borderId="19" xfId="0" applyFont="1" applyFill="1" applyBorder="1" applyAlignment="1">
      <alignment/>
    </xf>
    <xf numFmtId="0" fontId="19" fillId="3" borderId="19" xfId="0" applyFont="1" applyFill="1" applyBorder="1" applyAlignment="1">
      <alignment horizontal="left" wrapText="1"/>
    </xf>
    <xf numFmtId="4" fontId="18" fillId="3" borderId="2" xfId="0" applyNumberFormat="1" applyFont="1" applyFill="1" applyBorder="1" applyAlignment="1">
      <alignment/>
    </xf>
    <xf numFmtId="4" fontId="18" fillId="3" borderId="16" xfId="0" applyNumberFormat="1" applyFont="1" applyFill="1" applyBorder="1" applyAlignment="1">
      <alignment/>
    </xf>
    <xf numFmtId="0" fontId="19" fillId="3" borderId="18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3" fontId="18" fillId="3" borderId="6" xfId="0" applyNumberFormat="1" applyFont="1" applyFill="1" applyBorder="1" applyAlignment="1">
      <alignment/>
    </xf>
    <xf numFmtId="10" fontId="18" fillId="3" borderId="6" xfId="0" applyNumberFormat="1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18" fillId="3" borderId="13" xfId="0" applyFont="1" applyFill="1" applyBorder="1" applyAlignment="1">
      <alignment horizontal="left" wrapText="1"/>
    </xf>
    <xf numFmtId="3" fontId="18" fillId="3" borderId="16" xfId="0" applyNumberFormat="1" applyFont="1" applyFill="1" applyBorder="1" applyAlignment="1">
      <alignment/>
    </xf>
    <xf numFmtId="4" fontId="18" fillId="3" borderId="16" xfId="0" applyNumberFormat="1" applyFont="1" applyFill="1" applyBorder="1" applyAlignment="1">
      <alignment/>
    </xf>
    <xf numFmtId="10" fontId="18" fillId="3" borderId="16" xfId="0" applyNumberFormat="1" applyFont="1" applyFill="1" applyBorder="1" applyAlignment="1">
      <alignment/>
    </xf>
    <xf numFmtId="0" fontId="29" fillId="3" borderId="14" xfId="0" applyFont="1" applyFill="1" applyBorder="1" applyAlignment="1">
      <alignment wrapText="1"/>
    </xf>
    <xf numFmtId="3" fontId="29" fillId="3" borderId="14" xfId="0" applyNumberFormat="1" applyFont="1" applyFill="1" applyBorder="1" applyAlignment="1">
      <alignment/>
    </xf>
    <xf numFmtId="4" fontId="29" fillId="3" borderId="14" xfId="0" applyNumberFormat="1" applyFont="1" applyFill="1" applyBorder="1" applyAlignment="1">
      <alignment/>
    </xf>
    <xf numFmtId="10" fontId="29" fillId="3" borderId="14" xfId="0" applyNumberFormat="1" applyFont="1" applyFill="1" applyBorder="1" applyAlignment="1">
      <alignment/>
    </xf>
    <xf numFmtId="3" fontId="19" fillId="3" borderId="19" xfId="0" applyNumberFormat="1" applyFont="1" applyFill="1" applyBorder="1" applyAlignment="1">
      <alignment/>
    </xf>
    <xf numFmtId="4" fontId="19" fillId="3" borderId="19" xfId="0" applyNumberFormat="1" applyFont="1" applyFill="1" applyBorder="1" applyAlignment="1">
      <alignment/>
    </xf>
    <xf numFmtId="10" fontId="19" fillId="3" borderId="19" xfId="0" applyNumberFormat="1" applyFont="1" applyFill="1" applyBorder="1" applyAlignment="1">
      <alignment/>
    </xf>
    <xf numFmtId="0" fontId="18" fillId="3" borderId="6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29" fillId="3" borderId="19" xfId="0" applyFont="1" applyFill="1" applyBorder="1" applyAlignment="1">
      <alignment wrapText="1"/>
    </xf>
    <xf numFmtId="3" fontId="29" fillId="3" borderId="19" xfId="0" applyNumberFormat="1" applyFont="1" applyFill="1" applyBorder="1" applyAlignment="1">
      <alignment/>
    </xf>
    <xf numFmtId="4" fontId="29" fillId="3" borderId="19" xfId="0" applyNumberFormat="1" applyFont="1" applyFill="1" applyBorder="1" applyAlignment="1">
      <alignment/>
    </xf>
    <xf numFmtId="10" fontId="29" fillId="3" borderId="19" xfId="0" applyNumberFormat="1" applyFont="1" applyFill="1" applyBorder="1" applyAlignment="1">
      <alignment/>
    </xf>
    <xf numFmtId="0" fontId="0" fillId="0" borderId="98" xfId="0" applyFont="1" applyBorder="1" applyAlignment="1">
      <alignment/>
    </xf>
    <xf numFmtId="0" fontId="8" fillId="3" borderId="1" xfId="0" applyFont="1" applyFill="1" applyBorder="1" applyAlignment="1">
      <alignment/>
    </xf>
    <xf numFmtId="3" fontId="29" fillId="3" borderId="1" xfId="0" applyNumberFormat="1" applyFont="1" applyFill="1" applyBorder="1" applyAlignment="1">
      <alignment/>
    </xf>
    <xf numFmtId="4" fontId="29" fillId="3" borderId="1" xfId="0" applyNumberFormat="1" applyFont="1" applyFill="1" applyBorder="1" applyAlignment="1">
      <alignment/>
    </xf>
    <xf numFmtId="10" fontId="29" fillId="3" borderId="1" xfId="0" applyNumberFormat="1" applyFont="1" applyFill="1" applyBorder="1" applyAlignment="1">
      <alignment/>
    </xf>
    <xf numFmtId="0" fontId="18" fillId="3" borderId="2" xfId="0" applyFont="1" applyFill="1" applyBorder="1" applyAlignment="1">
      <alignment/>
    </xf>
    <xf numFmtId="3" fontId="18" fillId="3" borderId="2" xfId="0" applyNumberFormat="1" applyFont="1" applyFill="1" applyBorder="1" applyAlignment="1">
      <alignment/>
    </xf>
    <xf numFmtId="4" fontId="18" fillId="3" borderId="2" xfId="0" applyNumberFormat="1" applyFont="1" applyFill="1" applyBorder="1" applyAlignment="1">
      <alignment/>
    </xf>
    <xf numFmtId="10" fontId="18" fillId="3" borderId="2" xfId="0" applyNumberFormat="1" applyFont="1" applyFill="1" applyBorder="1" applyAlignment="1">
      <alignment/>
    </xf>
    <xf numFmtId="4" fontId="18" fillId="0" borderId="6" xfId="0" applyNumberFormat="1" applyFont="1" applyFill="1" applyBorder="1" applyAlignment="1">
      <alignment/>
    </xf>
    <xf numFmtId="10" fontId="18" fillId="3" borderId="6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Continuous"/>
    </xf>
    <xf numFmtId="0" fontId="12" fillId="0" borderId="0" xfId="0" applyFont="1" applyAlignment="1">
      <alignment wrapText="1"/>
    </xf>
    <xf numFmtId="0" fontId="3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12" fillId="0" borderId="84" xfId="0" applyFont="1" applyBorder="1" applyAlignment="1">
      <alignment/>
    </xf>
    <xf numFmtId="0" fontId="12" fillId="0" borderId="110" xfId="0" applyFont="1" applyBorder="1" applyAlignment="1">
      <alignment/>
    </xf>
    <xf numFmtId="0" fontId="32" fillId="0" borderId="110" xfId="0" applyFont="1" applyBorder="1" applyAlignment="1">
      <alignment/>
    </xf>
    <xf numFmtId="0" fontId="12" fillId="0" borderId="3" xfId="0" applyFont="1" applyBorder="1" applyAlignment="1">
      <alignment/>
    </xf>
    <xf numFmtId="0" fontId="32" fillId="0" borderId="28" xfId="0" applyFont="1" applyBorder="1" applyAlignment="1">
      <alignment horizontal="center"/>
    </xf>
    <xf numFmtId="0" fontId="32" fillId="0" borderId="28" xfId="0" applyNumberFormat="1" applyFont="1" applyBorder="1" applyAlignment="1">
      <alignment horizontal="center"/>
    </xf>
    <xf numFmtId="0" fontId="32" fillId="0" borderId="28" xfId="0" applyFont="1" applyBorder="1" applyAlignment="1">
      <alignment wrapText="1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 vertical="center"/>
    </xf>
    <xf numFmtId="0" fontId="32" fillId="0" borderId="28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111" xfId="0" applyFont="1" applyFill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4" xfId="0" applyFont="1" applyBorder="1" applyAlignment="1">
      <alignment horizontal="center"/>
    </xf>
    <xf numFmtId="0" fontId="34" fillId="0" borderId="4" xfId="0" applyNumberFormat="1" applyFont="1" applyBorder="1" applyAlignment="1">
      <alignment horizontal="center"/>
    </xf>
    <xf numFmtId="0" fontId="34" fillId="0" borderId="4" xfId="0" applyFont="1" applyBorder="1" applyAlignment="1">
      <alignment horizontal="center" wrapText="1"/>
    </xf>
    <xf numFmtId="3" fontId="32" fillId="2" borderId="26" xfId="0" applyNumberFormat="1" applyFont="1" applyFill="1" applyBorder="1" applyAlignment="1">
      <alignment horizontal="right"/>
    </xf>
    <xf numFmtId="0" fontId="32" fillId="2" borderId="26" xfId="0" applyNumberFormat="1" applyFont="1" applyFill="1" applyBorder="1" applyAlignment="1">
      <alignment horizontal="right"/>
    </xf>
    <xf numFmtId="0" fontId="35" fillId="2" borderId="49" xfId="0" applyFont="1" applyFill="1" applyBorder="1" applyAlignment="1">
      <alignment horizontal="center" wrapText="1"/>
    </xf>
    <xf numFmtId="3" fontId="35" fillId="2" borderId="26" xfId="0" applyNumberFormat="1" applyFont="1" applyFill="1" applyBorder="1" applyAlignment="1">
      <alignment horizontal="right"/>
    </xf>
    <xf numFmtId="4" fontId="35" fillId="2" borderId="26" xfId="0" applyNumberFormat="1" applyFont="1" applyFill="1" applyBorder="1" applyAlignment="1">
      <alignment horizontal="right"/>
    </xf>
    <xf numFmtId="10" fontId="35" fillId="2" borderId="26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32" fillId="2" borderId="0" xfId="0" applyFont="1" applyFill="1" applyBorder="1" applyAlignment="1">
      <alignment/>
    </xf>
    <xf numFmtId="3" fontId="36" fillId="0" borderId="20" xfId="0" applyNumberFormat="1" applyFont="1" applyBorder="1" applyAlignment="1">
      <alignment/>
    </xf>
    <xf numFmtId="0" fontId="36" fillId="0" borderId="20" xfId="0" applyNumberFormat="1" applyFont="1" applyBorder="1" applyAlignment="1">
      <alignment/>
    </xf>
    <xf numFmtId="0" fontId="36" fillId="0" borderId="112" xfId="0" applyFont="1" applyBorder="1" applyAlignment="1">
      <alignment horizontal="left" wrapText="1"/>
    </xf>
    <xf numFmtId="4" fontId="36" fillId="0" borderId="20" xfId="0" applyNumberFormat="1" applyFont="1" applyBorder="1" applyAlignment="1">
      <alignment/>
    </xf>
    <xf numFmtId="10" fontId="36" fillId="0" borderId="20" xfId="0" applyNumberFormat="1" applyFont="1" applyBorder="1" applyAlignment="1">
      <alignment/>
    </xf>
    <xf numFmtId="0" fontId="36" fillId="0" borderId="0" xfId="0" applyFont="1" applyAlignment="1">
      <alignment wrapText="1"/>
    </xf>
    <xf numFmtId="3" fontId="12" fillId="0" borderId="1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3" fontId="12" fillId="0" borderId="98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4" fontId="12" fillId="0" borderId="98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10" fontId="12" fillId="0" borderId="24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10" fontId="12" fillId="0" borderId="31" xfId="0" applyNumberFormat="1" applyFont="1" applyBorder="1" applyAlignment="1">
      <alignment/>
    </xf>
    <xf numFmtId="3" fontId="12" fillId="3" borderId="5" xfId="0" applyNumberFormat="1" applyFont="1" applyFill="1" applyBorder="1" applyAlignment="1">
      <alignment/>
    </xf>
    <xf numFmtId="0" fontId="12" fillId="3" borderId="113" xfId="0" applyNumberFormat="1" applyFont="1" applyFill="1" applyBorder="1" applyAlignment="1">
      <alignment/>
    </xf>
    <xf numFmtId="0" fontId="12" fillId="3" borderId="102" xfId="0" applyFont="1" applyFill="1" applyBorder="1" applyAlignment="1">
      <alignment wrapText="1"/>
    </xf>
    <xf numFmtId="3" fontId="12" fillId="3" borderId="8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10" fontId="12" fillId="0" borderId="5" xfId="0" applyNumberFormat="1" applyFont="1" applyFill="1" applyBorder="1" applyAlignment="1">
      <alignment/>
    </xf>
    <xf numFmtId="3" fontId="12" fillId="3" borderId="79" xfId="0" applyNumberFormat="1" applyFont="1" applyFill="1" applyBorder="1" applyAlignment="1">
      <alignment/>
    </xf>
    <xf numFmtId="4" fontId="12" fillId="0" borderId="79" xfId="0" applyNumberFormat="1" applyFont="1" applyFill="1" applyBorder="1" applyAlignment="1">
      <alignment/>
    </xf>
    <xf numFmtId="4" fontId="12" fillId="3" borderId="79" xfId="0" applyNumberFormat="1" applyFont="1" applyFill="1" applyBorder="1" applyAlignment="1">
      <alignment/>
    </xf>
    <xf numFmtId="10" fontId="12" fillId="3" borderId="79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113" xfId="0" applyNumberFormat="1" applyFont="1" applyBorder="1" applyAlignment="1">
      <alignment/>
    </xf>
    <xf numFmtId="0" fontId="12" fillId="0" borderId="8" xfId="0" applyFont="1" applyBorder="1" applyAlignment="1">
      <alignment vertical="center" wrapText="1"/>
    </xf>
    <xf numFmtId="3" fontId="12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10" fontId="12" fillId="0" borderId="8" xfId="0" applyNumberFormat="1" applyFont="1" applyFill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79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79" xfId="0" applyNumberFormat="1" applyFont="1" applyBorder="1" applyAlignment="1">
      <alignment/>
    </xf>
    <xf numFmtId="10" fontId="12" fillId="0" borderId="79" xfId="0" applyNumberFormat="1" applyFont="1" applyBorder="1" applyAlignment="1">
      <alignment/>
    </xf>
    <xf numFmtId="3" fontId="12" fillId="0" borderId="95" xfId="0" applyNumberFormat="1" applyFont="1" applyBorder="1" applyAlignment="1">
      <alignment vertical="center"/>
    </xf>
    <xf numFmtId="0" fontId="12" fillId="0" borderId="114" xfId="0" applyNumberFormat="1" applyFont="1" applyBorder="1" applyAlignment="1">
      <alignment vertical="center"/>
    </xf>
    <xf numFmtId="0" fontId="32" fillId="0" borderId="114" xfId="0" applyFont="1" applyBorder="1" applyAlignment="1">
      <alignment horizontal="center" vertical="center" wrapText="1"/>
    </xf>
    <xf numFmtId="3" fontId="12" fillId="0" borderId="114" xfId="0" applyNumberFormat="1" applyFont="1" applyBorder="1" applyAlignment="1">
      <alignment vertical="center"/>
    </xf>
    <xf numFmtId="3" fontId="32" fillId="0" borderId="114" xfId="0" applyNumberFormat="1" applyFont="1" applyBorder="1" applyAlignment="1">
      <alignment horizontal="right" vertical="center" wrapText="1"/>
    </xf>
    <xf numFmtId="4" fontId="32" fillId="0" borderId="114" xfId="0" applyNumberFormat="1" applyFont="1" applyBorder="1" applyAlignment="1">
      <alignment horizontal="right" vertical="center" wrapText="1"/>
    </xf>
    <xf numFmtId="10" fontId="32" fillId="0" borderId="114" xfId="0" applyNumberFormat="1" applyFont="1" applyFill="1" applyBorder="1" applyAlignment="1">
      <alignment horizontal="right" vertical="center" wrapText="1"/>
    </xf>
    <xf numFmtId="3" fontId="32" fillId="0" borderId="114" xfId="0" applyNumberFormat="1" applyFont="1" applyBorder="1" applyAlignment="1">
      <alignment horizontal="right" vertical="center"/>
    </xf>
    <xf numFmtId="4" fontId="32" fillId="0" borderId="114" xfId="0" applyNumberFormat="1" applyFont="1" applyBorder="1" applyAlignment="1">
      <alignment horizontal="right" vertical="center"/>
    </xf>
    <xf numFmtId="4" fontId="12" fillId="0" borderId="114" xfId="0" applyNumberFormat="1" applyFont="1" applyBorder="1" applyAlignment="1">
      <alignment vertical="center"/>
    </xf>
    <xf numFmtId="10" fontId="32" fillId="0" borderId="114" xfId="0" applyNumberFormat="1" applyFont="1" applyBorder="1" applyAlignment="1">
      <alignment vertical="center"/>
    </xf>
    <xf numFmtId="10" fontId="12" fillId="0" borderId="76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/>
    </xf>
    <xf numFmtId="0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4" fontId="12" fillId="0" borderId="6" xfId="0" applyNumberFormat="1" applyFont="1" applyFill="1" applyBorder="1" applyAlignment="1">
      <alignment/>
    </xf>
    <xf numFmtId="10" fontId="12" fillId="0" borderId="6" xfId="0" applyNumberFormat="1" applyFont="1" applyFill="1" applyBorder="1" applyAlignment="1">
      <alignment/>
    </xf>
    <xf numFmtId="10" fontId="12" fillId="0" borderId="6" xfId="0" applyNumberFormat="1" applyFont="1" applyBorder="1" applyAlignment="1">
      <alignment/>
    </xf>
    <xf numFmtId="0" fontId="12" fillId="0" borderId="114" xfId="0" applyNumberFormat="1" applyFont="1" applyBorder="1" applyAlignment="1">
      <alignment/>
    </xf>
    <xf numFmtId="0" fontId="12" fillId="0" borderId="6" xfId="0" applyFont="1" applyBorder="1" applyAlignment="1">
      <alignment vertical="center" wrapText="1"/>
    </xf>
    <xf numFmtId="3" fontId="12" fillId="0" borderId="95" xfId="0" applyNumberFormat="1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4" fontId="12" fillId="0" borderId="95" xfId="0" applyNumberFormat="1" applyFont="1" applyBorder="1" applyAlignment="1">
      <alignment/>
    </xf>
    <xf numFmtId="4" fontId="12" fillId="0" borderId="6" xfId="0" applyNumberFormat="1" applyFont="1" applyFill="1" applyBorder="1" applyAlignment="1">
      <alignment horizontal="right"/>
    </xf>
    <xf numFmtId="10" fontId="12" fillId="0" borderId="6" xfId="0" applyNumberFormat="1" applyFont="1" applyFill="1" applyBorder="1" applyAlignment="1">
      <alignment horizontal="right"/>
    </xf>
    <xf numFmtId="3" fontId="12" fillId="0" borderId="76" xfId="0" applyNumberFormat="1" applyFont="1" applyBorder="1" applyAlignment="1">
      <alignment/>
    </xf>
    <xf numFmtId="4" fontId="12" fillId="0" borderId="76" xfId="0" applyNumberFormat="1" applyFont="1" applyBorder="1" applyAlignment="1">
      <alignment/>
    </xf>
    <xf numFmtId="10" fontId="12" fillId="0" borderId="76" xfId="0" applyNumberFormat="1" applyFont="1" applyBorder="1" applyAlignment="1">
      <alignment/>
    </xf>
    <xf numFmtId="3" fontId="36" fillId="0" borderId="115" xfId="0" applyNumberFormat="1" applyFont="1" applyBorder="1" applyAlignment="1">
      <alignment/>
    </xf>
    <xf numFmtId="0" fontId="36" fillId="0" borderId="115" xfId="0" applyNumberFormat="1" applyFont="1" applyBorder="1" applyAlignment="1">
      <alignment/>
    </xf>
    <xf numFmtId="0" fontId="36" fillId="0" borderId="115" xfId="0" applyFont="1" applyBorder="1" applyAlignment="1">
      <alignment horizontal="left" wrapText="1"/>
    </xf>
    <xf numFmtId="4" fontId="36" fillId="0" borderId="115" xfId="0" applyNumberFormat="1" applyFont="1" applyBorder="1" applyAlignment="1">
      <alignment/>
    </xf>
    <xf numFmtId="10" fontId="36" fillId="0" borderId="115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left" wrapText="1"/>
    </xf>
    <xf numFmtId="4" fontId="9" fillId="0" borderId="17" xfId="0" applyNumberFormat="1" applyFont="1" applyBorder="1" applyAlignment="1">
      <alignment/>
    </xf>
    <xf numFmtId="10" fontId="9" fillId="0" borderId="17" xfId="0" applyNumberFormat="1" applyFont="1" applyBorder="1" applyAlignment="1">
      <alignment/>
    </xf>
    <xf numFmtId="3" fontId="12" fillId="0" borderId="1" xfId="0" applyNumberFormat="1" applyFont="1" applyBorder="1" applyAlignment="1" quotePrefix="1">
      <alignment horizontal="right"/>
    </xf>
    <xf numFmtId="0" fontId="12" fillId="0" borderId="9" xfId="0" applyNumberFormat="1" applyFont="1" applyBorder="1" applyAlignment="1">
      <alignment/>
    </xf>
    <xf numFmtId="0" fontId="12" fillId="0" borderId="9" xfId="0" applyFont="1" applyBorder="1" applyAlignment="1">
      <alignment wrapText="1"/>
    </xf>
    <xf numFmtId="3" fontId="12" fillId="0" borderId="9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10" fontId="12" fillId="0" borderId="9" xfId="0" applyNumberFormat="1" applyFont="1" applyBorder="1" applyAlignment="1">
      <alignment/>
    </xf>
    <xf numFmtId="3" fontId="12" fillId="0" borderId="69" xfId="0" applyNumberFormat="1" applyFont="1" applyBorder="1" applyAlignment="1">
      <alignment/>
    </xf>
    <xf numFmtId="4" fontId="12" fillId="0" borderId="69" xfId="0" applyNumberFormat="1" applyFont="1" applyBorder="1" applyAlignment="1">
      <alignment/>
    </xf>
    <xf numFmtId="0" fontId="12" fillId="0" borderId="116" xfId="0" applyFont="1" applyBorder="1" applyAlignment="1">
      <alignment wrapText="1"/>
    </xf>
    <xf numFmtId="0" fontId="12" fillId="0" borderId="100" xfId="0" applyFont="1" applyBorder="1" applyAlignment="1">
      <alignment wrapText="1"/>
    </xf>
    <xf numFmtId="3" fontId="12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10" fontId="12" fillId="0" borderId="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4" fontId="12" fillId="0" borderId="75" xfId="0" applyNumberFormat="1" applyFont="1" applyBorder="1" applyAlignment="1">
      <alignment/>
    </xf>
    <xf numFmtId="4" fontId="12" fillId="3" borderId="5" xfId="0" applyNumberFormat="1" applyFont="1" applyFill="1" applyBorder="1" applyAlignment="1">
      <alignment/>
    </xf>
    <xf numFmtId="3" fontId="12" fillId="3" borderId="75" xfId="0" applyNumberFormat="1" applyFont="1" applyFill="1" applyBorder="1" applyAlignment="1">
      <alignment/>
    </xf>
    <xf numFmtId="4" fontId="12" fillId="3" borderId="75" xfId="0" applyNumberFormat="1" applyFont="1" applyFill="1" applyBorder="1" applyAlignment="1">
      <alignment/>
    </xf>
    <xf numFmtId="3" fontId="12" fillId="0" borderId="7" xfId="0" applyNumberFormat="1" applyFont="1" applyBorder="1" applyAlignment="1" quotePrefix="1">
      <alignment horizontal="right"/>
    </xf>
    <xf numFmtId="0" fontId="12" fillId="0" borderId="7" xfId="0" applyNumberFormat="1" applyFont="1" applyBorder="1" applyAlignment="1">
      <alignment/>
    </xf>
    <xf numFmtId="0" fontId="12" fillId="0" borderId="91" xfId="0" applyFont="1" applyBorder="1" applyAlignment="1">
      <alignment wrapText="1"/>
    </xf>
    <xf numFmtId="3" fontId="12" fillId="0" borderId="7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10" fontId="12" fillId="0" borderId="7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3" fontId="9" fillId="0" borderId="6" xfId="0" applyNumberFormat="1" applyFont="1" applyBorder="1" applyAlignment="1" quotePrefix="1">
      <alignment horizontal="right"/>
    </xf>
    <xf numFmtId="0" fontId="9" fillId="0" borderId="6" xfId="0" applyNumberFormat="1" applyFont="1" applyBorder="1" applyAlignment="1">
      <alignment/>
    </xf>
    <xf numFmtId="0" fontId="9" fillId="0" borderId="95" xfId="0" applyFont="1" applyBorder="1" applyAlignment="1">
      <alignment wrapText="1"/>
    </xf>
    <xf numFmtId="3" fontId="9" fillId="0" borderId="6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10" fontId="9" fillId="0" borderId="6" xfId="0" applyNumberFormat="1" applyFont="1" applyBorder="1" applyAlignment="1">
      <alignment/>
    </xf>
    <xf numFmtId="3" fontId="9" fillId="0" borderId="76" xfId="0" applyNumberFormat="1" applyFont="1" applyBorder="1" applyAlignment="1">
      <alignment/>
    </xf>
    <xf numFmtId="4" fontId="9" fillId="0" borderId="76" xfId="0" applyNumberFormat="1" applyFont="1" applyBorder="1" applyAlignment="1">
      <alignment/>
    </xf>
    <xf numFmtId="3" fontId="12" fillId="3" borderId="7" xfId="0" applyNumberFormat="1" applyFont="1" applyFill="1" applyBorder="1" applyAlignment="1" quotePrefix="1">
      <alignment horizontal="right"/>
    </xf>
    <xf numFmtId="0" fontId="12" fillId="3" borderId="7" xfId="0" applyNumberFormat="1" applyFont="1" applyFill="1" applyBorder="1" applyAlignment="1">
      <alignment/>
    </xf>
    <xf numFmtId="0" fontId="12" fillId="3" borderId="91" xfId="0" applyFont="1" applyFill="1" applyBorder="1" applyAlignment="1">
      <alignment wrapText="1"/>
    </xf>
    <xf numFmtId="3" fontId="12" fillId="3" borderId="7" xfId="0" applyNumberFormat="1" applyFont="1" applyFill="1" applyBorder="1" applyAlignment="1">
      <alignment/>
    </xf>
    <xf numFmtId="4" fontId="12" fillId="3" borderId="7" xfId="0" applyNumberFormat="1" applyFont="1" applyFill="1" applyBorder="1" applyAlignment="1">
      <alignment/>
    </xf>
    <xf numFmtId="10" fontId="12" fillId="3" borderId="7" xfId="0" applyNumberFormat="1" applyFont="1" applyFill="1" applyBorder="1" applyAlignment="1">
      <alignment/>
    </xf>
    <xf numFmtId="3" fontId="12" fillId="3" borderId="33" xfId="0" applyNumberFormat="1" applyFont="1" applyFill="1" applyBorder="1" applyAlignment="1">
      <alignment/>
    </xf>
    <xf numFmtId="4" fontId="12" fillId="3" borderId="33" xfId="0" applyNumberFormat="1" applyFont="1" applyFill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2" xfId="0" applyNumberFormat="1" applyFont="1" applyBorder="1" applyAlignment="1">
      <alignment/>
    </xf>
    <xf numFmtId="3" fontId="36" fillId="0" borderId="117" xfId="0" applyNumberFormat="1" applyFont="1" applyBorder="1" applyAlignment="1">
      <alignment horizontal="left" wrapText="1"/>
    </xf>
    <xf numFmtId="3" fontId="36" fillId="0" borderId="115" xfId="0" applyNumberFormat="1" applyFont="1" applyBorder="1" applyAlignment="1">
      <alignment/>
    </xf>
    <xf numFmtId="4" fontId="36" fillId="0" borderId="115" xfId="0" applyNumberFormat="1" applyFont="1" applyBorder="1" applyAlignment="1">
      <alignment/>
    </xf>
    <xf numFmtId="10" fontId="36" fillId="0" borderId="115" xfId="0" applyNumberFormat="1" applyFont="1" applyBorder="1" applyAlignment="1">
      <alignment/>
    </xf>
    <xf numFmtId="0" fontId="36" fillId="0" borderId="0" xfId="0" applyFont="1" applyAlignment="1">
      <alignment/>
    </xf>
    <xf numFmtId="3" fontId="32" fillId="0" borderId="7" xfId="0" applyNumberFormat="1" applyFont="1" applyBorder="1" applyAlignment="1">
      <alignment/>
    </xf>
    <xf numFmtId="0" fontId="32" fillId="0" borderId="7" xfId="0" applyNumberFormat="1" applyFont="1" applyBorder="1" applyAlignment="1">
      <alignment/>
    </xf>
    <xf numFmtId="3" fontId="32" fillId="0" borderId="91" xfId="0" applyNumberFormat="1" applyFont="1" applyBorder="1" applyAlignment="1">
      <alignment horizontal="left" wrapText="1"/>
    </xf>
    <xf numFmtId="4" fontId="32" fillId="0" borderId="7" xfId="0" applyNumberFormat="1" applyFont="1" applyBorder="1" applyAlignment="1">
      <alignment/>
    </xf>
    <xf numFmtId="10" fontId="32" fillId="0" borderId="7" xfId="0" applyNumberFormat="1" applyFont="1" applyBorder="1" applyAlignment="1">
      <alignment/>
    </xf>
    <xf numFmtId="0" fontId="12" fillId="3" borderId="91" xfId="0" applyFont="1" applyFill="1" applyBorder="1" applyAlignment="1">
      <alignment horizontal="left" wrapText="1"/>
    </xf>
    <xf numFmtId="3" fontId="9" fillId="3" borderId="6" xfId="0" applyNumberFormat="1" applyFont="1" applyFill="1" applyBorder="1" applyAlignment="1">
      <alignment/>
    </xf>
    <xf numFmtId="0" fontId="9" fillId="3" borderId="6" xfId="0" applyNumberFormat="1" applyFont="1" applyFill="1" applyBorder="1" applyAlignment="1">
      <alignment/>
    </xf>
    <xf numFmtId="4" fontId="9" fillId="3" borderId="6" xfId="0" applyNumberFormat="1" applyFont="1" applyFill="1" applyBorder="1" applyAlignment="1">
      <alignment/>
    </xf>
    <xf numFmtId="10" fontId="9" fillId="3" borderId="6" xfId="0" applyNumberFormat="1" applyFont="1" applyFill="1" applyBorder="1" applyAlignment="1">
      <alignment/>
    </xf>
    <xf numFmtId="3" fontId="9" fillId="3" borderId="76" xfId="0" applyNumberFormat="1" applyFont="1" applyFill="1" applyBorder="1" applyAlignment="1">
      <alignment/>
    </xf>
    <xf numFmtId="4" fontId="9" fillId="3" borderId="76" xfId="0" applyNumberFormat="1" applyFont="1" applyFill="1" applyBorder="1" applyAlignment="1">
      <alignment/>
    </xf>
    <xf numFmtId="10" fontId="12" fillId="0" borderId="69" xfId="0" applyNumberFormat="1" applyFont="1" applyBorder="1" applyAlignment="1">
      <alignment/>
    </xf>
    <xf numFmtId="0" fontId="12" fillId="0" borderId="5" xfId="0" applyNumberFormat="1" applyFont="1" applyBorder="1" applyAlignment="1">
      <alignment/>
    </xf>
    <xf numFmtId="10" fontId="12" fillId="0" borderId="75" xfId="0" applyNumberFormat="1" applyFont="1" applyBorder="1" applyAlignment="1">
      <alignment/>
    </xf>
    <xf numFmtId="4" fontId="12" fillId="0" borderId="9" xfId="0" applyNumberFormat="1" applyFont="1" applyFill="1" applyBorder="1" applyAlignment="1">
      <alignment/>
    </xf>
    <xf numFmtId="0" fontId="12" fillId="0" borderId="5" xfId="0" applyFont="1" applyBorder="1" applyAlignment="1">
      <alignment wrapText="1"/>
    </xf>
    <xf numFmtId="3" fontId="12" fillId="0" borderId="5" xfId="0" applyNumberFormat="1" applyFont="1" applyBorder="1" applyAlignment="1">
      <alignment wrapText="1"/>
    </xf>
    <xf numFmtId="4" fontId="12" fillId="0" borderId="5" xfId="0" applyNumberFormat="1" applyFont="1" applyBorder="1" applyAlignment="1">
      <alignment wrapText="1"/>
    </xf>
    <xf numFmtId="10" fontId="12" fillId="0" borderId="5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3" fontId="9" fillId="0" borderId="114" xfId="0" applyNumberFormat="1" applyFont="1" applyBorder="1" applyAlignment="1">
      <alignment/>
    </xf>
    <xf numFmtId="4" fontId="9" fillId="0" borderId="114" xfId="0" applyNumberFormat="1" applyFont="1" applyBorder="1" applyAlignment="1">
      <alignment/>
    </xf>
    <xf numFmtId="10" fontId="9" fillId="0" borderId="76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3" fontId="12" fillId="3" borderId="0" xfId="0" applyNumberFormat="1" applyFont="1" applyFill="1" applyBorder="1" applyAlignment="1">
      <alignment/>
    </xf>
    <xf numFmtId="3" fontId="37" fillId="0" borderId="1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38" fillId="0" borderId="1" xfId="0" applyNumberFormat="1" applyFont="1" applyBorder="1" applyAlignment="1">
      <alignment/>
    </xf>
    <xf numFmtId="10" fontId="12" fillId="0" borderId="1" xfId="0" applyNumberFormat="1" applyFont="1" applyBorder="1" applyAlignment="1">
      <alignment/>
    </xf>
    <xf numFmtId="3" fontId="12" fillId="3" borderId="31" xfId="0" applyNumberFormat="1" applyFont="1" applyFill="1" applyBorder="1" applyAlignment="1">
      <alignment/>
    </xf>
    <xf numFmtId="4" fontId="12" fillId="3" borderId="31" xfId="0" applyNumberFormat="1" applyFont="1" applyFill="1" applyBorder="1" applyAlignment="1">
      <alignment/>
    </xf>
    <xf numFmtId="4" fontId="38" fillId="0" borderId="31" xfId="0" applyNumberFormat="1" applyFont="1" applyBorder="1" applyAlignment="1">
      <alignment/>
    </xf>
    <xf numFmtId="3" fontId="39" fillId="0" borderId="5" xfId="0" applyNumberFormat="1" applyFont="1" applyBorder="1" applyAlignment="1">
      <alignment/>
    </xf>
    <xf numFmtId="4" fontId="38" fillId="0" borderId="5" xfId="0" applyNumberFormat="1" applyFont="1" applyBorder="1" applyAlignment="1">
      <alignment/>
    </xf>
    <xf numFmtId="3" fontId="39" fillId="3" borderId="75" xfId="0" applyNumberFormat="1" applyFont="1" applyFill="1" applyBorder="1" applyAlignment="1">
      <alignment/>
    </xf>
    <xf numFmtId="4" fontId="38" fillId="0" borderId="75" xfId="0" applyNumberFormat="1" applyFont="1" applyBorder="1" applyAlignment="1">
      <alignment/>
    </xf>
    <xf numFmtId="3" fontId="39" fillId="0" borderId="118" xfId="0" applyNumberFormat="1" applyFont="1" applyBorder="1" applyAlignment="1">
      <alignment/>
    </xf>
    <xf numFmtId="3" fontId="12" fillId="0" borderId="118" xfId="0" applyNumberFormat="1" applyFont="1" applyBorder="1" applyAlignment="1">
      <alignment/>
    </xf>
    <xf numFmtId="3" fontId="37" fillId="0" borderId="5" xfId="0" applyNumberFormat="1" applyFont="1" applyBorder="1" applyAlignment="1">
      <alignment/>
    </xf>
    <xf numFmtId="4" fontId="12" fillId="0" borderId="118" xfId="0" applyNumberFormat="1" applyFont="1" applyBorder="1" applyAlignment="1">
      <alignment/>
    </xf>
    <xf numFmtId="3" fontId="39" fillId="0" borderId="75" xfId="0" applyNumberFormat="1" applyFont="1" applyBorder="1" applyAlignment="1">
      <alignment/>
    </xf>
    <xf numFmtId="3" fontId="37" fillId="0" borderId="75" xfId="0" applyNumberFormat="1" applyFont="1" applyBorder="1" applyAlignment="1">
      <alignment/>
    </xf>
    <xf numFmtId="4" fontId="12" fillId="0" borderId="118" xfId="0" applyNumberFormat="1" applyFont="1" applyFill="1" applyBorder="1" applyAlignment="1">
      <alignment/>
    </xf>
    <xf numFmtId="0" fontId="12" fillId="0" borderId="7" xfId="0" applyFont="1" applyBorder="1" applyAlignment="1">
      <alignment wrapText="1"/>
    </xf>
    <xf numFmtId="3" fontId="39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38" fillId="0" borderId="7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4" fontId="38" fillId="0" borderId="33" xfId="0" applyNumberFormat="1" applyFont="1" applyBorder="1" applyAlignment="1">
      <alignment/>
    </xf>
    <xf numFmtId="10" fontId="12" fillId="0" borderId="33" xfId="0" applyNumberFormat="1" applyFont="1" applyBorder="1" applyAlignment="1">
      <alignment/>
    </xf>
    <xf numFmtId="0" fontId="12" fillId="0" borderId="6" xfId="0" applyFont="1" applyBorder="1" applyAlignment="1">
      <alignment wrapText="1"/>
    </xf>
    <xf numFmtId="3" fontId="12" fillId="3" borderId="1" xfId="0" applyNumberFormat="1" applyFont="1" applyFill="1" applyBorder="1" applyAlignment="1">
      <alignment/>
    </xf>
    <xf numFmtId="0" fontId="12" fillId="3" borderId="5" xfId="0" applyNumberFormat="1" applyFont="1" applyFill="1" applyBorder="1" applyAlignment="1">
      <alignment/>
    </xf>
    <xf numFmtId="0" fontId="12" fillId="3" borderId="100" xfId="0" applyFont="1" applyFill="1" applyBorder="1" applyAlignment="1">
      <alignment wrapText="1"/>
    </xf>
    <xf numFmtId="10" fontId="12" fillId="3" borderId="5" xfId="0" applyNumberFormat="1" applyFont="1" applyFill="1" applyBorder="1" applyAlignment="1">
      <alignment/>
    </xf>
    <xf numFmtId="3" fontId="32" fillId="0" borderId="1" xfId="0" applyNumberFormat="1" applyFont="1" applyBorder="1" applyAlignment="1">
      <alignment/>
    </xf>
    <xf numFmtId="0" fontId="32" fillId="0" borderId="6" xfId="0" applyNumberFormat="1" applyFont="1" applyBorder="1" applyAlignment="1">
      <alignment/>
    </xf>
    <xf numFmtId="0" fontId="32" fillId="0" borderId="6" xfId="0" applyFont="1" applyBorder="1" applyAlignment="1">
      <alignment horizontal="left" wrapText="1"/>
    </xf>
    <xf numFmtId="3" fontId="32" fillId="0" borderId="6" xfId="0" applyNumberFormat="1" applyFont="1" applyBorder="1" applyAlignment="1">
      <alignment/>
    </xf>
    <xf numFmtId="4" fontId="32" fillId="0" borderId="6" xfId="0" applyNumberFormat="1" applyFont="1" applyBorder="1" applyAlignment="1">
      <alignment/>
    </xf>
    <xf numFmtId="10" fontId="32" fillId="0" borderId="6" xfId="0" applyNumberFormat="1" applyFont="1" applyBorder="1" applyAlignment="1">
      <alignment/>
    </xf>
    <xf numFmtId="4" fontId="40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6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10" fontId="12" fillId="0" borderId="6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4" fontId="12" fillId="0" borderId="76" xfId="0" applyNumberFormat="1" applyFont="1" applyBorder="1" applyAlignment="1">
      <alignment/>
    </xf>
    <xf numFmtId="4" fontId="38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32" fillId="0" borderId="7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wrapText="1"/>
    </xf>
    <xf numFmtId="4" fontId="2" fillId="2" borderId="26" xfId="0" applyNumberFormat="1" applyFont="1" applyFill="1" applyBorder="1" applyAlignment="1">
      <alignment horizontal="right"/>
    </xf>
    <xf numFmtId="10" fontId="2" fillId="2" borderId="26" xfId="0" applyNumberFormat="1" applyFont="1" applyFill="1" applyBorder="1" applyAlignment="1">
      <alignment horizontal="right"/>
    </xf>
    <xf numFmtId="0" fontId="11" fillId="0" borderId="31" xfId="0" applyNumberFormat="1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3" fontId="11" fillId="0" borderId="14" xfId="0" applyNumberFormat="1" applyFont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10" fontId="41" fillId="0" borderId="14" xfId="0" applyNumberFormat="1" applyFont="1" applyBorder="1" applyAlignment="1">
      <alignment/>
    </xf>
    <xf numFmtId="0" fontId="41" fillId="0" borderId="24" xfId="0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0" borderId="119" xfId="0" applyNumberFormat="1" applyFont="1" applyBorder="1" applyAlignment="1">
      <alignment horizontal="center"/>
    </xf>
    <xf numFmtId="3" fontId="41" fillId="0" borderId="24" xfId="0" applyNumberFormat="1" applyFont="1" applyBorder="1" applyAlignment="1">
      <alignment/>
    </xf>
    <xf numFmtId="4" fontId="41" fillId="0" borderId="24" xfId="0" applyNumberFormat="1" applyFont="1" applyBorder="1" applyAlignment="1">
      <alignment/>
    </xf>
    <xf numFmtId="10" fontId="41" fillId="0" borderId="24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6" fillId="0" borderId="8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80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10" fontId="6" fillId="0" borderId="9" xfId="0" applyNumberFormat="1" applyFont="1" applyBorder="1" applyAlignment="1">
      <alignment horizontal="right"/>
    </xf>
    <xf numFmtId="0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3" fontId="11" fillId="0" borderId="8" xfId="0" applyNumberFormat="1" applyFont="1" applyBorder="1" applyAlignment="1">
      <alignment/>
    </xf>
    <xf numFmtId="3" fontId="11" fillId="0" borderId="113" xfId="0" applyNumberFormat="1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10" fontId="11" fillId="0" borderId="8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 wrapText="1"/>
    </xf>
    <xf numFmtId="3" fontId="6" fillId="0" borderId="35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10" fontId="6" fillId="0" borderId="35" xfId="0" applyNumberFormat="1" applyFont="1" applyBorder="1" applyAlignment="1">
      <alignment horizontal="right"/>
    </xf>
    <xf numFmtId="3" fontId="6" fillId="0" borderId="80" xfId="0" applyNumberFormat="1" applyFont="1" applyBorder="1" applyAlignment="1">
      <alignment/>
    </xf>
    <xf numFmtId="0" fontId="6" fillId="0" borderId="118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3" fontId="6" fillId="0" borderId="118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121" xfId="0" applyNumberFormat="1" applyFont="1" applyBorder="1" applyAlignment="1">
      <alignment/>
    </xf>
    <xf numFmtId="3" fontId="11" fillId="0" borderId="22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10" fontId="11" fillId="0" borderId="22" xfId="0" applyNumberFormat="1" applyFont="1" applyBorder="1" applyAlignment="1">
      <alignment horizontal="right"/>
    </xf>
    <xf numFmtId="0" fontId="6" fillId="0" borderId="10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10" fontId="11" fillId="0" borderId="16" xfId="0" applyNumberFormat="1" applyFont="1" applyBorder="1" applyAlignment="1">
      <alignment horizontal="right"/>
    </xf>
    <xf numFmtId="0" fontId="41" fillId="0" borderId="115" xfId="0" applyFont="1" applyBorder="1" applyAlignment="1">
      <alignment horizontal="right" wrapText="1"/>
    </xf>
    <xf numFmtId="3" fontId="11" fillId="0" borderId="115" xfId="0" applyNumberFormat="1" applyFont="1" applyBorder="1" applyAlignment="1">
      <alignment horizontal="center"/>
    </xf>
    <xf numFmtId="3" fontId="11" fillId="0" borderId="122" xfId="0" applyNumberFormat="1" applyFont="1" applyBorder="1" applyAlignment="1">
      <alignment horizontal="center"/>
    </xf>
    <xf numFmtId="3" fontId="41" fillId="0" borderId="115" xfId="0" applyNumberFormat="1" applyFont="1" applyBorder="1" applyAlignment="1">
      <alignment/>
    </xf>
    <xf numFmtId="4" fontId="41" fillId="0" borderId="115" xfId="0" applyNumberFormat="1" applyFont="1" applyBorder="1" applyAlignment="1">
      <alignment/>
    </xf>
    <xf numFmtId="10" fontId="41" fillId="0" borderId="115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3" fontId="11" fillId="0" borderId="123" xfId="0" applyNumberFormat="1" applyFont="1" applyBorder="1" applyAlignment="1">
      <alignment/>
    </xf>
    <xf numFmtId="3" fontId="21" fillId="0" borderId="0" xfId="18" applyNumberFormat="1" applyFont="1" applyFill="1" applyBorder="1" applyAlignment="1">
      <alignment horizontal="centerContinuous"/>
      <protection/>
    </xf>
    <xf numFmtId="3" fontId="25" fillId="0" borderId="0" xfId="18" applyNumberFormat="1" applyFont="1" applyFill="1" applyBorder="1" applyAlignment="1">
      <alignment horizontal="centerContinuous"/>
      <protection/>
    </xf>
    <xf numFmtId="3" fontId="3" fillId="0" borderId="0" xfId="18" applyNumberFormat="1" applyFont="1" applyFill="1" applyBorder="1" applyAlignment="1">
      <alignment horizontal="left"/>
      <protection/>
    </xf>
    <xf numFmtId="3" fontId="25" fillId="0" borderId="0" xfId="18" applyNumberFormat="1" applyFont="1" applyFill="1" applyBorder="1" applyAlignment="1">
      <alignment horizontal="center"/>
      <protection/>
    </xf>
    <xf numFmtId="0" fontId="0" fillId="0" borderId="0" xfId="18">
      <alignment/>
      <protection/>
    </xf>
    <xf numFmtId="3" fontId="21" fillId="0" borderId="0" xfId="18" applyNumberFormat="1" applyFont="1" applyFill="1" applyBorder="1" applyAlignment="1">
      <alignment horizontal="left" vertical="top" wrapText="1"/>
      <protection/>
    </xf>
    <xf numFmtId="0" fontId="0" fillId="0" borderId="0" xfId="18" applyAlignment="1">
      <alignment/>
      <protection/>
    </xf>
    <xf numFmtId="3" fontId="3" fillId="0" borderId="0" xfId="18" applyNumberFormat="1" applyFont="1" applyFill="1" applyBorder="1" applyAlignment="1">
      <alignment/>
      <protection/>
    </xf>
    <xf numFmtId="3" fontId="6" fillId="0" borderId="0" xfId="18" applyNumberFormat="1" applyFont="1" applyFill="1" applyBorder="1" applyAlignment="1">
      <alignment horizontal="left" vertical="top" wrapText="1"/>
      <protection/>
    </xf>
    <xf numFmtId="3" fontId="22" fillId="0" borderId="0" xfId="18" applyNumberFormat="1" applyFont="1" applyFill="1" applyBorder="1" applyAlignment="1">
      <alignment horizontal="center"/>
      <protection/>
    </xf>
    <xf numFmtId="3" fontId="22" fillId="0" borderId="0" xfId="18" applyNumberFormat="1" applyFont="1" applyFill="1" applyBorder="1" applyAlignment="1">
      <alignment horizontal="centerContinuous"/>
      <protection/>
    </xf>
    <xf numFmtId="3" fontId="6" fillId="0" borderId="0" xfId="18" applyNumberFormat="1" applyFont="1" applyFill="1" applyBorder="1" applyAlignment="1">
      <alignment horizontal="right"/>
      <protection/>
    </xf>
    <xf numFmtId="3" fontId="2" fillId="0" borderId="4" xfId="18" applyNumberFormat="1" applyFont="1" applyFill="1" applyBorder="1" applyAlignment="1">
      <alignment horizontal="center" vertical="center"/>
      <protection/>
    </xf>
    <xf numFmtId="3" fontId="2" fillId="0" borderId="4" xfId="18" applyNumberFormat="1" applyFont="1" applyFill="1" applyBorder="1" applyAlignment="1">
      <alignment horizontal="center" vertical="center" wrapText="1"/>
      <protection/>
    </xf>
    <xf numFmtId="3" fontId="22" fillId="0" borderId="4" xfId="18" applyNumberFormat="1" applyFont="1" applyFill="1" applyBorder="1" applyAlignment="1">
      <alignment horizontal="center" vertical="center"/>
      <protection/>
    </xf>
    <xf numFmtId="0" fontId="22" fillId="0" borderId="4" xfId="18" applyFont="1" applyBorder="1" applyAlignment="1">
      <alignment horizontal="center" vertical="center"/>
      <protection/>
    </xf>
    <xf numFmtId="3" fontId="2" fillId="2" borderId="26" xfId="18" applyNumberFormat="1" applyFont="1" applyFill="1" applyBorder="1" applyAlignment="1">
      <alignment horizontal="right"/>
      <protection/>
    </xf>
    <xf numFmtId="3" fontId="2" fillId="2" borderId="26" xfId="18" applyNumberFormat="1" applyFont="1" applyFill="1" applyBorder="1" applyAlignment="1">
      <alignment horizontal="left"/>
      <protection/>
    </xf>
    <xf numFmtId="3" fontId="2" fillId="2" borderId="26" xfId="18" applyNumberFormat="1" applyFont="1" applyFill="1" applyBorder="1" applyAlignment="1">
      <alignment horizontal="left" wrapText="1"/>
      <protection/>
    </xf>
    <xf numFmtId="4" fontId="2" fillId="2" borderId="26" xfId="18" applyNumberFormat="1" applyFont="1" applyFill="1" applyBorder="1" applyAlignment="1">
      <alignment horizontal="right"/>
      <protection/>
    </xf>
    <xf numFmtId="10" fontId="2" fillId="2" borderId="26" xfId="18" applyNumberFormat="1" applyFont="1" applyFill="1" applyBorder="1" applyAlignment="1">
      <alignment horizontal="center"/>
      <protection/>
    </xf>
    <xf numFmtId="3" fontId="5" fillId="2" borderId="98" xfId="18" applyNumberFormat="1" applyFont="1" applyFill="1" applyBorder="1" applyAlignment="1">
      <alignment horizontal="right"/>
      <protection/>
    </xf>
    <xf numFmtId="1" fontId="5" fillId="2" borderId="7" xfId="18" applyNumberFormat="1" applyFont="1" applyFill="1" applyBorder="1" applyAlignment="1">
      <alignment horizontal="right"/>
      <protection/>
    </xf>
    <xf numFmtId="3" fontId="5" fillId="2" borderId="7" xfId="18" applyNumberFormat="1" applyFont="1" applyFill="1" applyBorder="1" applyAlignment="1">
      <alignment horizontal="left" wrapText="1"/>
      <protection/>
    </xf>
    <xf numFmtId="3" fontId="5" fillId="2" borderId="7" xfId="18" applyNumberFormat="1" applyFont="1" applyFill="1" applyBorder="1" applyAlignment="1">
      <alignment horizontal="right"/>
      <protection/>
    </xf>
    <xf numFmtId="4" fontId="5" fillId="2" borderId="7" xfId="18" applyNumberFormat="1" applyFont="1" applyFill="1" applyBorder="1" applyAlignment="1">
      <alignment horizontal="right"/>
      <protection/>
    </xf>
    <xf numFmtId="10" fontId="5" fillId="2" borderId="7" xfId="18" applyNumberFormat="1" applyFont="1" applyFill="1" applyBorder="1" applyAlignment="1">
      <alignment horizontal="center"/>
      <protection/>
    </xf>
    <xf numFmtId="3" fontId="5" fillId="0" borderId="1" xfId="18" applyNumberFormat="1" applyFont="1" applyFill="1" applyBorder="1" applyAlignment="1">
      <alignment horizontal="left"/>
      <protection/>
    </xf>
    <xf numFmtId="3" fontId="5" fillId="0" borderId="1" xfId="18" applyNumberFormat="1" applyFont="1" applyFill="1" applyBorder="1" applyAlignment="1">
      <alignment horizontal="right"/>
      <protection/>
    </xf>
    <xf numFmtId="0" fontId="6" fillId="0" borderId="1" xfId="18" applyFont="1" applyBorder="1" applyAlignment="1">
      <alignment wrapText="1"/>
      <protection/>
    </xf>
    <xf numFmtId="3" fontId="6" fillId="0" borderId="1" xfId="18" applyNumberFormat="1" applyFont="1" applyBorder="1">
      <alignment/>
      <protection/>
    </xf>
    <xf numFmtId="3" fontId="6" fillId="0" borderId="1" xfId="18" applyNumberFormat="1" applyFont="1" applyFill="1" applyBorder="1">
      <alignment/>
      <protection/>
    </xf>
    <xf numFmtId="4" fontId="6" fillId="0" borderId="1" xfId="18" applyNumberFormat="1" applyFont="1" applyBorder="1">
      <alignment/>
      <protection/>
    </xf>
    <xf numFmtId="10" fontId="6" fillId="0" borderId="2" xfId="18" applyNumberFormat="1" applyFont="1" applyFill="1" applyBorder="1" applyAlignment="1">
      <alignment horizontal="center"/>
      <protection/>
    </xf>
    <xf numFmtId="3" fontId="11" fillId="0" borderId="1" xfId="18" applyNumberFormat="1" applyFont="1" applyFill="1" applyBorder="1">
      <alignment/>
      <protection/>
    </xf>
    <xf numFmtId="0" fontId="6" fillId="0" borderId="22" xfId="18" applyFont="1" applyBorder="1" applyAlignment="1">
      <alignment wrapText="1"/>
      <protection/>
    </xf>
    <xf numFmtId="3" fontId="6" fillId="0" borderId="22" xfId="18" applyNumberFormat="1" applyFont="1" applyBorder="1">
      <alignment/>
      <protection/>
    </xf>
    <xf numFmtId="3" fontId="6" fillId="0" borderId="22" xfId="18" applyNumberFormat="1" applyFont="1" applyFill="1" applyBorder="1">
      <alignment/>
      <protection/>
    </xf>
    <xf numFmtId="4" fontId="6" fillId="0" borderId="22" xfId="18" applyNumberFormat="1" applyFont="1" applyBorder="1">
      <alignment/>
      <protection/>
    </xf>
    <xf numFmtId="10" fontId="6" fillId="0" borderId="22" xfId="18" applyNumberFormat="1" applyFont="1" applyFill="1" applyBorder="1" applyAlignment="1">
      <alignment horizontal="center"/>
      <protection/>
    </xf>
    <xf numFmtId="3" fontId="0" fillId="0" borderId="1" xfId="18" applyNumberFormat="1" applyFill="1" applyBorder="1">
      <alignment/>
      <protection/>
    </xf>
    <xf numFmtId="3" fontId="6" fillId="0" borderId="7" xfId="18" applyNumberFormat="1" applyFont="1" applyFill="1" applyBorder="1">
      <alignment/>
      <protection/>
    </xf>
    <xf numFmtId="3" fontId="6" fillId="0" borderId="7" xfId="18" applyNumberFormat="1" applyFont="1" applyFill="1" applyBorder="1" applyAlignment="1">
      <alignment horizontal="right"/>
      <protection/>
    </xf>
    <xf numFmtId="4" fontId="6" fillId="0" borderId="7" xfId="18" applyNumberFormat="1" applyFont="1" applyFill="1" applyBorder="1" applyAlignment="1">
      <alignment horizontal="right"/>
      <protection/>
    </xf>
    <xf numFmtId="10" fontId="6" fillId="0" borderId="7" xfId="18" applyNumberFormat="1" applyFont="1" applyFill="1" applyBorder="1" applyAlignment="1">
      <alignment horizontal="center"/>
      <protection/>
    </xf>
    <xf numFmtId="3" fontId="0" fillId="0" borderId="0" xfId="18" applyNumberFormat="1" applyFill="1" applyBorder="1">
      <alignment/>
      <protection/>
    </xf>
    <xf numFmtId="3" fontId="6" fillId="0" borderId="0" xfId="18" applyNumberFormat="1" applyFont="1" applyFill="1" applyBorder="1">
      <alignment/>
      <protection/>
    </xf>
    <xf numFmtId="3" fontId="6" fillId="0" borderId="0" xfId="18" applyNumberFormat="1" applyFont="1" applyFill="1" applyBorder="1" applyAlignment="1">
      <alignment horizontal="center"/>
      <protection/>
    </xf>
    <xf numFmtId="3" fontId="0" fillId="0" borderId="0" xfId="18" applyNumberFormat="1" applyFill="1" applyBorder="1" applyAlignment="1">
      <alignment horizontal="center"/>
      <protection/>
    </xf>
    <xf numFmtId="0" fontId="6" fillId="0" borderId="0" xfId="19" applyFont="1">
      <alignment/>
      <protection locked="0"/>
    </xf>
    <xf numFmtId="3" fontId="6" fillId="0" borderId="0" xfId="19" applyNumberFormat="1" applyFont="1">
      <alignment/>
      <protection locked="0"/>
    </xf>
    <xf numFmtId="0" fontId="0" fillId="0" borderId="0" xfId="19">
      <alignment/>
      <protection locked="0"/>
    </xf>
    <xf numFmtId="0" fontId="2" fillId="0" borderId="0" xfId="19" applyFont="1">
      <alignment/>
      <protection locked="0"/>
    </xf>
    <xf numFmtId="0" fontId="5" fillId="0" borderId="0" xfId="19" applyFont="1">
      <alignment/>
      <protection locked="0"/>
    </xf>
    <xf numFmtId="0" fontId="6" fillId="0" borderId="0" xfId="19" applyFont="1" applyAlignment="1">
      <alignment horizontal="right"/>
      <protection locked="0"/>
    </xf>
    <xf numFmtId="0" fontId="5" fillId="0" borderId="27" xfId="19" applyFont="1" applyBorder="1">
      <alignment/>
      <protection locked="0"/>
    </xf>
    <xf numFmtId="0" fontId="5" fillId="0" borderId="53" xfId="19" applyFont="1" applyBorder="1">
      <alignment/>
      <protection locked="0"/>
    </xf>
    <xf numFmtId="0" fontId="5" fillId="0" borderId="53" xfId="19" applyFont="1" applyBorder="1" applyAlignment="1">
      <alignment horizontal="center"/>
      <protection locked="0"/>
    </xf>
    <xf numFmtId="0" fontId="5" fillId="0" borderId="30" xfId="19" applyFont="1" applyBorder="1" applyAlignment="1">
      <alignment horizontal="center" vertical="center"/>
      <protection locked="0"/>
    </xf>
    <xf numFmtId="0" fontId="5" fillId="0" borderId="30" xfId="19" applyFont="1" applyBorder="1" applyAlignment="1">
      <alignment horizontal="center" vertical="center" wrapText="1"/>
      <protection locked="0"/>
    </xf>
    <xf numFmtId="0" fontId="6" fillId="0" borderId="4" xfId="19" applyFont="1" applyBorder="1" applyAlignment="1">
      <alignment horizontal="center" vertical="center"/>
      <protection locked="0"/>
    </xf>
    <xf numFmtId="0" fontId="6" fillId="0" borderId="4" xfId="19" applyFont="1" applyBorder="1" applyAlignment="1">
      <alignment horizontal="center"/>
      <protection locked="0"/>
    </xf>
    <xf numFmtId="0" fontId="6" fillId="0" borderId="15" xfId="19" applyFont="1" applyBorder="1" applyAlignment="1">
      <alignment horizontal="center" vertical="center"/>
      <protection locked="0"/>
    </xf>
    <xf numFmtId="0" fontId="11" fillId="0" borderId="17" xfId="19" applyFont="1" applyBorder="1" applyAlignment="1">
      <alignment horizontal="left" wrapText="1"/>
      <protection locked="0"/>
    </xf>
    <xf numFmtId="3" fontId="11" fillId="0" borderId="17" xfId="19" applyNumberFormat="1" applyFont="1" applyBorder="1" applyAlignment="1">
      <alignment horizontal="right"/>
      <protection locked="0"/>
    </xf>
    <xf numFmtId="4" fontId="11" fillId="0" borderId="17" xfId="19" applyNumberFormat="1" applyFont="1" applyBorder="1" applyAlignment="1">
      <alignment horizontal="right"/>
      <protection locked="0"/>
    </xf>
    <xf numFmtId="10" fontId="11" fillId="0" borderId="124" xfId="19" applyNumberFormat="1" applyFont="1" applyBorder="1" applyAlignment="1">
      <alignment horizontal="center"/>
      <protection locked="0"/>
    </xf>
    <xf numFmtId="0" fontId="6" fillId="0" borderId="1" xfId="19" applyFont="1" applyBorder="1" applyAlignment="1">
      <alignment horizontal="center" vertical="center"/>
      <protection locked="0"/>
    </xf>
    <xf numFmtId="0" fontId="11" fillId="0" borderId="7" xfId="19" applyFont="1" applyBorder="1" applyAlignment="1">
      <alignment horizontal="left" wrapText="1"/>
      <protection locked="0"/>
    </xf>
    <xf numFmtId="3" fontId="11" fillId="0" borderId="7" xfId="19" applyNumberFormat="1" applyFont="1" applyBorder="1" applyAlignment="1">
      <alignment horizontal="right"/>
      <protection locked="0"/>
    </xf>
    <xf numFmtId="4" fontId="11" fillId="0" borderId="7" xfId="19" applyNumberFormat="1" applyFont="1" applyBorder="1" applyAlignment="1">
      <alignment horizontal="right"/>
      <protection locked="0"/>
    </xf>
    <xf numFmtId="10" fontId="11" fillId="0" borderId="33" xfId="19" applyNumberFormat="1" applyFont="1" applyBorder="1" applyAlignment="1">
      <alignment horizontal="center"/>
      <protection locked="0"/>
    </xf>
    <xf numFmtId="0" fontId="6" fillId="2" borderId="7" xfId="19" applyFont="1" applyFill="1" applyBorder="1">
      <alignment/>
      <protection locked="0"/>
    </xf>
    <xf numFmtId="0" fontId="5" fillId="2" borderId="115" xfId="19" applyFont="1" applyFill="1" applyBorder="1" applyAlignment="1">
      <alignment vertical="center"/>
      <protection locked="0"/>
    </xf>
    <xf numFmtId="3" fontId="5" fillId="2" borderId="115" xfId="19" applyNumberFormat="1" applyFont="1" applyFill="1" applyBorder="1" applyAlignment="1">
      <alignment/>
      <protection locked="0"/>
    </xf>
    <xf numFmtId="4" fontId="5" fillId="2" borderId="115" xfId="19" applyNumberFormat="1" applyFont="1" applyFill="1" applyBorder="1" applyAlignment="1">
      <alignment/>
      <protection locked="0"/>
    </xf>
    <xf numFmtId="10" fontId="5" fillId="2" borderId="125" xfId="19" applyNumberFormat="1" applyFont="1" applyFill="1" applyBorder="1" applyAlignment="1">
      <alignment/>
      <protection locked="0"/>
    </xf>
    <xf numFmtId="0" fontId="5" fillId="2" borderId="19" xfId="19" applyFont="1" applyFill="1" applyBorder="1" applyAlignment="1">
      <alignment/>
      <protection locked="0"/>
    </xf>
    <xf numFmtId="0" fontId="5" fillId="2" borderId="19" xfId="19" applyFont="1" applyFill="1" applyBorder="1" applyAlignment="1">
      <alignment vertical="center"/>
      <protection locked="0"/>
    </xf>
    <xf numFmtId="0" fontId="5" fillId="2" borderId="19" xfId="19" applyFont="1" applyFill="1" applyBorder="1" applyAlignment="1">
      <alignment wrapText="1"/>
      <protection locked="0"/>
    </xf>
    <xf numFmtId="3" fontId="5" fillId="2" borderId="19" xfId="19" applyNumberFormat="1" applyFont="1" applyFill="1" applyBorder="1" applyAlignment="1">
      <alignment/>
      <protection locked="0"/>
    </xf>
    <xf numFmtId="4" fontId="5" fillId="2" borderId="19" xfId="19" applyNumberFormat="1" applyFont="1" applyFill="1" applyBorder="1" applyAlignment="1">
      <alignment/>
      <protection locked="0"/>
    </xf>
    <xf numFmtId="10" fontId="5" fillId="2" borderId="61" xfId="19" applyNumberFormat="1" applyFont="1" applyFill="1" applyBorder="1" applyAlignment="1">
      <alignment/>
      <protection locked="0"/>
    </xf>
    <xf numFmtId="0" fontId="6" fillId="0" borderId="1" xfId="19" applyFont="1" applyBorder="1">
      <alignment/>
      <protection locked="0"/>
    </xf>
    <xf numFmtId="0" fontId="5" fillId="0" borderId="7" xfId="19" applyFont="1" applyBorder="1">
      <alignment/>
      <protection locked="0"/>
    </xf>
    <xf numFmtId="0" fontId="5" fillId="0" borderId="7" xfId="19" applyFont="1" applyBorder="1" applyAlignment="1">
      <alignment wrapText="1"/>
      <protection locked="0"/>
    </xf>
    <xf numFmtId="3" fontId="5" fillId="0" borderId="7" xfId="19" applyNumberFormat="1" applyFont="1" applyBorder="1">
      <alignment/>
      <protection locked="0"/>
    </xf>
    <xf numFmtId="4" fontId="5" fillId="0" borderId="7" xfId="19" applyNumberFormat="1" applyFont="1" applyBorder="1">
      <alignment/>
      <protection locked="0"/>
    </xf>
    <xf numFmtId="10" fontId="5" fillId="0" borderId="33" xfId="19" applyNumberFormat="1" applyFont="1" applyBorder="1">
      <alignment/>
      <protection locked="0"/>
    </xf>
    <xf numFmtId="0" fontId="6" fillId="0" borderId="5" xfId="19" applyFont="1" applyBorder="1" applyAlignment="1">
      <alignment horizontal="left" wrapText="1"/>
      <protection locked="0"/>
    </xf>
    <xf numFmtId="3" fontId="6" fillId="0" borderId="9" xfId="19" applyNumberFormat="1" applyFont="1" applyBorder="1">
      <alignment/>
      <protection locked="0"/>
    </xf>
    <xf numFmtId="4" fontId="6" fillId="0" borderId="9" xfId="19" applyNumberFormat="1" applyFont="1" applyBorder="1">
      <alignment/>
      <protection locked="0"/>
    </xf>
    <xf numFmtId="10" fontId="6" fillId="0" borderId="67" xfId="19" applyNumberFormat="1" applyFont="1" applyBorder="1">
      <alignment/>
      <protection locked="0"/>
    </xf>
    <xf numFmtId="0" fontId="11" fillId="0" borderId="1" xfId="19" applyFont="1" applyBorder="1">
      <alignment/>
      <protection locked="0"/>
    </xf>
    <xf numFmtId="0" fontId="11" fillId="0" borderId="7" xfId="19" applyFont="1" applyBorder="1" applyAlignment="1" quotePrefix="1">
      <alignment horizontal="right"/>
      <protection locked="0"/>
    </xf>
    <xf numFmtId="0" fontId="11" fillId="0" borderId="16" xfId="19" applyFont="1" applyBorder="1" applyAlignment="1">
      <alignment horizontal="left" wrapText="1"/>
      <protection locked="0"/>
    </xf>
    <xf numFmtId="3" fontId="11" fillId="0" borderId="7" xfId="19" applyNumberFormat="1" applyFont="1" applyBorder="1">
      <alignment/>
      <protection locked="0"/>
    </xf>
    <xf numFmtId="4" fontId="11" fillId="0" borderId="7" xfId="19" applyNumberFormat="1" applyFont="1" applyBorder="1">
      <alignment/>
      <protection locked="0"/>
    </xf>
    <xf numFmtId="10" fontId="11" fillId="0" borderId="33" xfId="19" applyNumberFormat="1" applyFont="1" applyBorder="1">
      <alignment/>
      <protection locked="0"/>
    </xf>
    <xf numFmtId="0" fontId="6" fillId="0" borderId="9" xfId="19" applyFont="1" applyBorder="1" applyAlignment="1">
      <alignment horizontal="left" wrapText="1"/>
      <protection locked="0"/>
    </xf>
    <xf numFmtId="10" fontId="6" fillId="0" borderId="69" xfId="19" applyNumberFormat="1" applyFont="1" applyBorder="1">
      <alignment/>
      <protection locked="0"/>
    </xf>
    <xf numFmtId="0" fontId="11" fillId="0" borderId="7" xfId="19" applyFont="1" applyBorder="1">
      <alignment/>
      <protection locked="0"/>
    </xf>
    <xf numFmtId="0" fontId="5" fillId="0" borderId="1" xfId="19" applyFont="1" applyBorder="1">
      <alignment/>
      <protection locked="0"/>
    </xf>
    <xf numFmtId="0" fontId="5" fillId="0" borderId="1" xfId="19" applyFont="1" applyBorder="1" applyAlignment="1">
      <alignment horizontal="left" wrapText="1"/>
      <protection locked="0"/>
    </xf>
    <xf numFmtId="3" fontId="5" fillId="0" borderId="1" xfId="19" applyNumberFormat="1" applyFont="1" applyBorder="1" applyAlignment="1">
      <alignment horizontal="right" wrapText="1"/>
      <protection locked="0"/>
    </xf>
    <xf numFmtId="4" fontId="5" fillId="0" borderId="1" xfId="19" applyNumberFormat="1" applyFont="1" applyBorder="1" applyAlignment="1">
      <alignment horizontal="right" wrapText="1"/>
      <protection locked="0"/>
    </xf>
    <xf numFmtId="10" fontId="5" fillId="0" borderId="31" xfId="19" applyNumberFormat="1" applyFont="1" applyBorder="1">
      <alignment/>
      <protection locked="0"/>
    </xf>
    <xf numFmtId="0" fontId="6" fillId="2" borderId="91" xfId="19" applyFont="1" applyFill="1" applyBorder="1" applyAlignment="1">
      <alignment vertical="center"/>
      <protection locked="0"/>
    </xf>
    <xf numFmtId="0" fontId="6" fillId="2" borderId="7" xfId="19" applyFont="1" applyFill="1" applyBorder="1" applyAlignment="1">
      <alignment vertical="center"/>
      <protection locked="0"/>
    </xf>
    <xf numFmtId="3" fontId="5" fillId="2" borderId="115" xfId="19" applyNumberFormat="1" applyFont="1" applyFill="1" applyBorder="1">
      <alignment/>
      <protection locked="0"/>
    </xf>
    <xf numFmtId="4" fontId="5" fillId="2" borderId="115" xfId="19" applyNumberFormat="1" applyFont="1" applyFill="1" applyBorder="1">
      <alignment/>
      <protection locked="0"/>
    </xf>
    <xf numFmtId="10" fontId="5" fillId="2" borderId="125" xfId="19" applyNumberFormat="1" applyFont="1" applyFill="1" applyBorder="1">
      <alignment/>
      <protection locked="0"/>
    </xf>
    <xf numFmtId="3" fontId="5" fillId="2" borderId="19" xfId="19" applyNumberFormat="1" applyFont="1" applyFill="1" applyBorder="1">
      <alignment/>
      <protection locked="0"/>
    </xf>
    <xf numFmtId="4" fontId="5" fillId="2" borderId="19" xfId="19" applyNumberFormat="1" applyFont="1" applyFill="1" applyBorder="1">
      <alignment/>
      <protection locked="0"/>
    </xf>
    <xf numFmtId="10" fontId="5" fillId="2" borderId="61" xfId="19" applyNumberFormat="1" applyFont="1" applyFill="1" applyBorder="1">
      <alignment/>
      <protection locked="0"/>
    </xf>
    <xf numFmtId="3" fontId="5" fillId="0" borderId="91" xfId="19" applyNumberFormat="1" applyFont="1" applyBorder="1" applyAlignment="1">
      <alignment horizontal="right"/>
      <protection locked="0"/>
    </xf>
    <xf numFmtId="4" fontId="5" fillId="0" borderId="91" xfId="19" applyNumberFormat="1" applyFont="1" applyBorder="1" applyAlignment="1">
      <alignment horizontal="right"/>
      <protection locked="0"/>
    </xf>
    <xf numFmtId="10" fontId="5" fillId="0" borderId="7" xfId="19" applyNumberFormat="1" applyFont="1" applyBorder="1" applyAlignment="1">
      <alignment horizontal="right"/>
      <protection locked="0"/>
    </xf>
    <xf numFmtId="3" fontId="11" fillId="0" borderId="7" xfId="19" applyNumberFormat="1" applyFont="1" applyFill="1" applyBorder="1">
      <alignment/>
      <protection locked="0"/>
    </xf>
    <xf numFmtId="0" fontId="11" fillId="0" borderId="6" xfId="19" applyFont="1" applyBorder="1">
      <alignment/>
      <protection locked="0"/>
    </xf>
    <xf numFmtId="0" fontId="11" fillId="0" borderId="6" xfId="19" applyFont="1" applyBorder="1" applyAlignment="1">
      <alignment horizontal="left" wrapText="1"/>
      <protection locked="0"/>
    </xf>
    <xf numFmtId="3" fontId="11" fillId="0" borderId="6" xfId="19" applyNumberFormat="1" applyFont="1" applyBorder="1">
      <alignment/>
      <protection locked="0"/>
    </xf>
    <xf numFmtId="3" fontId="11" fillId="0" borderId="6" xfId="19" applyNumberFormat="1" applyFont="1" applyFill="1" applyBorder="1">
      <alignment/>
      <protection locked="0"/>
    </xf>
    <xf numFmtId="4" fontId="11" fillId="0" borderId="6" xfId="19" applyNumberFormat="1" applyFont="1" applyBorder="1">
      <alignment/>
      <protection locked="0"/>
    </xf>
    <xf numFmtId="10" fontId="11" fillId="0" borderId="76" xfId="19" applyNumberFormat="1" applyFont="1" applyBorder="1">
      <alignment/>
      <protection locked="0"/>
    </xf>
    <xf numFmtId="0" fontId="6" fillId="0" borderId="31" xfId="19" applyFont="1" applyBorder="1">
      <alignment/>
      <protection locked="0"/>
    </xf>
    <xf numFmtId="0" fontId="6" fillId="0" borderId="13" xfId="19" applyFont="1" applyBorder="1" applyAlignment="1">
      <alignment horizontal="left" wrapText="1"/>
      <protection locked="0"/>
    </xf>
    <xf numFmtId="3" fontId="6" fillId="0" borderId="13" xfId="19" applyNumberFormat="1" applyFont="1" applyBorder="1">
      <alignment/>
      <protection locked="0"/>
    </xf>
    <xf numFmtId="3" fontId="6" fillId="0" borderId="13" xfId="19" applyNumberFormat="1" applyFont="1" applyFill="1" applyBorder="1">
      <alignment/>
      <protection locked="0"/>
    </xf>
    <xf numFmtId="4" fontId="6" fillId="0" borderId="13" xfId="19" applyNumberFormat="1" applyFont="1" applyBorder="1">
      <alignment/>
      <protection locked="0"/>
    </xf>
    <xf numFmtId="0" fontId="11" fillId="0" borderId="33" xfId="19" applyFont="1" applyBorder="1" applyAlignment="1">
      <alignment horizontal="left" wrapText="1"/>
      <protection locked="0"/>
    </xf>
    <xf numFmtId="3" fontId="6" fillId="0" borderId="9" xfId="19" applyNumberFormat="1" applyFont="1" applyFill="1" applyBorder="1">
      <alignment/>
      <protection locked="0"/>
    </xf>
    <xf numFmtId="0" fontId="6" fillId="0" borderId="9" xfId="19" applyFont="1" applyBorder="1" applyAlignment="1">
      <alignment wrapText="1"/>
      <protection locked="0"/>
    </xf>
    <xf numFmtId="3" fontId="11" fillId="0" borderId="16" xfId="19" applyNumberFormat="1" applyFont="1" applyBorder="1">
      <alignment/>
      <protection locked="0"/>
    </xf>
    <xf numFmtId="3" fontId="11" fillId="0" borderId="16" xfId="19" applyNumberFormat="1" applyFont="1" applyFill="1" applyBorder="1">
      <alignment/>
      <protection locked="0"/>
    </xf>
    <xf numFmtId="4" fontId="11" fillId="0" borderId="16" xfId="19" applyNumberFormat="1" applyFont="1" applyBorder="1">
      <alignment/>
      <protection locked="0"/>
    </xf>
    <xf numFmtId="0" fontId="11" fillId="0" borderId="25" xfId="19" applyFont="1" applyBorder="1">
      <alignment/>
      <protection locked="0"/>
    </xf>
    <xf numFmtId="0" fontId="11" fillId="0" borderId="25" xfId="19" applyFont="1" applyBorder="1" applyAlignment="1">
      <alignment horizontal="left" wrapText="1"/>
      <protection locked="0"/>
    </xf>
    <xf numFmtId="3" fontId="11" fillId="0" borderId="25" xfId="19" applyNumberFormat="1" applyFont="1" applyBorder="1">
      <alignment/>
      <protection locked="0"/>
    </xf>
    <xf numFmtId="3" fontId="11" fillId="0" borderId="25" xfId="19" applyNumberFormat="1" applyFont="1" applyFill="1" applyBorder="1">
      <alignment/>
      <protection locked="0"/>
    </xf>
    <xf numFmtId="4" fontId="11" fillId="0" borderId="25" xfId="19" applyNumberFormat="1" applyFont="1" applyBorder="1">
      <alignment/>
      <protection locked="0"/>
    </xf>
    <xf numFmtId="10" fontId="11" fillId="0" borderId="25" xfId="19" applyNumberFormat="1" applyFont="1" applyBorder="1">
      <alignment/>
      <protection locked="0"/>
    </xf>
    <xf numFmtId="0" fontId="11" fillId="0" borderId="0" xfId="19" applyFont="1" applyBorder="1">
      <alignment/>
      <protection locked="0"/>
    </xf>
    <xf numFmtId="0" fontId="11" fillId="0" borderId="0" xfId="19" applyFont="1" applyBorder="1" applyAlignment="1">
      <alignment horizontal="left" wrapText="1"/>
      <protection locked="0"/>
    </xf>
    <xf numFmtId="3" fontId="11" fillId="0" borderId="0" xfId="19" applyNumberFormat="1" applyFont="1" applyBorder="1">
      <alignment/>
      <protection locked="0"/>
    </xf>
    <xf numFmtId="3" fontId="11" fillId="0" borderId="0" xfId="19" applyNumberFormat="1" applyFont="1" applyFill="1" applyBorder="1">
      <alignment/>
      <protection locked="0"/>
    </xf>
    <xf numFmtId="4" fontId="11" fillId="0" borderId="0" xfId="19" applyNumberFormat="1" applyFont="1" applyBorder="1">
      <alignment/>
      <protection locked="0"/>
    </xf>
    <xf numFmtId="10" fontId="11" fillId="0" borderId="0" xfId="19" applyNumberFormat="1" applyFont="1" applyBorder="1">
      <alignment/>
      <protection locked="0"/>
    </xf>
    <xf numFmtId="0" fontId="6" fillId="0" borderId="2" xfId="19" applyFont="1" applyBorder="1">
      <alignment/>
      <protection locked="0"/>
    </xf>
    <xf numFmtId="10" fontId="6" fillId="0" borderId="75" xfId="19" applyNumberFormat="1" applyFont="1" applyBorder="1">
      <alignment/>
      <protection locked="0"/>
    </xf>
    <xf numFmtId="10" fontId="11" fillId="0" borderId="77" xfId="19" applyNumberFormat="1" applyFont="1" applyBorder="1">
      <alignment/>
      <protection locked="0"/>
    </xf>
    <xf numFmtId="0" fontId="11" fillId="0" borderId="1" xfId="19" applyFont="1" applyBorder="1" applyAlignment="1">
      <alignment wrapText="1"/>
      <protection locked="0"/>
    </xf>
    <xf numFmtId="0" fontId="6" fillId="0" borderId="1" xfId="19" applyFont="1" applyBorder="1" applyAlignment="1">
      <alignment wrapText="1"/>
      <protection locked="0"/>
    </xf>
    <xf numFmtId="0" fontId="6" fillId="0" borderId="13" xfId="19" applyFont="1" applyBorder="1" applyAlignment="1">
      <alignment wrapText="1"/>
      <protection locked="0"/>
    </xf>
    <xf numFmtId="3" fontId="6" fillId="0" borderId="8" xfId="19" applyNumberFormat="1" applyFont="1" applyBorder="1">
      <alignment/>
      <protection locked="0"/>
    </xf>
    <xf numFmtId="3" fontId="6" fillId="0" borderId="8" xfId="19" applyNumberFormat="1" applyFont="1" applyFill="1" applyBorder="1">
      <alignment/>
      <protection locked="0"/>
    </xf>
    <xf numFmtId="4" fontId="6" fillId="0" borderId="8" xfId="19" applyNumberFormat="1" applyFont="1" applyBorder="1">
      <alignment/>
      <protection locked="0"/>
    </xf>
    <xf numFmtId="0" fontId="0" fillId="0" borderId="31" xfId="19" applyFont="1" applyBorder="1" applyAlignment="1" quotePrefix="1">
      <alignment horizontal="right"/>
      <protection locked="0"/>
    </xf>
    <xf numFmtId="0" fontId="6" fillId="0" borderId="6" xfId="19" applyFont="1" applyBorder="1" applyAlignment="1">
      <alignment horizontal="left" wrapText="1"/>
      <protection locked="0"/>
    </xf>
    <xf numFmtId="0" fontId="6" fillId="0" borderId="1" xfId="19" applyFont="1" applyBorder="1" applyAlignment="1">
      <alignment/>
      <protection locked="0"/>
    </xf>
    <xf numFmtId="0" fontId="11" fillId="0" borderId="7" xfId="19" applyFont="1" applyBorder="1" applyAlignment="1">
      <alignment wrapText="1"/>
      <protection locked="0"/>
    </xf>
    <xf numFmtId="3" fontId="11" fillId="0" borderId="16" xfId="19" applyNumberFormat="1" applyFont="1" applyBorder="1" applyAlignment="1">
      <alignment horizontal="right" wrapText="1"/>
      <protection locked="0"/>
    </xf>
    <xf numFmtId="4" fontId="11" fillId="0" borderId="16" xfId="19" applyNumberFormat="1" applyFont="1" applyBorder="1" applyAlignment="1">
      <alignment horizontal="right" wrapText="1"/>
      <protection locked="0"/>
    </xf>
    <xf numFmtId="3" fontId="11" fillId="0" borderId="77" xfId="19" applyNumberFormat="1" applyFont="1" applyBorder="1" applyAlignment="1">
      <alignment horizontal="right" wrapText="1"/>
      <protection locked="0"/>
    </xf>
    <xf numFmtId="0" fontId="5" fillId="0" borderId="33" xfId="19" applyFont="1" applyBorder="1">
      <alignment/>
      <protection locked="0"/>
    </xf>
    <xf numFmtId="0" fontId="5" fillId="0" borderId="33" xfId="19" applyFont="1" applyBorder="1" applyAlignment="1">
      <alignment wrapText="1"/>
      <protection locked="0"/>
    </xf>
    <xf numFmtId="3" fontId="5" fillId="0" borderId="33" xfId="19" applyNumberFormat="1" applyFont="1" applyBorder="1">
      <alignment/>
      <protection locked="0"/>
    </xf>
    <xf numFmtId="10" fontId="6" fillId="0" borderId="0" xfId="19" applyNumberFormat="1" applyFont="1">
      <alignment/>
      <protection locked="0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27" xfId="0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wrapText="1"/>
    </xf>
    <xf numFmtId="3" fontId="11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10" fontId="11" fillId="0" borderId="124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3" fontId="11" fillId="0" borderId="7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10" fontId="11" fillId="0" borderId="33" xfId="0" applyNumberFormat="1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2" fillId="2" borderId="115" xfId="0" applyFont="1" applyFill="1" applyBorder="1" applyAlignment="1">
      <alignment vertical="center"/>
    </xf>
    <xf numFmtId="3" fontId="2" fillId="2" borderId="115" xfId="0" applyNumberFormat="1" applyFont="1" applyFill="1" applyBorder="1" applyAlignment="1">
      <alignment vertical="center"/>
    </xf>
    <xf numFmtId="4" fontId="2" fillId="2" borderId="115" xfId="0" applyNumberFormat="1" applyFont="1" applyFill="1" applyBorder="1" applyAlignment="1">
      <alignment vertical="center"/>
    </xf>
    <xf numFmtId="10" fontId="2" fillId="2" borderId="125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wrapText="1"/>
    </xf>
    <xf numFmtId="3" fontId="5" fillId="2" borderId="19" xfId="0" applyNumberFormat="1" applyFont="1" applyFill="1" applyBorder="1" applyAlignment="1">
      <alignment/>
    </xf>
    <xf numFmtId="4" fontId="5" fillId="2" borderId="19" xfId="0" applyNumberFormat="1" applyFont="1" applyFill="1" applyBorder="1" applyAlignment="1">
      <alignment/>
    </xf>
    <xf numFmtId="10" fontId="5" fillId="2" borderId="61" xfId="0" applyNumberFormat="1" applyFont="1" applyFill="1" applyBorder="1" applyAlignment="1">
      <alignment/>
    </xf>
    <xf numFmtId="10" fontId="5" fillId="2" borderId="33" xfId="0" applyNumberFormat="1" applyFont="1" applyFill="1" applyBorder="1" applyAlignment="1">
      <alignment/>
    </xf>
    <xf numFmtId="10" fontId="6" fillId="2" borderId="67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3" fontId="11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10" fontId="11" fillId="2" borderId="3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98" xfId="0" applyFont="1" applyBorder="1" applyAlignment="1">
      <alignment/>
    </xf>
    <xf numFmtId="0" fontId="11" fillId="0" borderId="7" xfId="0" applyFont="1" applyBorder="1" applyAlignment="1" quotePrefix="1">
      <alignment horizontal="right"/>
    </xf>
    <xf numFmtId="0" fontId="6" fillId="0" borderId="98" xfId="0" applyFont="1" applyBorder="1" applyAlignment="1">
      <alignment/>
    </xf>
    <xf numFmtId="10" fontId="6" fillId="2" borderId="33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115" xfId="0" applyFont="1" applyFill="1" applyBorder="1" applyAlignment="1">
      <alignment/>
    </xf>
    <xf numFmtId="3" fontId="5" fillId="2" borderId="115" xfId="0" applyNumberFormat="1" applyFont="1" applyFill="1" applyBorder="1" applyAlignment="1">
      <alignment/>
    </xf>
    <xf numFmtId="4" fontId="5" fillId="2" borderId="115" xfId="0" applyNumberFormat="1" applyFont="1" applyFill="1" applyBorder="1" applyAlignment="1">
      <alignment/>
    </xf>
    <xf numFmtId="10" fontId="5" fillId="2" borderId="125" xfId="0" applyNumberFormat="1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8" xfId="0" applyFont="1" applyFill="1" applyBorder="1" applyAlignment="1">
      <alignment vertical="center"/>
    </xf>
    <xf numFmtId="3" fontId="11" fillId="0" borderId="16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6" fillId="0" borderId="31" xfId="0" applyFont="1" applyBorder="1" applyAlignment="1">
      <alignment/>
    </xf>
    <xf numFmtId="10" fontId="6" fillId="2" borderId="69" xfId="0" applyNumberFormat="1" applyFont="1" applyFill="1" applyBorder="1" applyAlignment="1">
      <alignment/>
    </xf>
    <xf numFmtId="3" fontId="6" fillId="0" borderId="9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right" wrapText="1"/>
    </xf>
    <xf numFmtId="4" fontId="6" fillId="0" borderId="69" xfId="0" applyNumberFormat="1" applyFont="1" applyBorder="1" applyAlignment="1">
      <alignment horizontal="right" wrapText="1"/>
    </xf>
    <xf numFmtId="3" fontId="11" fillId="0" borderId="7" xfId="0" applyNumberFormat="1" applyFont="1" applyBorder="1" applyAlignment="1">
      <alignment horizontal="right" wrapText="1"/>
    </xf>
    <xf numFmtId="4" fontId="11" fillId="0" borderId="7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6" fillId="0" borderId="31" xfId="0" applyFont="1" applyBorder="1" applyAlignment="1">
      <alignment/>
    </xf>
    <xf numFmtId="0" fontId="11" fillId="0" borderId="16" xfId="0" applyFont="1" applyBorder="1" applyAlignment="1">
      <alignment wrapText="1"/>
    </xf>
    <xf numFmtId="3" fontId="11" fillId="0" borderId="6" xfId="0" applyNumberFormat="1" applyFont="1" applyBorder="1" applyAlignment="1">
      <alignment horizontal="right" wrapText="1"/>
    </xf>
    <xf numFmtId="4" fontId="11" fillId="0" borderId="6" xfId="0" applyNumberFormat="1" applyFont="1" applyBorder="1" applyAlignment="1">
      <alignment horizontal="right" wrapText="1"/>
    </xf>
    <xf numFmtId="10" fontId="11" fillId="0" borderId="77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0" fontId="11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3" xfId="0" applyFont="1" applyBorder="1" applyAlignment="1">
      <alignment/>
    </xf>
    <xf numFmtId="10" fontId="6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5" fillId="2" borderId="104" xfId="0" applyNumberFormat="1" applyFont="1" applyFill="1" applyBorder="1" applyAlignment="1">
      <alignment/>
    </xf>
    <xf numFmtId="3" fontId="5" fillId="2" borderId="86" xfId="0" applyNumberFormat="1" applyFont="1" applyFill="1" applyBorder="1" applyAlignment="1">
      <alignment/>
    </xf>
    <xf numFmtId="0" fontId="5" fillId="0" borderId="91" xfId="0" applyNumberFormat="1" applyFont="1" applyBorder="1" applyAlignment="1">
      <alignment/>
    </xf>
    <xf numFmtId="0" fontId="6" fillId="0" borderId="2" xfId="0" applyNumberFormat="1" applyFont="1" applyBorder="1" applyAlignment="1">
      <alignment horizontal="right"/>
    </xf>
    <xf numFmtId="3" fontId="6" fillId="0" borderId="126" xfId="0" applyNumberFormat="1" applyFont="1" applyBorder="1" applyAlignment="1">
      <alignment/>
    </xf>
    <xf numFmtId="0" fontId="11" fillId="0" borderId="91" xfId="0" applyNumberFormat="1" applyFont="1" applyBorder="1" applyAlignment="1" quotePrefix="1">
      <alignment horizontal="right"/>
    </xf>
    <xf numFmtId="3" fontId="11" fillId="0" borderId="91" xfId="0" applyNumberFormat="1" applyFont="1" applyBorder="1" applyAlignment="1">
      <alignment/>
    </xf>
    <xf numFmtId="10" fontId="6" fillId="0" borderId="69" xfId="0" applyNumberFormat="1" applyFont="1" applyBorder="1" applyAlignment="1">
      <alignment horizontal="right" wrapText="1"/>
    </xf>
    <xf numFmtId="49" fontId="21" fillId="2" borderId="0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 wrapText="1"/>
    </xf>
    <xf numFmtId="49" fontId="42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9" fontId="1" fillId="2" borderId="45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1" fillId="2" borderId="49" xfId="0" applyFont="1" applyFill="1" applyBorder="1" applyAlignment="1">
      <alignment/>
    </xf>
    <xf numFmtId="3" fontId="1" fillId="3" borderId="26" xfId="0" applyNumberFormat="1" applyFont="1" applyFill="1" applyBorder="1" applyAlignment="1">
      <alignment horizontal="right"/>
    </xf>
    <xf numFmtId="4" fontId="1" fillId="3" borderId="49" xfId="0" applyNumberFormat="1" applyFont="1" applyFill="1" applyBorder="1" applyAlignment="1">
      <alignment horizontal="right"/>
    </xf>
    <xf numFmtId="10" fontId="1" fillId="3" borderId="26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98" xfId="0" applyFont="1" applyFill="1" applyBorder="1" applyAlignment="1">
      <alignment/>
    </xf>
    <xf numFmtId="3" fontId="0" fillId="3" borderId="127" xfId="0" applyNumberFormat="1" applyFont="1" applyFill="1" applyBorder="1" applyAlignment="1">
      <alignment horizontal="right"/>
    </xf>
    <xf numFmtId="4" fontId="0" fillId="3" borderId="128" xfId="0" applyNumberFormat="1" applyFont="1" applyFill="1" applyBorder="1" applyAlignment="1">
      <alignment horizontal="right"/>
    </xf>
    <xf numFmtId="10" fontId="0" fillId="3" borderId="127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10" fillId="2" borderId="129" xfId="0" applyFont="1" applyFill="1" applyBorder="1" applyAlignment="1">
      <alignment/>
    </xf>
    <xf numFmtId="3" fontId="10" fillId="3" borderId="14" xfId="0" applyNumberFormat="1" applyFont="1" applyFill="1" applyBorder="1" applyAlignment="1">
      <alignment horizontal="right"/>
    </xf>
    <xf numFmtId="4" fontId="10" fillId="3" borderId="129" xfId="0" applyNumberFormat="1" applyFont="1" applyFill="1" applyBorder="1" applyAlignment="1">
      <alignment horizontal="right"/>
    </xf>
    <xf numFmtId="10" fontId="10" fillId="3" borderId="14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1" fillId="2" borderId="130" xfId="0" applyFont="1" applyFill="1" applyBorder="1" applyAlignment="1">
      <alignment/>
    </xf>
    <xf numFmtId="3" fontId="1" fillId="3" borderId="130" xfId="0" applyNumberFormat="1" applyFont="1" applyFill="1" applyBorder="1" applyAlignment="1">
      <alignment horizontal="right"/>
    </xf>
    <xf numFmtId="4" fontId="1" fillId="3" borderId="131" xfId="0" applyNumberFormat="1" applyFont="1" applyFill="1" applyBorder="1" applyAlignment="1">
      <alignment horizontal="right"/>
    </xf>
    <xf numFmtId="10" fontId="1" fillId="3" borderId="130" xfId="0" applyNumberFormat="1" applyFont="1" applyFill="1" applyBorder="1" applyAlignment="1">
      <alignment horizontal="right"/>
    </xf>
    <xf numFmtId="0" fontId="1" fillId="2" borderId="1" xfId="0" applyFont="1" applyFill="1" applyBorder="1" applyAlignment="1" quotePrefix="1">
      <alignment horizontal="right"/>
    </xf>
    <xf numFmtId="0" fontId="1" fillId="2" borderId="1" xfId="0" applyFont="1" applyFill="1" applyBorder="1" applyAlignment="1">
      <alignment vertical="top"/>
    </xf>
    <xf numFmtId="0" fontId="1" fillId="2" borderId="98" xfId="0" applyFont="1" applyFill="1" applyBorder="1" applyAlignment="1">
      <alignment wrapText="1"/>
    </xf>
    <xf numFmtId="3" fontId="1" fillId="3" borderId="98" xfId="0" applyNumberFormat="1" applyFont="1" applyFill="1" applyBorder="1" applyAlignment="1">
      <alignment wrapText="1"/>
    </xf>
    <xf numFmtId="4" fontId="1" fillId="3" borderId="98" xfId="0" applyNumberFormat="1" applyFont="1" applyFill="1" applyBorder="1" applyAlignment="1">
      <alignment wrapText="1"/>
    </xf>
    <xf numFmtId="10" fontId="1" fillId="3" borderId="1" xfId="0" applyNumberFormat="1" applyFont="1" applyFill="1" applyBorder="1" applyAlignment="1">
      <alignment wrapText="1"/>
    </xf>
    <xf numFmtId="0" fontId="0" fillId="2" borderId="127" xfId="0" applyFont="1" applyFill="1" applyBorder="1" applyAlignment="1">
      <alignment horizontal="right"/>
    </xf>
    <xf numFmtId="0" fontId="1" fillId="2" borderId="132" xfId="0" applyFont="1" applyFill="1" applyBorder="1" applyAlignment="1" quotePrefix="1">
      <alignment horizontal="right"/>
    </xf>
    <xf numFmtId="0" fontId="1" fillId="2" borderId="133" xfId="0" applyFont="1" applyFill="1" applyBorder="1" applyAlignment="1">
      <alignment/>
    </xf>
    <xf numFmtId="3" fontId="1" fillId="3" borderId="133" xfId="0" applyNumberFormat="1" applyFont="1" applyFill="1" applyBorder="1" applyAlignment="1">
      <alignment/>
    </xf>
    <xf numFmtId="4" fontId="1" fillId="3" borderId="133" xfId="0" applyNumberFormat="1" applyFont="1" applyFill="1" applyBorder="1" applyAlignment="1">
      <alignment/>
    </xf>
    <xf numFmtId="10" fontId="1" fillId="3" borderId="132" xfId="0" applyNumberFormat="1" applyFont="1" applyFill="1" applyBorder="1" applyAlignment="1">
      <alignment/>
    </xf>
    <xf numFmtId="0" fontId="0" fillId="2" borderId="6" xfId="0" applyFont="1" applyFill="1" applyBorder="1" applyAlignment="1">
      <alignment vertical="top"/>
    </xf>
    <xf numFmtId="0" fontId="0" fillId="2" borderId="95" xfId="0" applyFont="1" applyFill="1" applyBorder="1" applyAlignment="1">
      <alignment wrapText="1"/>
    </xf>
    <xf numFmtId="3" fontId="0" fillId="3" borderId="6" xfId="0" applyNumberFormat="1" applyFont="1" applyFill="1" applyBorder="1" applyAlignment="1">
      <alignment horizontal="right" wrapText="1"/>
    </xf>
    <xf numFmtId="4" fontId="0" fillId="3" borderId="95" xfId="0" applyNumberFormat="1" applyFont="1" applyFill="1" applyBorder="1" applyAlignment="1">
      <alignment horizontal="right" wrapText="1"/>
    </xf>
    <xf numFmtId="10" fontId="0" fillId="3" borderId="6" xfId="0" applyNumberFormat="1" applyFont="1" applyFill="1" applyBorder="1" applyAlignment="1">
      <alignment horizontal="right" wrapText="1"/>
    </xf>
    <xf numFmtId="0" fontId="1" fillId="2" borderId="19" xfId="0" applyFont="1" applyFill="1" applyBorder="1" applyAlignment="1" quotePrefix="1">
      <alignment horizontal="right"/>
    </xf>
    <xf numFmtId="0" fontId="1" fillId="2" borderId="19" xfId="0" applyFont="1" applyFill="1" applyBorder="1" applyAlignment="1">
      <alignment vertical="top"/>
    </xf>
    <xf numFmtId="0" fontId="1" fillId="2" borderId="86" xfId="0" applyFont="1" applyFill="1" applyBorder="1" applyAlignment="1">
      <alignment wrapText="1"/>
    </xf>
    <xf numFmtId="3" fontId="1" fillId="3" borderId="86" xfId="0" applyNumberFormat="1" applyFont="1" applyFill="1" applyBorder="1" applyAlignment="1">
      <alignment wrapText="1"/>
    </xf>
    <xf numFmtId="4" fontId="1" fillId="3" borderId="104" xfId="0" applyNumberFormat="1" applyFont="1" applyFill="1" applyBorder="1" applyAlignment="1">
      <alignment wrapText="1"/>
    </xf>
    <xf numFmtId="10" fontId="1" fillId="3" borderId="18" xfId="0" applyNumberFormat="1" applyFont="1" applyFill="1" applyBorder="1" applyAlignment="1">
      <alignment wrapText="1"/>
    </xf>
    <xf numFmtId="0" fontId="1" fillId="2" borderId="91" xfId="0" applyFont="1" applyFill="1" applyBorder="1" applyAlignment="1">
      <alignment/>
    </xf>
    <xf numFmtId="3" fontId="1" fillId="3" borderId="91" xfId="0" applyNumberFormat="1" applyFont="1" applyFill="1" applyBorder="1" applyAlignment="1">
      <alignment/>
    </xf>
    <xf numFmtId="4" fontId="1" fillId="3" borderId="91" xfId="0" applyNumberFormat="1" applyFont="1" applyFill="1" applyBorder="1" applyAlignment="1">
      <alignment/>
    </xf>
    <xf numFmtId="10" fontId="1" fillId="3" borderId="7" xfId="0" applyNumberFormat="1" applyFont="1" applyFill="1" applyBorder="1" applyAlignment="1">
      <alignment/>
    </xf>
    <xf numFmtId="0" fontId="0" fillId="2" borderId="2" xfId="0" applyFont="1" applyFill="1" applyBorder="1" applyAlignment="1">
      <alignment vertical="top"/>
    </xf>
    <xf numFmtId="0" fontId="0" fillId="2" borderId="126" xfId="0" applyFont="1" applyFill="1" applyBorder="1" applyAlignment="1">
      <alignment wrapText="1"/>
    </xf>
    <xf numFmtId="3" fontId="0" fillId="3" borderId="126" xfId="0" applyNumberFormat="1" applyFont="1" applyFill="1" applyBorder="1" applyAlignment="1">
      <alignment wrapText="1"/>
    </xf>
    <xf numFmtId="4" fontId="0" fillId="3" borderId="126" xfId="0" applyNumberFormat="1" applyFont="1" applyFill="1" applyBorder="1" applyAlignment="1">
      <alignment wrapText="1"/>
    </xf>
    <xf numFmtId="10" fontId="0" fillId="3" borderId="13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0" fillId="2" borderId="98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horizontal="right" wrapText="1"/>
    </xf>
    <xf numFmtId="4" fontId="0" fillId="3" borderId="98" xfId="0" applyNumberFormat="1" applyFont="1" applyFill="1" applyBorder="1" applyAlignment="1">
      <alignment horizontal="right" wrapText="1"/>
    </xf>
    <xf numFmtId="10" fontId="0" fillId="3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93" xfId="0" applyFont="1" applyFill="1" applyBorder="1" applyAlignment="1">
      <alignment horizontal="left" wrapText="1"/>
    </xf>
    <xf numFmtId="3" fontId="1" fillId="3" borderId="2" xfId="0" applyNumberFormat="1" applyFont="1" applyFill="1" applyBorder="1" applyAlignment="1">
      <alignment horizontal="right" wrapText="1"/>
    </xf>
    <xf numFmtId="4" fontId="1" fillId="3" borderId="93" xfId="0" applyNumberFormat="1" applyFont="1" applyFill="1" applyBorder="1" applyAlignment="1">
      <alignment horizontal="right" wrapText="1"/>
    </xf>
    <xf numFmtId="10" fontId="1" fillId="3" borderId="2" xfId="0" applyNumberFormat="1" applyFont="1" applyFill="1" applyBorder="1" applyAlignment="1">
      <alignment horizontal="right" wrapText="1"/>
    </xf>
    <xf numFmtId="0" fontId="1" fillId="6" borderId="127" xfId="0" applyFont="1" applyFill="1" applyBorder="1" applyAlignment="1">
      <alignment horizontal="right" wrapText="1"/>
    </xf>
    <xf numFmtId="0" fontId="1" fillId="2" borderId="132" xfId="0" applyFont="1" applyFill="1" applyBorder="1" applyAlignment="1">
      <alignment/>
    </xf>
    <xf numFmtId="0" fontId="1" fillId="2" borderId="133" xfId="0" applyFont="1" applyFill="1" applyBorder="1" applyAlignment="1">
      <alignment wrapText="1"/>
    </xf>
    <xf numFmtId="3" fontId="1" fillId="3" borderId="133" xfId="0" applyNumberFormat="1" applyFont="1" applyFill="1" applyBorder="1" applyAlignment="1">
      <alignment horizontal="right" wrapText="1"/>
    </xf>
    <xf numFmtId="4" fontId="1" fillId="3" borderId="133" xfId="0" applyNumberFormat="1" applyFont="1" applyFill="1" applyBorder="1" applyAlignment="1">
      <alignment horizontal="right" wrapText="1"/>
    </xf>
    <xf numFmtId="10" fontId="1" fillId="3" borderId="132" xfId="0" applyNumberFormat="1" applyFont="1" applyFill="1" applyBorder="1" applyAlignment="1">
      <alignment horizontal="right" wrapText="1"/>
    </xf>
    <xf numFmtId="0" fontId="0" fillId="6" borderId="0" xfId="0" applyFont="1" applyFill="1" applyBorder="1" applyAlignment="1">
      <alignment/>
    </xf>
    <xf numFmtId="0" fontId="0" fillId="6" borderId="1" xfId="0" applyFont="1" applyFill="1" applyBorder="1" applyAlignment="1">
      <alignment horizontal="right" wrapText="1"/>
    </xf>
    <xf numFmtId="0" fontId="0" fillId="2" borderId="116" xfId="0" applyFont="1" applyFill="1" applyBorder="1" applyAlignment="1">
      <alignment wrapText="1"/>
    </xf>
    <xf numFmtId="3" fontId="0" fillId="3" borderId="6" xfId="0" applyNumberFormat="1" applyFont="1" applyFill="1" applyBorder="1" applyAlignment="1">
      <alignment horizontal="right"/>
    </xf>
    <xf numFmtId="4" fontId="0" fillId="3" borderId="95" xfId="0" applyNumberFormat="1" applyFont="1" applyFill="1" applyBorder="1" applyAlignment="1">
      <alignment horizontal="right"/>
    </xf>
    <xf numFmtId="10" fontId="0" fillId="3" borderId="6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95" xfId="0" applyFont="1" applyFill="1" applyBorder="1" applyAlignment="1">
      <alignment wrapText="1"/>
    </xf>
    <xf numFmtId="3" fontId="1" fillId="3" borderId="91" xfId="0" applyNumberFormat="1" applyFont="1" applyFill="1" applyBorder="1" applyAlignment="1">
      <alignment horizontal="right" wrapText="1"/>
    </xf>
    <xf numFmtId="4" fontId="1" fillId="3" borderId="91" xfId="0" applyNumberFormat="1" applyFont="1" applyFill="1" applyBorder="1" applyAlignment="1">
      <alignment horizontal="right" wrapText="1"/>
    </xf>
    <xf numFmtId="10" fontId="1" fillId="3" borderId="7" xfId="0" applyNumberFormat="1" applyFont="1" applyFill="1" applyBorder="1" applyAlignment="1">
      <alignment horizontal="right" wrapText="1"/>
    </xf>
    <xf numFmtId="3" fontId="0" fillId="3" borderId="2" xfId="0" applyNumberFormat="1" applyFont="1" applyFill="1" applyBorder="1" applyAlignment="1">
      <alignment horizontal="right"/>
    </xf>
    <xf numFmtId="4" fontId="0" fillId="3" borderId="93" xfId="0" applyNumberFormat="1" applyFont="1" applyFill="1" applyBorder="1" applyAlignment="1">
      <alignment horizontal="right"/>
    </xf>
    <xf numFmtId="10" fontId="0" fillId="3" borderId="2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 wrapText="1"/>
    </xf>
    <xf numFmtId="4" fontId="0" fillId="3" borderId="100" xfId="0" applyNumberFormat="1" applyFont="1" applyFill="1" applyBorder="1" applyAlignment="1">
      <alignment horizontal="right" wrapText="1"/>
    </xf>
    <xf numFmtId="10" fontId="0" fillId="3" borderId="5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/>
    </xf>
    <xf numFmtId="0" fontId="0" fillId="2" borderId="10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116" xfId="0" applyFont="1" applyFill="1" applyBorder="1" applyAlignment="1">
      <alignment horizontal="left" wrapText="1"/>
    </xf>
    <xf numFmtId="3" fontId="0" fillId="3" borderId="9" xfId="0" applyNumberFormat="1" applyFont="1" applyFill="1" applyBorder="1" applyAlignment="1">
      <alignment horizontal="right" wrapText="1"/>
    </xf>
    <xf numFmtId="4" fontId="0" fillId="3" borderId="116" xfId="0" applyNumberFormat="1" applyFont="1" applyFill="1" applyBorder="1" applyAlignment="1">
      <alignment horizontal="right" wrapText="1"/>
    </xf>
    <xf numFmtId="10" fontId="0" fillId="3" borderId="9" xfId="0" applyNumberFormat="1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4" fontId="0" fillId="3" borderId="100" xfId="0" applyNumberFormat="1" applyFont="1" applyFill="1" applyBorder="1" applyAlignment="1">
      <alignment horizontal="right"/>
    </xf>
    <xf numFmtId="10" fontId="0" fillId="3" borderId="5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/>
    </xf>
    <xf numFmtId="3" fontId="0" fillId="3" borderId="16" xfId="0" applyNumberFormat="1" applyFont="1" applyFill="1" applyBorder="1" applyAlignment="1">
      <alignment horizontal="right"/>
    </xf>
    <xf numFmtId="4" fontId="0" fillId="3" borderId="108" xfId="0" applyNumberFormat="1" applyFont="1" applyFill="1" applyBorder="1" applyAlignment="1">
      <alignment horizontal="right"/>
    </xf>
    <xf numFmtId="10" fontId="0" fillId="3" borderId="16" xfId="0" applyNumberFormat="1" applyFont="1" applyFill="1" applyBorder="1" applyAlignment="1">
      <alignment horizontal="right"/>
    </xf>
    <xf numFmtId="0" fontId="0" fillId="2" borderId="100" xfId="0" applyFont="1" applyFill="1" applyBorder="1" applyAlignment="1">
      <alignment wrapText="1"/>
    </xf>
    <xf numFmtId="0" fontId="0" fillId="2" borderId="8" xfId="0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right" wrapText="1"/>
    </xf>
    <xf numFmtId="4" fontId="0" fillId="3" borderId="102" xfId="0" applyNumberFormat="1" applyFont="1" applyFill="1" applyBorder="1" applyAlignment="1">
      <alignment horizontal="right" wrapText="1"/>
    </xf>
    <xf numFmtId="10" fontId="0" fillId="3" borderId="8" xfId="0" applyNumberFormat="1" applyFont="1" applyFill="1" applyBorder="1" applyAlignment="1">
      <alignment horizontal="right" wrapText="1"/>
    </xf>
    <xf numFmtId="3" fontId="1" fillId="3" borderId="18" xfId="0" applyNumberFormat="1" applyFont="1" applyFill="1" applyBorder="1" applyAlignment="1">
      <alignment horizontal="right"/>
    </xf>
    <xf numFmtId="4" fontId="1" fillId="3" borderId="104" xfId="0" applyNumberFormat="1" applyFont="1" applyFill="1" applyBorder="1" applyAlignment="1">
      <alignment horizontal="right"/>
    </xf>
    <xf numFmtId="10" fontId="1" fillId="3" borderId="18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 wrapText="1"/>
    </xf>
    <xf numFmtId="3" fontId="1" fillId="3" borderId="7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 quotePrefix="1">
      <alignment/>
    </xf>
    <xf numFmtId="0" fontId="0" fillId="2" borderId="13" xfId="0" applyFont="1" applyFill="1" applyBorder="1" applyAlignment="1">
      <alignment horizontal="left" wrapText="1"/>
    </xf>
    <xf numFmtId="3" fontId="0" fillId="3" borderId="13" xfId="0" applyNumberFormat="1" applyFont="1" applyFill="1" applyBorder="1" applyAlignment="1">
      <alignment horizontal="right" wrapText="1"/>
    </xf>
    <xf numFmtId="4" fontId="0" fillId="3" borderId="126" xfId="0" applyNumberFormat="1" applyFont="1" applyFill="1" applyBorder="1" applyAlignment="1">
      <alignment horizontal="right" wrapText="1"/>
    </xf>
    <xf numFmtId="10" fontId="0" fillId="3" borderId="13" xfId="0" applyNumberFormat="1" applyFont="1" applyFill="1" applyBorder="1" applyAlignment="1">
      <alignment horizontal="right" wrapText="1"/>
    </xf>
    <xf numFmtId="3" fontId="0" fillId="3" borderId="116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4" fontId="1" fillId="3" borderId="93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/>
    </xf>
    <xf numFmtId="0" fontId="1" fillId="6" borderId="127" xfId="0" applyFont="1" applyFill="1" applyBorder="1" applyAlignment="1">
      <alignment horizontal="right"/>
    </xf>
    <xf numFmtId="0" fontId="1" fillId="6" borderId="132" xfId="0" applyFont="1" applyFill="1" applyBorder="1" applyAlignment="1">
      <alignment/>
    </xf>
    <xf numFmtId="0" fontId="1" fillId="6" borderId="133" xfId="0" applyFont="1" applyFill="1" applyBorder="1" applyAlignment="1">
      <alignment/>
    </xf>
    <xf numFmtId="3" fontId="1" fillId="7" borderId="133" xfId="0" applyNumberFormat="1" applyFont="1" applyFill="1" applyBorder="1" applyAlignment="1">
      <alignment horizontal="right"/>
    </xf>
    <xf numFmtId="4" fontId="1" fillId="7" borderId="133" xfId="0" applyNumberFormat="1" applyFont="1" applyFill="1" applyBorder="1" applyAlignment="1">
      <alignment horizontal="right"/>
    </xf>
    <xf numFmtId="10" fontId="1" fillId="7" borderId="132" xfId="0" applyNumberFormat="1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6" borderId="6" xfId="0" applyFont="1" applyFill="1" applyBorder="1" applyAlignment="1">
      <alignment/>
    </xf>
    <xf numFmtId="0" fontId="0" fillId="6" borderId="6" xfId="0" applyFont="1" applyFill="1" applyBorder="1" applyAlignment="1">
      <alignment wrapText="1"/>
    </xf>
    <xf numFmtId="3" fontId="0" fillId="7" borderId="6" xfId="0" applyNumberFormat="1" applyFont="1" applyFill="1" applyBorder="1" applyAlignment="1">
      <alignment horizontal="right"/>
    </xf>
    <xf numFmtId="4" fontId="0" fillId="7" borderId="95" xfId="0" applyNumberFormat="1" applyFont="1" applyFill="1" applyBorder="1" applyAlignment="1">
      <alignment horizontal="right"/>
    </xf>
    <xf numFmtId="10" fontId="0" fillId="7" borderId="6" xfId="0" applyNumberFormat="1" applyFont="1" applyFill="1" applyBorder="1" applyAlignment="1">
      <alignment horizontal="right"/>
    </xf>
    <xf numFmtId="0" fontId="1" fillId="2" borderId="91" xfId="0" applyFont="1" applyFill="1" applyBorder="1" applyAlignment="1">
      <alignment wrapText="1"/>
    </xf>
    <xf numFmtId="3" fontId="1" fillId="3" borderId="91" xfId="0" applyNumberFormat="1" applyFont="1" applyFill="1" applyBorder="1" applyAlignment="1">
      <alignment horizontal="right"/>
    </xf>
    <xf numFmtId="4" fontId="1" fillId="3" borderId="91" xfId="0" applyNumberFormat="1" applyFont="1" applyFill="1" applyBorder="1" applyAlignment="1">
      <alignment horizontal="right"/>
    </xf>
    <xf numFmtId="10" fontId="1" fillId="3" borderId="7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43" fillId="2" borderId="1" xfId="0" applyFont="1" applyFill="1" applyBorder="1" applyAlignment="1">
      <alignment horizontal="right"/>
    </xf>
    <xf numFmtId="0" fontId="43" fillId="2" borderId="1" xfId="0" applyFont="1" applyFill="1" applyBorder="1" applyAlignment="1">
      <alignment/>
    </xf>
    <xf numFmtId="0" fontId="43" fillId="2" borderId="0" xfId="0" applyFont="1" applyFill="1" applyBorder="1" applyAlignment="1">
      <alignment/>
    </xf>
    <xf numFmtId="3" fontId="0" fillId="3" borderId="116" xfId="0" applyNumberFormat="1" applyFont="1" applyFill="1" applyBorder="1" applyAlignment="1">
      <alignment horizontal="right"/>
    </xf>
    <xf numFmtId="4" fontId="0" fillId="3" borderId="116" xfId="0" applyNumberFormat="1" applyFont="1" applyFill="1" applyBorder="1" applyAlignment="1">
      <alignment horizontal="right"/>
    </xf>
    <xf numFmtId="10" fontId="0" fillId="3" borderId="9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2" borderId="98" xfId="0" applyFont="1" applyFill="1" applyBorder="1" applyAlignment="1">
      <alignment/>
    </xf>
    <xf numFmtId="0" fontId="12" fillId="2" borderId="7" xfId="0" applyFont="1" applyFill="1" applyBorder="1" applyAlignment="1">
      <alignment horizontal="left" wrapText="1"/>
    </xf>
    <xf numFmtId="3" fontId="12" fillId="3" borderId="91" xfId="0" applyNumberFormat="1" applyFont="1" applyFill="1" applyBorder="1" applyAlignment="1">
      <alignment horizontal="right" wrapText="1"/>
    </xf>
    <xf numFmtId="3" fontId="12" fillId="3" borderId="7" xfId="0" applyNumberFormat="1" applyFont="1" applyFill="1" applyBorder="1" applyAlignment="1">
      <alignment horizontal="right"/>
    </xf>
    <xf numFmtId="4" fontId="12" fillId="3" borderId="91" xfId="0" applyNumberFormat="1" applyFont="1" applyFill="1" applyBorder="1" applyAlignment="1">
      <alignment horizontal="right"/>
    </xf>
    <xf numFmtId="10" fontId="12" fillId="3" borderId="7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3" fontId="1" fillId="3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91" xfId="0" applyFont="1" applyFill="1" applyBorder="1" applyAlignment="1">
      <alignment/>
    </xf>
    <xf numFmtId="3" fontId="0" fillId="3" borderId="95" xfId="0" applyNumberFormat="1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right"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horizontal="left" wrapText="1"/>
    </xf>
    <xf numFmtId="3" fontId="1" fillId="3" borderId="19" xfId="0" applyNumberFormat="1" applyFont="1" applyFill="1" applyBorder="1" applyAlignment="1">
      <alignment horizontal="right" wrapText="1"/>
    </xf>
    <xf numFmtId="4" fontId="1" fillId="3" borderId="86" xfId="0" applyNumberFormat="1" applyFont="1" applyFill="1" applyBorder="1" applyAlignment="1">
      <alignment horizontal="right" wrapText="1"/>
    </xf>
    <xf numFmtId="10" fontId="1" fillId="3" borderId="19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 quotePrefix="1">
      <alignment/>
    </xf>
    <xf numFmtId="0" fontId="0" fillId="2" borderId="91" xfId="0" applyFont="1" applyFill="1" applyBorder="1" applyAlignment="1">
      <alignment horizontal="left" wrapText="1"/>
    </xf>
    <xf numFmtId="3" fontId="0" fillId="3" borderId="7" xfId="0" applyNumberFormat="1" applyFont="1" applyFill="1" applyBorder="1" applyAlignment="1">
      <alignment horizontal="right" wrapText="1"/>
    </xf>
    <xf numFmtId="4" fontId="0" fillId="3" borderId="91" xfId="0" applyNumberFormat="1" applyFont="1" applyFill="1" applyBorder="1" applyAlignment="1">
      <alignment horizontal="right" wrapText="1"/>
    </xf>
    <xf numFmtId="10" fontId="0" fillId="3" borderId="7" xfId="0" applyNumberFormat="1" applyFont="1" applyFill="1" applyBorder="1" applyAlignment="1">
      <alignment horizontal="right" wrapText="1"/>
    </xf>
    <xf numFmtId="0" fontId="1" fillId="2" borderId="127" xfId="0" applyFont="1" applyFill="1" applyBorder="1" applyAlignment="1">
      <alignment horizontal="right" vertical="top"/>
    </xf>
    <xf numFmtId="3" fontId="1" fillId="3" borderId="133" xfId="0" applyNumberFormat="1" applyFont="1" applyFill="1" applyBorder="1" applyAlignment="1">
      <alignment horizontal="right"/>
    </xf>
    <xf numFmtId="4" fontId="1" fillId="3" borderId="133" xfId="0" applyNumberFormat="1" applyFont="1" applyFill="1" applyBorder="1" applyAlignment="1">
      <alignment horizontal="right"/>
    </xf>
    <xf numFmtId="10" fontId="1" fillId="3" borderId="132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right" vertical="top"/>
    </xf>
    <xf numFmtId="3" fontId="0" fillId="3" borderId="7" xfId="0" applyNumberFormat="1" applyFont="1" applyFill="1" applyBorder="1" applyAlignment="1">
      <alignment horizontal="right"/>
    </xf>
    <xf numFmtId="4" fontId="0" fillId="3" borderId="91" xfId="0" applyNumberFormat="1" applyFont="1" applyFill="1" applyBorder="1" applyAlignment="1">
      <alignment horizontal="right"/>
    </xf>
    <xf numFmtId="10" fontId="0" fillId="3" borderId="7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/>
    </xf>
    <xf numFmtId="3" fontId="1" fillId="3" borderId="95" xfId="0" applyNumberFormat="1" applyFont="1" applyFill="1" applyBorder="1" applyAlignment="1">
      <alignment horizontal="right"/>
    </xf>
    <xf numFmtId="4" fontId="1" fillId="3" borderId="95" xfId="0" applyNumberFormat="1" applyFont="1" applyFill="1" applyBorder="1" applyAlignment="1">
      <alignment horizontal="right"/>
    </xf>
    <xf numFmtId="10" fontId="1" fillId="3" borderId="6" xfId="0" applyNumberFormat="1" applyFont="1" applyFill="1" applyBorder="1" applyAlignment="1">
      <alignment horizontal="right"/>
    </xf>
    <xf numFmtId="3" fontId="0" fillId="3" borderId="126" xfId="0" applyNumberFormat="1" applyFont="1" applyFill="1" applyBorder="1" applyAlignment="1">
      <alignment horizontal="right"/>
    </xf>
    <xf numFmtId="4" fontId="0" fillId="3" borderId="126" xfId="0" applyNumberFormat="1" applyFont="1" applyFill="1" applyBorder="1" applyAlignment="1">
      <alignment horizontal="right"/>
    </xf>
    <xf numFmtId="10" fontId="0" fillId="3" borderId="13" xfId="0" applyNumberFormat="1" applyFont="1" applyFill="1" applyBorder="1" applyAlignment="1">
      <alignment horizontal="right"/>
    </xf>
    <xf numFmtId="0" fontId="1" fillId="2" borderId="95" xfId="0" applyFont="1" applyFill="1" applyBorder="1" applyAlignment="1">
      <alignment horizontal="left" wrapText="1"/>
    </xf>
    <xf numFmtId="3" fontId="1" fillId="3" borderId="95" xfId="0" applyNumberFormat="1" applyFont="1" applyFill="1" applyBorder="1" applyAlignment="1">
      <alignment horizontal="right" wrapText="1"/>
    </xf>
    <xf numFmtId="4" fontId="1" fillId="3" borderId="95" xfId="0" applyNumberFormat="1" applyFont="1" applyFill="1" applyBorder="1" applyAlignment="1">
      <alignment horizontal="right" wrapText="1"/>
    </xf>
    <xf numFmtId="10" fontId="1" fillId="3" borderId="6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>
      <alignment/>
    </xf>
    <xf numFmtId="0" fontId="0" fillId="2" borderId="100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 wrapText="1"/>
    </xf>
    <xf numFmtId="3" fontId="0" fillId="3" borderId="1" xfId="0" applyNumberFormat="1" applyFont="1" applyFill="1" applyBorder="1" applyAlignment="1">
      <alignment horizontal="right"/>
    </xf>
    <xf numFmtId="4" fontId="0" fillId="3" borderId="98" xfId="0" applyNumberFormat="1" applyFont="1" applyFill="1" applyBorder="1" applyAlignment="1">
      <alignment horizontal="right"/>
    </xf>
    <xf numFmtId="10" fontId="0" fillId="3" borderId="1" xfId="0" applyNumberFormat="1" applyFont="1" applyFill="1" applyBorder="1" applyAlignment="1">
      <alignment horizontal="right"/>
    </xf>
    <xf numFmtId="3" fontId="1" fillId="3" borderId="95" xfId="0" applyNumberFormat="1" applyFont="1" applyFill="1" applyBorder="1" applyAlignment="1">
      <alignment wrapText="1"/>
    </xf>
    <xf numFmtId="4" fontId="1" fillId="3" borderId="95" xfId="0" applyNumberFormat="1" applyFont="1" applyFill="1" applyBorder="1" applyAlignment="1">
      <alignment wrapText="1"/>
    </xf>
    <xf numFmtId="10" fontId="1" fillId="3" borderId="6" xfId="0" applyNumberFormat="1" applyFont="1" applyFill="1" applyBorder="1" applyAlignment="1">
      <alignment wrapText="1"/>
    </xf>
    <xf numFmtId="0" fontId="0" fillId="2" borderId="126" xfId="0" applyFont="1" applyFill="1" applyBorder="1" applyAlignment="1">
      <alignment/>
    </xf>
    <xf numFmtId="3" fontId="0" fillId="3" borderId="13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/>
    </xf>
    <xf numFmtId="4" fontId="0" fillId="3" borderId="116" xfId="0" applyNumberFormat="1" applyFont="1" applyFill="1" applyBorder="1" applyAlignment="1">
      <alignment/>
    </xf>
    <xf numFmtId="10" fontId="0" fillId="3" borderId="9" xfId="0" applyNumberFormat="1" applyFont="1" applyFill="1" applyBorder="1" applyAlignment="1">
      <alignment/>
    </xf>
    <xf numFmtId="4" fontId="0" fillId="3" borderId="7" xfId="0" applyNumberFormat="1" applyFont="1" applyFill="1" applyBorder="1" applyAlignment="1">
      <alignment horizontal="right"/>
    </xf>
    <xf numFmtId="3" fontId="1" fillId="3" borderId="91" xfId="0" applyNumberFormat="1" applyFont="1" applyFill="1" applyBorder="1" applyAlignment="1">
      <alignment wrapText="1"/>
    </xf>
    <xf numFmtId="4" fontId="1" fillId="3" borderId="91" xfId="0" applyNumberFormat="1" applyFont="1" applyFill="1" applyBorder="1" applyAlignment="1">
      <alignment wrapText="1"/>
    </xf>
    <xf numFmtId="3" fontId="0" fillId="3" borderId="100" xfId="0" applyNumberFormat="1" applyFont="1" applyFill="1" applyBorder="1" applyAlignment="1">
      <alignment horizontal="right"/>
    </xf>
    <xf numFmtId="0" fontId="0" fillId="2" borderId="91" xfId="0" applyFont="1" applyFill="1" applyBorder="1" applyAlignment="1">
      <alignment wrapText="1"/>
    </xf>
    <xf numFmtId="3" fontId="0" fillId="3" borderId="9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3" fontId="1" fillId="3" borderId="98" xfId="0" applyNumberFormat="1" applyFont="1" applyFill="1" applyBorder="1" applyAlignment="1">
      <alignment/>
    </xf>
    <xf numFmtId="4" fontId="1" fillId="3" borderId="98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0" fontId="1" fillId="2" borderId="127" xfId="0" applyFont="1" applyFill="1" applyBorder="1" applyAlignment="1">
      <alignment horizontal="right"/>
    </xf>
    <xf numFmtId="0" fontId="1" fillId="2" borderId="104" xfId="0" applyFont="1" applyFill="1" applyBorder="1" applyAlignment="1">
      <alignment horizontal="left" wrapText="1"/>
    </xf>
    <xf numFmtId="3" fontId="1" fillId="3" borderId="104" xfId="0" applyNumberFormat="1" applyFont="1" applyFill="1" applyBorder="1" applyAlignment="1">
      <alignment horizontal="right" wrapText="1"/>
    </xf>
    <xf numFmtId="4" fontId="1" fillId="3" borderId="104" xfId="0" applyNumberFormat="1" applyFont="1" applyFill="1" applyBorder="1" applyAlignment="1">
      <alignment horizontal="right" wrapText="1"/>
    </xf>
    <xf numFmtId="10" fontId="1" fillId="3" borderId="18" xfId="0" applyNumberFormat="1" applyFont="1" applyFill="1" applyBorder="1" applyAlignment="1">
      <alignment horizontal="right" wrapText="1"/>
    </xf>
    <xf numFmtId="0" fontId="1" fillId="2" borderId="9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3" fontId="0" fillId="3" borderId="2" xfId="0" applyNumberFormat="1" applyFont="1" applyFill="1" applyBorder="1" applyAlignment="1">
      <alignment horizontal="right" wrapText="1"/>
    </xf>
    <xf numFmtId="4" fontId="0" fillId="3" borderId="93" xfId="0" applyNumberFormat="1" applyFont="1" applyFill="1" applyBorder="1" applyAlignment="1">
      <alignment horizontal="right" wrapText="1"/>
    </xf>
    <xf numFmtId="10" fontId="0" fillId="3" borderId="2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left" wrapText="1"/>
    </xf>
    <xf numFmtId="3" fontId="0" fillId="3" borderId="91" xfId="0" applyNumberFormat="1" applyFont="1" applyFill="1" applyBorder="1" applyAlignment="1">
      <alignment horizontal="right" wrapText="1"/>
    </xf>
    <xf numFmtId="4" fontId="0" fillId="3" borderId="108" xfId="0" applyNumberFormat="1" applyFont="1" applyFill="1" applyBorder="1" applyAlignment="1">
      <alignment horizontal="right" wrapText="1"/>
    </xf>
    <xf numFmtId="10" fontId="0" fillId="3" borderId="16" xfId="0" applyNumberFormat="1" applyFont="1" applyFill="1" applyBorder="1" applyAlignment="1">
      <alignment horizontal="right" wrapText="1"/>
    </xf>
    <xf numFmtId="3" fontId="0" fillId="3" borderId="100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/>
    </xf>
    <xf numFmtId="0" fontId="0" fillId="2" borderId="126" xfId="0" applyFont="1" applyFill="1" applyBorder="1" applyAlignment="1">
      <alignment horizontal="left" wrapText="1"/>
    </xf>
    <xf numFmtId="3" fontId="0" fillId="3" borderId="126" xfId="0" applyNumberFormat="1" applyFont="1" applyFill="1" applyBorder="1" applyAlignment="1">
      <alignment horizontal="right" wrapText="1"/>
    </xf>
    <xf numFmtId="0" fontId="0" fillId="2" borderId="98" xfId="0" applyFont="1" applyFill="1" applyBorder="1" applyAlignment="1">
      <alignment horizontal="left" wrapText="1"/>
    </xf>
    <xf numFmtId="3" fontId="0" fillId="3" borderId="98" xfId="0" applyNumberFormat="1" applyFont="1" applyFill="1" applyBorder="1" applyAlignment="1">
      <alignment horizontal="right" wrapText="1"/>
    </xf>
    <xf numFmtId="0" fontId="0" fillId="2" borderId="25" xfId="0" applyFont="1" applyFill="1" applyBorder="1" applyAlignment="1">
      <alignment horizontal="right"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 horizontal="left" wrapText="1"/>
    </xf>
    <xf numFmtId="3" fontId="0" fillId="3" borderId="25" xfId="0" applyNumberFormat="1" applyFont="1" applyFill="1" applyBorder="1" applyAlignment="1">
      <alignment horizontal="right" wrapText="1"/>
    </xf>
    <xf numFmtId="4" fontId="0" fillId="3" borderId="25" xfId="0" applyNumberFormat="1" applyFont="1" applyFill="1" applyBorder="1" applyAlignment="1">
      <alignment horizontal="right" wrapText="1"/>
    </xf>
    <xf numFmtId="10" fontId="0" fillId="3" borderId="2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right" wrapText="1"/>
    </xf>
    <xf numFmtId="3" fontId="0" fillId="3" borderId="13" xfId="0" applyNumberFormat="1" applyFont="1" applyFill="1" applyBorder="1" applyAlignment="1">
      <alignment/>
    </xf>
    <xf numFmtId="4" fontId="0" fillId="3" borderId="126" xfId="0" applyNumberFormat="1" applyFont="1" applyFill="1" applyBorder="1" applyAlignment="1">
      <alignment/>
    </xf>
    <xf numFmtId="3" fontId="0" fillId="3" borderId="116" xfId="0" applyNumberFormat="1" applyFont="1" applyFill="1" applyBorder="1" applyAlignment="1">
      <alignment/>
    </xf>
    <xf numFmtId="3" fontId="0" fillId="3" borderId="100" xfId="0" applyNumberFormat="1" applyFont="1" applyFill="1" applyBorder="1" applyAlignment="1">
      <alignment/>
    </xf>
    <xf numFmtId="4" fontId="0" fillId="3" borderId="100" xfId="0" applyNumberFormat="1" applyFont="1" applyFill="1" applyBorder="1" applyAlignment="1">
      <alignment/>
    </xf>
    <xf numFmtId="10" fontId="0" fillId="3" borderId="5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 horizontal="right"/>
    </xf>
    <xf numFmtId="3" fontId="0" fillId="3" borderId="91" xfId="0" applyNumberFormat="1" applyFont="1" applyFill="1" applyBorder="1" applyAlignment="1">
      <alignment/>
    </xf>
    <xf numFmtId="3" fontId="1" fillId="3" borderId="91" xfId="0" applyNumberFormat="1" applyFont="1" applyFill="1" applyBorder="1" applyAlignment="1">
      <alignment/>
    </xf>
    <xf numFmtId="4" fontId="1" fillId="3" borderId="91" xfId="0" applyNumberFormat="1" applyFont="1" applyFill="1" applyBorder="1" applyAlignment="1">
      <alignment/>
    </xf>
    <xf numFmtId="10" fontId="1" fillId="3" borderId="7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4" fontId="0" fillId="3" borderId="91" xfId="0" applyNumberFormat="1" applyFont="1" applyFill="1" applyBorder="1" applyAlignment="1">
      <alignment/>
    </xf>
    <xf numFmtId="10" fontId="0" fillId="3" borderId="7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95" xfId="0" applyFont="1" applyFill="1" applyBorder="1" applyAlignment="1">
      <alignment horizontal="left" wrapText="1"/>
    </xf>
    <xf numFmtId="3" fontId="0" fillId="3" borderId="9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 wrapText="1"/>
    </xf>
    <xf numFmtId="0" fontId="0" fillId="2" borderId="100" xfId="0" applyFont="1" applyFill="1" applyBorder="1" applyAlignment="1">
      <alignment horizontal="left" wrapText="1"/>
    </xf>
    <xf numFmtId="3" fontId="0" fillId="3" borderId="100" xfId="0" applyNumberFormat="1" applyFont="1" applyFill="1" applyBorder="1" applyAlignment="1">
      <alignment horizontal="right" wrapText="1"/>
    </xf>
    <xf numFmtId="10" fontId="0" fillId="3" borderId="5" xfId="0" applyNumberFormat="1" applyFont="1" applyFill="1" applyBorder="1" applyAlignment="1">
      <alignment horizontal="right" wrapText="1"/>
    </xf>
    <xf numFmtId="0" fontId="44" fillId="2" borderId="0" xfId="0" applyFont="1" applyFill="1" applyBorder="1" applyAlignment="1">
      <alignment/>
    </xf>
    <xf numFmtId="0" fontId="0" fillId="2" borderId="108" xfId="0" applyFont="1" applyFill="1" applyBorder="1" applyAlignment="1">
      <alignment horizontal="left" wrapText="1"/>
    </xf>
    <xf numFmtId="3" fontId="0" fillId="3" borderId="108" xfId="0" applyNumberFormat="1" applyFont="1" applyFill="1" applyBorder="1" applyAlignment="1">
      <alignment horizontal="right" wrapText="1"/>
    </xf>
    <xf numFmtId="10" fontId="0" fillId="3" borderId="16" xfId="0" applyNumberFormat="1" applyFont="1" applyFill="1" applyBorder="1" applyAlignment="1">
      <alignment horizontal="right" wrapText="1"/>
    </xf>
    <xf numFmtId="0" fontId="0" fillId="2" borderId="93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horizontal="right" wrapText="1"/>
    </xf>
    <xf numFmtId="4" fontId="0" fillId="3" borderId="0" xfId="0" applyNumberFormat="1" applyFont="1" applyFill="1" applyBorder="1" applyAlignment="1">
      <alignment horizontal="right" wrapText="1"/>
    </xf>
    <xf numFmtId="10" fontId="0" fillId="3" borderId="0" xfId="0" applyNumberFormat="1" applyFont="1" applyFill="1" applyBorder="1" applyAlignment="1">
      <alignment horizontal="right" wrapText="1"/>
    </xf>
    <xf numFmtId="0" fontId="1" fillId="2" borderId="98" xfId="0" applyFont="1" applyFill="1" applyBorder="1" applyAlignment="1">
      <alignment horizontal="left" wrapText="1"/>
    </xf>
    <xf numFmtId="3" fontId="1" fillId="3" borderId="98" xfId="0" applyNumberFormat="1" applyFont="1" applyFill="1" applyBorder="1" applyAlignment="1">
      <alignment horizontal="right" wrapText="1"/>
    </xf>
    <xf numFmtId="4" fontId="1" fillId="3" borderId="98" xfId="0" applyNumberFormat="1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horizontal="right" wrapText="1"/>
    </xf>
    <xf numFmtId="0" fontId="1" fillId="2" borderId="133" xfId="0" applyFont="1" applyFill="1" applyBorder="1" applyAlignment="1">
      <alignment horizontal="left" wrapText="1"/>
    </xf>
    <xf numFmtId="3" fontId="1" fillId="3" borderId="132" xfId="0" applyNumberFormat="1" applyFont="1" applyFill="1" applyBorder="1" applyAlignment="1">
      <alignment horizontal="right" wrapText="1"/>
    </xf>
    <xf numFmtId="3" fontId="1" fillId="3" borderId="86" xfId="0" applyNumberFormat="1" applyFont="1" applyFill="1" applyBorder="1" applyAlignment="1">
      <alignment horizontal="right"/>
    </xf>
    <xf numFmtId="4" fontId="1" fillId="3" borderId="86" xfId="0" applyNumberFormat="1" applyFont="1" applyFill="1" applyBorder="1" applyAlignment="1">
      <alignment horizontal="right"/>
    </xf>
    <xf numFmtId="10" fontId="1" fillId="3" borderId="19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0" fillId="2" borderId="93" xfId="0" applyFont="1" applyFill="1" applyBorder="1" applyAlignment="1">
      <alignment horizontal="left" wrapText="1"/>
    </xf>
    <xf numFmtId="3" fontId="0" fillId="3" borderId="93" xfId="0" applyNumberFormat="1" applyFont="1" applyFill="1" applyBorder="1" applyAlignment="1">
      <alignment horizontal="right" wrapText="1"/>
    </xf>
    <xf numFmtId="3" fontId="0" fillId="3" borderId="8" xfId="0" applyNumberFormat="1" applyFont="1" applyFill="1" applyBorder="1" applyAlignment="1">
      <alignment horizontal="right"/>
    </xf>
    <xf numFmtId="4" fontId="0" fillId="3" borderId="102" xfId="0" applyNumberFormat="1" applyFont="1" applyFill="1" applyBorder="1" applyAlignment="1">
      <alignment horizontal="right"/>
    </xf>
    <xf numFmtId="10" fontId="0" fillId="3" borderId="8" xfId="0" applyNumberFormat="1" applyFont="1" applyFill="1" applyBorder="1" applyAlignment="1">
      <alignment horizontal="right"/>
    </xf>
    <xf numFmtId="3" fontId="0" fillId="3" borderId="25" xfId="0" applyNumberFormat="1" applyFont="1" applyFill="1" applyBorder="1" applyAlignment="1">
      <alignment horizontal="right"/>
    </xf>
    <xf numFmtId="4" fontId="0" fillId="3" borderId="25" xfId="0" applyNumberFormat="1" applyFont="1" applyFill="1" applyBorder="1" applyAlignment="1">
      <alignment horizontal="right"/>
    </xf>
    <xf numFmtId="10" fontId="0" fillId="3" borderId="25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10" fontId="0" fillId="3" borderId="0" xfId="0" applyNumberFormat="1" applyFont="1" applyFill="1" applyBorder="1" applyAlignment="1">
      <alignment horizontal="right"/>
    </xf>
    <xf numFmtId="0" fontId="1" fillId="8" borderId="7" xfId="0" applyFont="1" applyFill="1" applyBorder="1" applyAlignment="1">
      <alignment horizontal="right"/>
    </xf>
    <xf numFmtId="0" fontId="1" fillId="8" borderId="7" xfId="0" applyFont="1" applyFill="1" applyBorder="1" applyAlignment="1">
      <alignment/>
    </xf>
    <xf numFmtId="0" fontId="1" fillId="8" borderId="129" xfId="0" applyFont="1" applyFill="1" applyBorder="1" applyAlignment="1">
      <alignment wrapText="1"/>
    </xf>
    <xf numFmtId="3" fontId="1" fillId="9" borderId="14" xfId="0" applyNumberFormat="1" applyFont="1" applyFill="1" applyBorder="1" applyAlignment="1">
      <alignment horizontal="right"/>
    </xf>
    <xf numFmtId="4" fontId="1" fillId="9" borderId="129" xfId="0" applyNumberFormat="1" applyFont="1" applyFill="1" applyBorder="1" applyAlignment="1">
      <alignment horizontal="right"/>
    </xf>
    <xf numFmtId="10" fontId="1" fillId="9" borderId="14" xfId="0" applyNumberFormat="1" applyFont="1" applyFill="1" applyBorder="1" applyAlignment="1">
      <alignment horizontal="right"/>
    </xf>
    <xf numFmtId="0" fontId="1" fillId="8" borderId="0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4" fontId="1" fillId="3" borderId="98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right"/>
    </xf>
    <xf numFmtId="3" fontId="1" fillId="3" borderId="132" xfId="0" applyNumberFormat="1" applyFont="1" applyFill="1" applyBorder="1" applyAlignment="1">
      <alignment horizontal="right"/>
    </xf>
    <xf numFmtId="3" fontId="1" fillId="3" borderId="14" xfId="0" applyNumberFormat="1" applyFont="1" applyFill="1" applyBorder="1" applyAlignment="1">
      <alignment horizontal="right"/>
    </xf>
    <xf numFmtId="4" fontId="1" fillId="3" borderId="129" xfId="0" applyNumberFormat="1" applyFont="1" applyFill="1" applyBorder="1" applyAlignment="1">
      <alignment horizontal="right"/>
    </xf>
    <xf numFmtId="10" fontId="1" fillId="3" borderId="1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6" borderId="132" xfId="0" applyFont="1" applyFill="1" applyBorder="1" applyAlignment="1">
      <alignment wrapText="1"/>
    </xf>
    <xf numFmtId="3" fontId="1" fillId="7" borderId="132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2" borderId="6" xfId="0" applyFont="1" applyFill="1" applyBorder="1" applyAlignment="1">
      <alignment/>
    </xf>
    <xf numFmtId="3" fontId="0" fillId="3" borderId="6" xfId="0" applyNumberFormat="1" applyFont="1" applyFill="1" applyBorder="1" applyAlignment="1">
      <alignment horizontal="right"/>
    </xf>
    <xf numFmtId="4" fontId="0" fillId="3" borderId="95" xfId="0" applyNumberFormat="1" applyFont="1" applyFill="1" applyBorder="1" applyAlignment="1">
      <alignment horizontal="right"/>
    </xf>
    <xf numFmtId="10" fontId="0" fillId="3" borderId="6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0" fontId="1" fillId="6" borderId="1" xfId="0" applyFont="1" applyFill="1" applyBorder="1" applyAlignment="1">
      <alignment horizontal="right"/>
    </xf>
    <xf numFmtId="0" fontId="1" fillId="6" borderId="7" xfId="0" applyFont="1" applyFill="1" applyBorder="1" applyAlignment="1">
      <alignment/>
    </xf>
    <xf numFmtId="0" fontId="1" fillId="6" borderId="7" xfId="0" applyFont="1" applyFill="1" applyBorder="1" applyAlignment="1">
      <alignment wrapText="1"/>
    </xf>
    <xf numFmtId="3" fontId="1" fillId="7" borderId="7" xfId="0" applyNumberFormat="1" applyFont="1" applyFill="1" applyBorder="1" applyAlignment="1">
      <alignment horizontal="right"/>
    </xf>
    <xf numFmtId="4" fontId="1" fillId="7" borderId="91" xfId="0" applyNumberFormat="1" applyFont="1" applyFill="1" applyBorder="1" applyAlignment="1">
      <alignment horizontal="right"/>
    </xf>
    <xf numFmtId="10" fontId="1" fillId="7" borderId="7" xfId="0" applyNumberFormat="1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  <xf numFmtId="0" fontId="1" fillId="10" borderId="2" xfId="0" applyFont="1" applyFill="1" applyBorder="1" applyAlignment="1">
      <alignment horizontal="right"/>
    </xf>
    <xf numFmtId="0" fontId="1" fillId="10" borderId="2" xfId="0" applyFont="1" applyFill="1" applyBorder="1" applyAlignment="1">
      <alignment/>
    </xf>
    <xf numFmtId="0" fontId="1" fillId="10" borderId="2" xfId="0" applyFont="1" applyFill="1" applyBorder="1" applyAlignment="1">
      <alignment wrapText="1"/>
    </xf>
    <xf numFmtId="3" fontId="1" fillId="11" borderId="2" xfId="0" applyNumberFormat="1" applyFont="1" applyFill="1" applyBorder="1" applyAlignment="1">
      <alignment horizontal="right"/>
    </xf>
    <xf numFmtId="4" fontId="1" fillId="11" borderId="93" xfId="0" applyNumberFormat="1" applyFont="1" applyFill="1" applyBorder="1" applyAlignment="1">
      <alignment horizontal="right"/>
    </xf>
    <xf numFmtId="10" fontId="1" fillId="11" borderId="2" xfId="0" applyNumberFormat="1" applyFont="1" applyFill="1" applyBorder="1" applyAlignment="1">
      <alignment horizontal="right"/>
    </xf>
    <xf numFmtId="0" fontId="1" fillId="2" borderId="132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0" fontId="17" fillId="3" borderId="1" xfId="0" applyFont="1" applyFill="1" applyBorder="1" applyAlignment="1">
      <alignment horizontal="right"/>
    </xf>
    <xf numFmtId="0" fontId="17" fillId="3" borderId="2" xfId="0" applyFont="1" applyFill="1" applyBorder="1" applyAlignment="1">
      <alignment/>
    </xf>
    <xf numFmtId="0" fontId="0" fillId="3" borderId="13" xfId="0" applyFont="1" applyFill="1" applyBorder="1" applyAlignment="1">
      <alignment wrapText="1"/>
    </xf>
    <xf numFmtId="0" fontId="17" fillId="2" borderId="0" xfId="0" applyFont="1" applyFill="1" applyBorder="1" applyAlignment="1">
      <alignment/>
    </xf>
    <xf numFmtId="3" fontId="17" fillId="3" borderId="16" xfId="0" applyNumberFormat="1" applyFont="1" applyFill="1" applyBorder="1" applyAlignment="1">
      <alignment horizontal="right"/>
    </xf>
    <xf numFmtId="10" fontId="17" fillId="3" borderId="16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 wrapText="1"/>
    </xf>
    <xf numFmtId="0" fontId="1" fillId="3" borderId="127" xfId="0" applyFont="1" applyFill="1" applyBorder="1" applyAlignment="1">
      <alignment horizontal="right"/>
    </xf>
    <xf numFmtId="0" fontId="1" fillId="3" borderId="132" xfId="0" applyFont="1" applyFill="1" applyBorder="1" applyAlignment="1">
      <alignment/>
    </xf>
    <xf numFmtId="0" fontId="1" fillId="3" borderId="132" xfId="0" applyFont="1" applyFill="1" applyBorder="1" applyAlignment="1">
      <alignment wrapText="1"/>
    </xf>
    <xf numFmtId="4" fontId="1" fillId="3" borderId="132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/>
    </xf>
    <xf numFmtId="0" fontId="0" fillId="3" borderId="5" xfId="0" applyFont="1" applyFill="1" applyBorder="1" applyAlignment="1">
      <alignment wrapText="1"/>
    </xf>
    <xf numFmtId="4" fontId="1" fillId="3" borderId="7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wrapText="1"/>
    </xf>
    <xf numFmtId="10" fontId="1" fillId="3" borderId="1" xfId="0" applyNumberFormat="1" applyFont="1" applyFill="1" applyBorder="1" applyAlignment="1">
      <alignment horizontal="right"/>
    </xf>
    <xf numFmtId="10" fontId="1" fillId="3" borderId="132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wrapText="1"/>
    </xf>
    <xf numFmtId="4" fontId="1" fillId="3" borderId="86" xfId="0" applyNumberFormat="1" applyFont="1" applyFill="1" applyBorder="1" applyAlignment="1">
      <alignment wrapText="1"/>
    </xf>
    <xf numFmtId="10" fontId="1" fillId="3" borderId="19" xfId="0" applyNumberFormat="1" applyFont="1" applyFill="1" applyBorder="1" applyAlignment="1">
      <alignment wrapText="1"/>
    </xf>
    <xf numFmtId="43" fontId="1" fillId="3" borderId="7" xfId="15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 horizontal="right"/>
    </xf>
    <xf numFmtId="10" fontId="0" fillId="3" borderId="2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wrapText="1"/>
    </xf>
    <xf numFmtId="3" fontId="1" fillId="3" borderId="16" xfId="0" applyNumberFormat="1" applyFont="1" applyFill="1" applyBorder="1" applyAlignment="1">
      <alignment horizontal="right" wrapText="1"/>
    </xf>
    <xf numFmtId="3" fontId="0" fillId="3" borderId="16" xfId="0" applyNumberFormat="1" applyFont="1" applyFill="1" applyBorder="1" applyAlignment="1">
      <alignment horizontal="right"/>
    </xf>
    <xf numFmtId="10" fontId="0" fillId="3" borderId="16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/>
    </xf>
    <xf numFmtId="10" fontId="1" fillId="2" borderId="132" xfId="0" applyNumberFormat="1" applyFont="1" applyFill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0" fillId="2" borderId="7" xfId="0" applyFont="1" applyFill="1" applyBorder="1" applyAlignment="1">
      <alignment/>
    </xf>
    <xf numFmtId="3" fontId="1" fillId="3" borderId="18" xfId="0" applyNumberFormat="1" applyFont="1" applyFill="1" applyBorder="1" applyAlignment="1">
      <alignment horizontal="right" wrapText="1"/>
    </xf>
    <xf numFmtId="3" fontId="1" fillId="7" borderId="7" xfId="0" applyNumberFormat="1" applyFont="1" applyFill="1" applyBorder="1" applyAlignment="1">
      <alignment horizontal="right" wrapText="1"/>
    </xf>
    <xf numFmtId="4" fontId="1" fillId="7" borderId="91" xfId="0" applyNumberFormat="1" applyFont="1" applyFill="1" applyBorder="1" applyAlignment="1">
      <alignment horizontal="right" wrapText="1"/>
    </xf>
    <xf numFmtId="10" fontId="1" fillId="7" borderId="7" xfId="0" applyNumberFormat="1" applyFont="1" applyFill="1" applyBorder="1" applyAlignment="1">
      <alignment horizontal="right" wrapText="1"/>
    </xf>
    <xf numFmtId="0" fontId="0" fillId="6" borderId="7" xfId="0" applyFont="1" applyFill="1" applyBorder="1" applyAlignment="1">
      <alignment horizontal="right"/>
    </xf>
    <xf numFmtId="0" fontId="0" fillId="6" borderId="6" xfId="0" applyFont="1" applyFill="1" applyBorder="1" applyAlignment="1">
      <alignment wrapText="1"/>
    </xf>
    <xf numFmtId="3" fontId="0" fillId="7" borderId="6" xfId="0" applyNumberFormat="1" applyFont="1" applyFill="1" applyBorder="1" applyAlignment="1">
      <alignment horizontal="right" wrapText="1"/>
    </xf>
    <xf numFmtId="4" fontId="0" fillId="7" borderId="95" xfId="0" applyNumberFormat="1" applyFont="1" applyFill="1" applyBorder="1" applyAlignment="1">
      <alignment horizontal="right" wrapText="1"/>
    </xf>
    <xf numFmtId="10" fontId="0" fillId="7" borderId="6" xfId="0" applyNumberFormat="1" applyFont="1" applyFill="1" applyBorder="1" applyAlignment="1">
      <alignment horizontal="right" wrapText="1"/>
    </xf>
    <xf numFmtId="3" fontId="1" fillId="7" borderId="132" xfId="0" applyNumberFormat="1" applyFont="1" applyFill="1" applyBorder="1" applyAlignment="1">
      <alignment horizontal="right" wrapText="1"/>
    </xf>
    <xf numFmtId="4" fontId="1" fillId="7" borderId="133" xfId="0" applyNumberFormat="1" applyFont="1" applyFill="1" applyBorder="1" applyAlignment="1">
      <alignment horizontal="right" wrapText="1"/>
    </xf>
    <xf numFmtId="10" fontId="1" fillId="7" borderId="132" xfId="0" applyNumberFormat="1" applyFont="1" applyFill="1" applyBorder="1" applyAlignment="1">
      <alignment horizontal="right" wrapText="1"/>
    </xf>
    <xf numFmtId="0" fontId="0" fillId="6" borderId="2" xfId="0" applyFont="1" applyFill="1" applyBorder="1" applyAlignment="1">
      <alignment/>
    </xf>
    <xf numFmtId="0" fontId="0" fillId="6" borderId="13" xfId="0" applyFont="1" applyFill="1" applyBorder="1" applyAlignment="1">
      <alignment wrapText="1"/>
    </xf>
    <xf numFmtId="3" fontId="0" fillId="7" borderId="13" xfId="0" applyNumberFormat="1" applyFont="1" applyFill="1" applyBorder="1" applyAlignment="1">
      <alignment horizontal="right" wrapText="1"/>
    </xf>
    <xf numFmtId="4" fontId="0" fillId="7" borderId="126" xfId="0" applyNumberFormat="1" applyFont="1" applyFill="1" applyBorder="1" applyAlignment="1">
      <alignment horizontal="right" wrapText="1"/>
    </xf>
    <xf numFmtId="10" fontId="0" fillId="7" borderId="13" xfId="0" applyNumberFormat="1" applyFont="1" applyFill="1" applyBorder="1" applyAlignment="1">
      <alignment horizontal="right" wrapText="1"/>
    </xf>
    <xf numFmtId="0" fontId="0" fillId="6" borderId="7" xfId="0" applyFont="1" applyFill="1" applyBorder="1" applyAlignment="1">
      <alignment/>
    </xf>
    <xf numFmtId="0" fontId="0" fillId="6" borderId="7" xfId="0" applyFont="1" applyFill="1" applyBorder="1" applyAlignment="1">
      <alignment wrapText="1"/>
    </xf>
    <xf numFmtId="3" fontId="0" fillId="7" borderId="7" xfId="0" applyNumberFormat="1" applyFont="1" applyFill="1" applyBorder="1" applyAlignment="1">
      <alignment horizontal="right" wrapText="1"/>
    </xf>
    <xf numFmtId="4" fontId="0" fillId="7" borderId="91" xfId="0" applyNumberFormat="1" applyFont="1" applyFill="1" applyBorder="1" applyAlignment="1">
      <alignment horizontal="right" wrapText="1"/>
    </xf>
    <xf numFmtId="10" fontId="0" fillId="7" borderId="7" xfId="0" applyNumberFormat="1" applyFont="1" applyFill="1" applyBorder="1" applyAlignment="1">
      <alignment horizontal="right" wrapText="1"/>
    </xf>
    <xf numFmtId="3" fontId="1" fillId="7" borderId="6" xfId="0" applyNumberFormat="1" applyFont="1" applyFill="1" applyBorder="1" applyAlignment="1">
      <alignment horizontal="right" wrapText="1"/>
    </xf>
    <xf numFmtId="4" fontId="1" fillId="7" borderId="95" xfId="0" applyNumberFormat="1" applyFont="1" applyFill="1" applyBorder="1" applyAlignment="1">
      <alignment horizontal="right" wrapText="1"/>
    </xf>
    <xf numFmtId="10" fontId="1" fillId="7" borderId="6" xfId="0" applyNumberFormat="1" applyFont="1" applyFill="1" applyBorder="1" applyAlignment="1">
      <alignment horizontal="right" wrapText="1"/>
    </xf>
    <xf numFmtId="0" fontId="0" fillId="6" borderId="1" xfId="0" applyFont="1" applyFill="1" applyBorder="1" applyAlignment="1">
      <alignment/>
    </xf>
    <xf numFmtId="3" fontId="1" fillId="3" borderId="14" xfId="0" applyNumberFormat="1" applyFont="1" applyFill="1" applyBorder="1" applyAlignment="1">
      <alignment horizontal="right" wrapText="1"/>
    </xf>
    <xf numFmtId="4" fontId="1" fillId="3" borderId="129" xfId="0" applyNumberFormat="1" applyFont="1" applyFill="1" applyBorder="1" applyAlignment="1">
      <alignment horizontal="right" wrapText="1"/>
    </xf>
    <xf numFmtId="10" fontId="1" fillId="3" borderId="14" xfId="0" applyNumberFormat="1" applyFont="1" applyFill="1" applyBorder="1" applyAlignment="1">
      <alignment horizontal="right" wrapText="1"/>
    </xf>
    <xf numFmtId="4" fontId="1" fillId="2" borderId="19" xfId="0" applyNumberFormat="1" applyFont="1" applyFill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>
      <alignment wrapText="1"/>
    </xf>
    <xf numFmtId="3" fontId="0" fillId="2" borderId="6" xfId="0" applyNumberFormat="1" applyFont="1" applyFill="1" applyBorder="1" applyAlignment="1">
      <alignment wrapText="1"/>
    </xf>
    <xf numFmtId="3" fontId="0" fillId="3" borderId="6" xfId="0" applyNumberFormat="1" applyFont="1" applyFill="1" applyBorder="1" applyAlignment="1">
      <alignment wrapText="1"/>
    </xf>
    <xf numFmtId="4" fontId="0" fillId="2" borderId="6" xfId="0" applyNumberFormat="1" applyFont="1" applyFill="1" applyBorder="1" applyAlignment="1">
      <alignment wrapText="1"/>
    </xf>
    <xf numFmtId="10" fontId="0" fillId="2" borderId="7" xfId="0" applyNumberFormat="1" applyFont="1" applyFill="1" applyBorder="1" applyAlignment="1">
      <alignment horizontal="right" wrapText="1"/>
    </xf>
    <xf numFmtId="3" fontId="1" fillId="3" borderId="127" xfId="0" applyNumberFormat="1" applyFont="1" applyFill="1" applyBorder="1" applyAlignment="1">
      <alignment horizontal="right" wrapText="1"/>
    </xf>
    <xf numFmtId="4" fontId="1" fillId="3" borderId="128" xfId="0" applyNumberFormat="1" applyFont="1" applyFill="1" applyBorder="1" applyAlignment="1">
      <alignment horizontal="right" wrapText="1"/>
    </xf>
    <xf numFmtId="10" fontId="1" fillId="3" borderId="127" xfId="0" applyNumberFormat="1" applyFont="1" applyFill="1" applyBorder="1" applyAlignment="1">
      <alignment horizontal="right" wrapText="1"/>
    </xf>
    <xf numFmtId="4" fontId="1" fillId="3" borderId="19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91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 horizontal="right" wrapText="1"/>
    </xf>
    <xf numFmtId="3" fontId="1" fillId="3" borderId="7" xfId="0" applyNumberFormat="1" applyFont="1" applyFill="1" applyBorder="1" applyAlignment="1">
      <alignment horizontal="right"/>
    </xf>
    <xf numFmtId="10" fontId="1" fillId="3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right"/>
    </xf>
    <xf numFmtId="0" fontId="10" fillId="2" borderId="127" xfId="0" applyFont="1" applyFill="1" applyBorder="1" applyAlignment="1">
      <alignment horizontal="right"/>
    </xf>
    <xf numFmtId="0" fontId="0" fillId="2" borderId="98" xfId="0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3" fontId="0" fillId="3" borderId="7" xfId="0" applyNumberFormat="1" applyFont="1" applyFill="1" applyBorder="1" applyAlignment="1">
      <alignment horizontal="right"/>
    </xf>
    <xf numFmtId="10" fontId="0" fillId="3" borderId="7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0" fontId="1" fillId="0" borderId="14" xfId="0" applyNumberFormat="1" applyFont="1" applyFill="1" applyBorder="1" applyAlignment="1">
      <alignment horizontal="right"/>
    </xf>
    <xf numFmtId="0" fontId="10" fillId="9" borderId="0" xfId="0" applyFont="1" applyFill="1" applyBorder="1" applyAlignment="1">
      <alignment/>
    </xf>
    <xf numFmtId="0" fontId="1" fillId="2" borderId="131" xfId="0" applyFont="1" applyFill="1" applyBorder="1" applyAlignment="1">
      <alignment horizontal="left"/>
    </xf>
    <xf numFmtId="3" fontId="1" fillId="3" borderId="130" xfId="0" applyNumberFormat="1" applyFont="1" applyFill="1" applyBorder="1" applyAlignment="1">
      <alignment/>
    </xf>
    <xf numFmtId="4" fontId="1" fillId="3" borderId="131" xfId="0" applyNumberFormat="1" applyFont="1" applyFill="1" applyBorder="1" applyAlignment="1">
      <alignment/>
    </xf>
    <xf numFmtId="10" fontId="1" fillId="3" borderId="130" xfId="0" applyNumberFormat="1" applyFont="1" applyFill="1" applyBorder="1" applyAlignment="1">
      <alignment/>
    </xf>
    <xf numFmtId="0" fontId="1" fillId="2" borderId="18" xfId="0" applyFont="1" applyFill="1" applyBorder="1" applyAlignment="1">
      <alignment vertical="top"/>
    </xf>
    <xf numFmtId="0" fontId="1" fillId="2" borderId="104" xfId="0" applyFont="1" applyFill="1" applyBorder="1" applyAlignment="1">
      <alignment wrapText="1"/>
    </xf>
    <xf numFmtId="0" fontId="1" fillId="2" borderId="1" xfId="0" applyFont="1" applyFill="1" applyBorder="1" applyAlignment="1" quotePrefix="1">
      <alignment/>
    </xf>
    <xf numFmtId="3" fontId="0" fillId="3" borderId="7" xfId="0" applyNumberFormat="1" applyFont="1" applyFill="1" applyBorder="1" applyAlignment="1">
      <alignment/>
    </xf>
    <xf numFmtId="4" fontId="0" fillId="3" borderId="91" xfId="0" applyNumberFormat="1" applyFont="1" applyFill="1" applyBorder="1" applyAlignment="1">
      <alignment/>
    </xf>
    <xf numFmtId="10" fontId="0" fillId="3" borderId="7" xfId="0" applyNumberFormat="1" applyFont="1" applyFill="1" applyBorder="1" applyAlignment="1">
      <alignment/>
    </xf>
    <xf numFmtId="0" fontId="1" fillId="2" borderId="134" xfId="0" applyFont="1" applyFill="1" applyBorder="1" applyAlignment="1" quotePrefix="1">
      <alignment horizontal="right"/>
    </xf>
    <xf numFmtId="0" fontId="1" fillId="2" borderId="134" xfId="0" applyFont="1" applyFill="1" applyBorder="1" applyAlignment="1">
      <alignment vertical="top"/>
    </xf>
    <xf numFmtId="0" fontId="1" fillId="2" borderId="135" xfId="0" applyFont="1" applyFill="1" applyBorder="1" applyAlignment="1">
      <alignment wrapText="1"/>
    </xf>
    <xf numFmtId="3" fontId="1" fillId="3" borderId="136" xfId="0" applyNumberFormat="1" applyFont="1" applyFill="1" applyBorder="1" applyAlignment="1">
      <alignment horizontal="right"/>
    </xf>
    <xf numFmtId="4" fontId="1" fillId="3" borderId="135" xfId="0" applyNumberFormat="1" applyFont="1" applyFill="1" applyBorder="1" applyAlignment="1">
      <alignment horizontal="right"/>
    </xf>
    <xf numFmtId="10" fontId="1" fillId="3" borderId="136" xfId="0" applyNumberFormat="1" applyFont="1" applyFill="1" applyBorder="1" applyAlignment="1">
      <alignment horizontal="right"/>
    </xf>
    <xf numFmtId="3" fontId="0" fillId="3" borderId="98" xfId="0" applyNumberFormat="1" applyFont="1" applyFill="1" applyBorder="1" applyAlignment="1">
      <alignment horizontal="right"/>
    </xf>
    <xf numFmtId="3" fontId="0" fillId="3" borderId="95" xfId="0" applyNumberFormat="1" applyFont="1" applyFill="1" applyBorder="1" applyAlignment="1">
      <alignment/>
    </xf>
    <xf numFmtId="4" fontId="0" fillId="3" borderId="95" xfId="0" applyNumberFormat="1" applyFont="1" applyFill="1" applyBorder="1" applyAlignment="1">
      <alignment/>
    </xf>
    <xf numFmtId="3" fontId="1" fillId="3" borderId="93" xfId="0" applyNumberFormat="1" applyFont="1" applyFill="1" applyBorder="1" applyAlignment="1">
      <alignment horizontal="right" wrapText="1"/>
    </xf>
    <xf numFmtId="0" fontId="1" fillId="2" borderId="127" xfId="0" applyFont="1" applyFill="1" applyBorder="1" applyAlignment="1">
      <alignment horizontal="right" wrapText="1"/>
    </xf>
    <xf numFmtId="0" fontId="0" fillId="2" borderId="98" xfId="0" applyFont="1" applyFill="1" applyBorder="1" applyAlignment="1">
      <alignment horizontal="right" wrapText="1"/>
    </xf>
    <xf numFmtId="3" fontId="0" fillId="3" borderId="126" xfId="0" applyNumberFormat="1" applyFont="1" applyFill="1" applyBorder="1" applyAlignment="1">
      <alignment/>
    </xf>
    <xf numFmtId="0" fontId="0" fillId="2" borderId="91" xfId="0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right" wrapText="1"/>
    </xf>
    <xf numFmtId="0" fontId="1" fillId="2" borderId="86" xfId="0" applyFont="1" applyFill="1" applyBorder="1" applyAlignment="1">
      <alignment horizontal="left" wrapText="1"/>
    </xf>
    <xf numFmtId="0" fontId="1" fillId="2" borderId="128" xfId="0" applyFont="1" applyFill="1" applyBorder="1" applyAlignment="1">
      <alignment horizontal="right"/>
    </xf>
    <xf numFmtId="0" fontId="1" fillId="2" borderId="132" xfId="0" applyFont="1" applyFill="1" applyBorder="1" applyAlignment="1">
      <alignment horizontal="left" wrapText="1"/>
    </xf>
    <xf numFmtId="0" fontId="0" fillId="2" borderId="98" xfId="0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/>
    </xf>
    <xf numFmtId="0" fontId="0" fillId="2" borderId="91" xfId="0" applyFont="1" applyFill="1" applyBorder="1" applyAlignment="1">
      <alignment horizontal="right"/>
    </xf>
    <xf numFmtId="3" fontId="1" fillId="3" borderId="86" xfId="0" applyNumberFormat="1" applyFont="1" applyFill="1" applyBorder="1" applyAlignment="1">
      <alignment horizontal="right" wrapText="1"/>
    </xf>
    <xf numFmtId="0" fontId="0" fillId="2" borderId="108" xfId="0" applyFont="1" applyFill="1" applyBorder="1" applyAlignment="1">
      <alignment horizontal="left" wrapText="1"/>
    </xf>
    <xf numFmtId="3" fontId="0" fillId="3" borderId="108" xfId="0" applyNumberFormat="1" applyFont="1" applyFill="1" applyBorder="1" applyAlignment="1">
      <alignment/>
    </xf>
    <xf numFmtId="4" fontId="0" fillId="3" borderId="108" xfId="0" applyNumberFormat="1" applyFont="1" applyFill="1" applyBorder="1" applyAlignment="1">
      <alignment/>
    </xf>
    <xf numFmtId="10" fontId="0" fillId="3" borderId="16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4" fontId="1" fillId="3" borderId="86" xfId="0" applyNumberFormat="1" applyFont="1" applyFill="1" applyBorder="1" applyAlignment="1">
      <alignment/>
    </xf>
    <xf numFmtId="10" fontId="1" fillId="3" borderId="19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4" fontId="1" fillId="3" borderId="95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horizontal="left" wrapText="1"/>
    </xf>
    <xf numFmtId="0" fontId="1" fillId="2" borderId="93" xfId="0" applyFont="1" applyFill="1" applyBorder="1" applyAlignment="1">
      <alignment/>
    </xf>
    <xf numFmtId="3" fontId="1" fillId="3" borderId="93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left" wrapText="1"/>
    </xf>
    <xf numFmtId="4" fontId="1" fillId="3" borderId="7" xfId="0" applyNumberFormat="1" applyFont="1" applyFill="1" applyBorder="1" applyAlignment="1">
      <alignment/>
    </xf>
    <xf numFmtId="0" fontId="0" fillId="2" borderId="108" xfId="0" applyFont="1" applyFill="1" applyBorder="1" applyAlignment="1">
      <alignment wrapText="1"/>
    </xf>
    <xf numFmtId="3" fontId="0" fillId="3" borderId="16" xfId="0" applyNumberFormat="1" applyFont="1" applyFill="1" applyBorder="1" applyAlignment="1">
      <alignment/>
    </xf>
    <xf numFmtId="10" fontId="0" fillId="3" borderId="7" xfId="0" applyNumberFormat="1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18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3" fontId="0" fillId="3" borderId="7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4" fontId="0" fillId="3" borderId="98" xfId="0" applyNumberFormat="1" applyFont="1" applyFill="1" applyBorder="1" applyAlignment="1">
      <alignment/>
    </xf>
    <xf numFmtId="10" fontId="0" fillId="3" borderId="1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4" fontId="0" fillId="3" borderId="93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4" fontId="0" fillId="3" borderId="25" xfId="0" applyNumberFormat="1" applyFont="1" applyFill="1" applyBorder="1" applyAlignment="1">
      <alignment/>
    </xf>
    <xf numFmtId="10" fontId="0" fillId="3" borderId="25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 wrapText="1"/>
    </xf>
    <xf numFmtId="3" fontId="1" fillId="2" borderId="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/>
    </xf>
    <xf numFmtId="4" fontId="1" fillId="3" borderId="129" xfId="0" applyNumberFormat="1" applyFont="1" applyFill="1" applyBorder="1" applyAlignment="1">
      <alignment/>
    </xf>
    <xf numFmtId="10" fontId="1" fillId="3" borderId="14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horizontal="right"/>
    </xf>
    <xf numFmtId="1" fontId="1" fillId="2" borderId="18" xfId="0" applyNumberFormat="1" applyFont="1" applyFill="1" applyBorder="1" applyAlignment="1">
      <alignment/>
    </xf>
    <xf numFmtId="3" fontId="1" fillId="3" borderId="18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1" fontId="17" fillId="2" borderId="7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wrapText="1"/>
    </xf>
    <xf numFmtId="3" fontId="0" fillId="3" borderId="6" xfId="0" applyNumberFormat="1" applyFont="1" applyFill="1" applyBorder="1" applyAlignment="1">
      <alignment wrapText="1"/>
    </xf>
    <xf numFmtId="4" fontId="0" fillId="3" borderId="95" xfId="0" applyNumberFormat="1" applyFont="1" applyFill="1" applyBorder="1" applyAlignment="1">
      <alignment wrapText="1"/>
    </xf>
    <xf numFmtId="10" fontId="0" fillId="3" borderId="6" xfId="0" applyNumberFormat="1" applyFont="1" applyFill="1" applyBorder="1" applyAlignment="1">
      <alignment wrapText="1"/>
    </xf>
    <xf numFmtId="1" fontId="1" fillId="2" borderId="6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 wrapText="1"/>
    </xf>
    <xf numFmtId="10" fontId="1" fillId="3" borderId="6" xfId="0" applyNumberFormat="1" applyFont="1" applyFill="1" applyBorder="1" applyAlignment="1">
      <alignment wrapText="1"/>
    </xf>
    <xf numFmtId="3" fontId="17" fillId="2" borderId="7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/>
    </xf>
    <xf numFmtId="4" fontId="1" fillId="3" borderId="93" xfId="0" applyNumberFormat="1" applyFont="1" applyFill="1" applyBorder="1" applyAlignment="1">
      <alignment/>
    </xf>
    <xf numFmtId="10" fontId="1" fillId="3" borderId="2" xfId="0" applyNumberFormat="1" applyFont="1" applyFill="1" applyBorder="1" applyAlignment="1">
      <alignment/>
    </xf>
    <xf numFmtId="3" fontId="1" fillId="2" borderId="127" xfId="0" applyNumberFormat="1" applyFont="1" applyFill="1" applyBorder="1" applyAlignment="1">
      <alignment horizontal="right"/>
    </xf>
    <xf numFmtId="1" fontId="1" fillId="2" borderId="132" xfId="0" applyNumberFormat="1" applyFont="1" applyFill="1" applyBorder="1" applyAlignment="1">
      <alignment/>
    </xf>
    <xf numFmtId="3" fontId="1" fillId="2" borderId="132" xfId="0" applyNumberFormat="1" applyFont="1" applyFill="1" applyBorder="1" applyAlignment="1">
      <alignment wrapText="1"/>
    </xf>
    <xf numFmtId="3" fontId="1" fillId="3" borderId="132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4" fontId="0" fillId="3" borderId="95" xfId="0" applyNumberFormat="1" applyFont="1" applyFill="1" applyBorder="1" applyAlignment="1">
      <alignment/>
    </xf>
    <xf numFmtId="10" fontId="0" fillId="3" borderId="6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4" fontId="1" fillId="3" borderId="86" xfId="0" applyNumberFormat="1" applyFont="1" applyFill="1" applyBorder="1" applyAlignment="1">
      <alignment/>
    </xf>
    <xf numFmtId="10" fontId="1" fillId="3" borderId="19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10" fontId="0" fillId="3" borderId="7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wrapText="1"/>
    </xf>
    <xf numFmtId="3" fontId="0" fillId="3" borderId="5" xfId="0" applyNumberFormat="1" applyFont="1" applyFill="1" applyBorder="1" applyAlignment="1">
      <alignment/>
    </xf>
    <xf numFmtId="4" fontId="0" fillId="3" borderId="100" xfId="0" applyNumberFormat="1" applyFont="1" applyFill="1" applyBorder="1" applyAlignment="1">
      <alignment/>
    </xf>
    <xf numFmtId="10" fontId="0" fillId="3" borderId="5" xfId="0" applyNumberFormat="1" applyFont="1" applyFill="1" applyBorder="1" applyAlignment="1">
      <alignment/>
    </xf>
    <xf numFmtId="10" fontId="1" fillId="3" borderId="7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32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 wrapText="1"/>
    </xf>
    <xf numFmtId="3" fontId="0" fillId="3" borderId="13" xfId="0" applyNumberFormat="1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3" fontId="0" fillId="3" borderId="5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4" fontId="0" fillId="3" borderId="98" xfId="0" applyNumberFormat="1" applyFont="1" applyFill="1" applyBorder="1" applyAlignment="1">
      <alignment wrapText="1"/>
    </xf>
    <xf numFmtId="10" fontId="0" fillId="3" borderId="1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4" fontId="1" fillId="3" borderId="95" xfId="0" applyNumberFormat="1" applyFont="1" applyFill="1" applyBorder="1" applyAlignment="1">
      <alignment/>
    </xf>
    <xf numFmtId="10" fontId="1" fillId="3" borderId="6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 wrapText="1"/>
    </xf>
    <xf numFmtId="3" fontId="0" fillId="3" borderId="9" xfId="0" applyNumberFormat="1" applyFont="1" applyFill="1" applyBorder="1" applyAlignment="1">
      <alignment wrapText="1"/>
    </xf>
    <xf numFmtId="4" fontId="0" fillId="3" borderId="116" xfId="0" applyNumberFormat="1" applyFont="1" applyFill="1" applyBorder="1" applyAlignment="1">
      <alignment wrapText="1"/>
    </xf>
    <xf numFmtId="10" fontId="0" fillId="3" borderId="9" xfId="0" applyNumberFormat="1" applyFont="1" applyFill="1" applyBorder="1" applyAlignment="1">
      <alignment wrapText="1"/>
    </xf>
    <xf numFmtId="4" fontId="0" fillId="3" borderId="100" xfId="0" applyNumberFormat="1" applyFont="1" applyFill="1" applyBorder="1" applyAlignment="1">
      <alignment wrapText="1"/>
    </xf>
    <xf numFmtId="10" fontId="0" fillId="3" borderId="5" xfId="0" applyNumberFormat="1" applyFont="1" applyFill="1" applyBorder="1" applyAlignment="1">
      <alignment wrapText="1"/>
    </xf>
    <xf numFmtId="3" fontId="0" fillId="3" borderId="7" xfId="0" applyNumberFormat="1" applyFont="1" applyFill="1" applyBorder="1" applyAlignment="1">
      <alignment wrapText="1"/>
    </xf>
    <xf numFmtId="4" fontId="0" fillId="3" borderId="91" xfId="0" applyNumberFormat="1" applyFont="1" applyFill="1" applyBorder="1" applyAlignment="1">
      <alignment wrapText="1"/>
    </xf>
    <xf numFmtId="10" fontId="0" fillId="3" borderId="7" xfId="0" applyNumberFormat="1" applyFont="1" applyFill="1" applyBorder="1" applyAlignment="1">
      <alignment wrapText="1"/>
    </xf>
    <xf numFmtId="3" fontId="45" fillId="2" borderId="1" xfId="0" applyNumberFormat="1" applyFont="1" applyFill="1" applyBorder="1" applyAlignment="1">
      <alignment horizontal="right"/>
    </xf>
    <xf numFmtId="1" fontId="45" fillId="2" borderId="1" xfId="0" applyNumberFormat="1" applyFont="1" applyFill="1" applyBorder="1" applyAlignment="1">
      <alignment/>
    </xf>
    <xf numFmtId="3" fontId="0" fillId="2" borderId="100" xfId="0" applyNumberFormat="1" applyFont="1" applyFill="1" applyBorder="1" applyAlignment="1">
      <alignment wrapText="1"/>
    </xf>
    <xf numFmtId="3" fontId="0" fillId="7" borderId="9" xfId="0" applyNumberFormat="1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3" fontId="0" fillId="2" borderId="116" xfId="0" applyNumberFormat="1" applyFont="1" applyFill="1" applyBorder="1" applyAlignment="1">
      <alignment wrapText="1"/>
    </xf>
    <xf numFmtId="3" fontId="0" fillId="7" borderId="1" xfId="0" applyNumberFormat="1" applyFont="1" applyFill="1" applyBorder="1" applyAlignment="1">
      <alignment wrapText="1"/>
    </xf>
    <xf numFmtId="3" fontId="0" fillId="7" borderId="5" xfId="0" applyNumberFormat="1" applyFont="1" applyFill="1" applyBorder="1" applyAlignment="1">
      <alignment wrapText="1"/>
    </xf>
    <xf numFmtId="3" fontId="0" fillId="2" borderId="9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wrapText="1"/>
    </xf>
    <xf numFmtId="3" fontId="1" fillId="7" borderId="132" xfId="0" applyNumberFormat="1" applyFont="1" applyFill="1" applyBorder="1" applyAlignment="1">
      <alignment wrapText="1"/>
    </xf>
    <xf numFmtId="3" fontId="1" fillId="3" borderId="132" xfId="0" applyNumberFormat="1" applyFont="1" applyFill="1" applyBorder="1" applyAlignment="1">
      <alignment/>
    </xf>
    <xf numFmtId="4" fontId="1" fillId="3" borderId="133" xfId="0" applyNumberFormat="1" applyFont="1" applyFill="1" applyBorder="1" applyAlignment="1">
      <alignment/>
    </xf>
    <xf numFmtId="10" fontId="1" fillId="3" borderId="132" xfId="0" applyNumberFormat="1" applyFont="1" applyFill="1" applyBorder="1" applyAlignment="1">
      <alignment/>
    </xf>
    <xf numFmtId="3" fontId="0" fillId="7" borderId="13" xfId="0" applyNumberFormat="1" applyFont="1" applyFill="1" applyBorder="1" applyAlignment="1">
      <alignment wrapText="1"/>
    </xf>
    <xf numFmtId="3" fontId="0" fillId="7" borderId="7" xfId="0" applyNumberFormat="1" applyFont="1" applyFill="1" applyBorder="1" applyAlignment="1">
      <alignment wrapText="1"/>
    </xf>
    <xf numFmtId="3" fontId="0" fillId="7" borderId="6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4" fontId="1" fillId="3" borderId="129" xfId="0" applyNumberFormat="1" applyFont="1" applyFill="1" applyBorder="1" applyAlignment="1">
      <alignment wrapText="1"/>
    </xf>
    <xf numFmtId="10" fontId="1" fillId="3" borderId="14" xfId="0" applyNumberFormat="1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4" fontId="1" fillId="3" borderId="19" xfId="0" applyNumberFormat="1" applyFont="1" applyFill="1" applyBorder="1" applyAlignment="1">
      <alignment wrapText="1"/>
    </xf>
    <xf numFmtId="49" fontId="1" fillId="2" borderId="7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 wrapText="1"/>
    </xf>
    <xf numFmtId="49" fontId="1" fillId="2" borderId="132" xfId="0" applyNumberFormat="1" applyFont="1" applyFill="1" applyBorder="1" applyAlignment="1">
      <alignment horizontal="right"/>
    </xf>
    <xf numFmtId="3" fontId="1" fillId="3" borderId="132" xfId="0" applyNumberFormat="1" applyFont="1" applyFill="1" applyBorder="1" applyAlignment="1">
      <alignment wrapText="1"/>
    </xf>
    <xf numFmtId="4" fontId="1" fillId="3" borderId="133" xfId="0" applyNumberFormat="1" applyFont="1" applyFill="1" applyBorder="1" applyAlignment="1">
      <alignment wrapText="1"/>
    </xf>
    <xf numFmtId="10" fontId="1" fillId="2" borderId="132" xfId="0" applyNumberFormat="1" applyFont="1" applyFill="1" applyBorder="1" applyAlignment="1">
      <alignment/>
    </xf>
    <xf numFmtId="49" fontId="0" fillId="2" borderId="7" xfId="0" applyNumberFormat="1" applyFont="1" applyFill="1" applyBorder="1" applyAlignment="1">
      <alignment/>
    </xf>
    <xf numFmtId="3" fontId="1" fillId="6" borderId="1" xfId="0" applyNumberFormat="1" applyFont="1" applyFill="1" applyBorder="1" applyAlignment="1">
      <alignment horizontal="right"/>
    </xf>
    <xf numFmtId="1" fontId="1" fillId="6" borderId="7" xfId="0" applyNumberFormat="1" applyFont="1" applyFill="1" applyBorder="1" applyAlignment="1">
      <alignment/>
    </xf>
    <xf numFmtId="3" fontId="1" fillId="6" borderId="7" xfId="0" applyNumberFormat="1" applyFont="1" applyFill="1" applyBorder="1" applyAlignment="1">
      <alignment/>
    </xf>
    <xf numFmtId="3" fontId="1" fillId="7" borderId="7" xfId="0" applyNumberFormat="1" applyFont="1" applyFill="1" applyBorder="1" applyAlignment="1">
      <alignment wrapText="1"/>
    </xf>
    <xf numFmtId="3" fontId="1" fillId="7" borderId="33" xfId="0" applyNumberFormat="1" applyFont="1" applyFill="1" applyBorder="1" applyAlignment="1">
      <alignment/>
    </xf>
    <xf numFmtId="4" fontId="1" fillId="7" borderId="12" xfId="0" applyNumberFormat="1" applyFont="1" applyFill="1" applyBorder="1" applyAlignment="1">
      <alignment/>
    </xf>
    <xf numFmtId="10" fontId="1" fillId="7" borderId="7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3" fontId="0" fillId="6" borderId="1" xfId="0" applyNumberFormat="1" applyFont="1" applyFill="1" applyBorder="1" applyAlignment="1">
      <alignment horizontal="right"/>
    </xf>
    <xf numFmtId="1" fontId="0" fillId="6" borderId="2" xfId="0" applyNumberFormat="1" applyFont="1" applyFill="1" applyBorder="1" applyAlignment="1">
      <alignment/>
    </xf>
    <xf numFmtId="3" fontId="0" fillId="7" borderId="67" xfId="0" applyNumberFormat="1" applyFont="1" applyFill="1" applyBorder="1" applyAlignment="1">
      <alignment/>
    </xf>
    <xf numFmtId="4" fontId="0" fillId="7" borderId="137" xfId="0" applyNumberFormat="1" applyFont="1" applyFill="1" applyBorder="1" applyAlignment="1">
      <alignment/>
    </xf>
    <xf numFmtId="10" fontId="0" fillId="7" borderId="13" xfId="0" applyNumberFormat="1" applyFont="1" applyFill="1" applyBorder="1" applyAlignment="1">
      <alignment/>
    </xf>
    <xf numFmtId="1" fontId="0" fillId="6" borderId="7" xfId="0" applyNumberFormat="1" applyFont="1" applyFill="1" applyBorder="1" applyAlignment="1">
      <alignment/>
    </xf>
    <xf numFmtId="3" fontId="0" fillId="7" borderId="33" xfId="0" applyNumberFormat="1" applyFont="1" applyFill="1" applyBorder="1" applyAlignment="1">
      <alignment/>
    </xf>
    <xf numFmtId="4" fontId="0" fillId="7" borderId="12" xfId="0" applyNumberFormat="1" applyFont="1" applyFill="1" applyBorder="1" applyAlignment="1">
      <alignment/>
    </xf>
    <xf numFmtId="10" fontId="0" fillId="7" borderId="7" xfId="0" applyNumberFormat="1" applyFont="1" applyFill="1" applyBorder="1" applyAlignment="1">
      <alignment/>
    </xf>
    <xf numFmtId="3" fontId="1" fillId="3" borderId="76" xfId="0" applyNumberFormat="1" applyFont="1" applyFill="1" applyBorder="1" applyAlignment="1">
      <alignment/>
    </xf>
    <xf numFmtId="4" fontId="1" fillId="3" borderId="114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wrapText="1"/>
    </xf>
    <xf numFmtId="3" fontId="0" fillId="3" borderId="2" xfId="0" applyNumberFormat="1" applyFont="1" applyFill="1" applyBorder="1" applyAlignment="1">
      <alignment wrapText="1"/>
    </xf>
    <xf numFmtId="3" fontId="0" fillId="3" borderId="54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3" fontId="0" fillId="3" borderId="77" xfId="0" applyNumberFormat="1" applyFont="1" applyFill="1" applyBorder="1" applyAlignment="1">
      <alignment/>
    </xf>
    <xf numFmtId="4" fontId="0" fillId="3" borderId="123" xfId="0" applyNumberFormat="1" applyFont="1" applyFill="1" applyBorder="1" applyAlignment="1">
      <alignment/>
    </xf>
    <xf numFmtId="3" fontId="0" fillId="3" borderId="76" xfId="0" applyNumberFormat="1" applyFont="1" applyFill="1" applyBorder="1" applyAlignment="1">
      <alignment/>
    </xf>
    <xf numFmtId="4" fontId="0" fillId="3" borderId="114" xfId="0" applyNumberFormat="1" applyFont="1" applyFill="1" applyBorder="1" applyAlignment="1">
      <alignment/>
    </xf>
    <xf numFmtId="3" fontId="1" fillId="3" borderId="54" xfId="0" applyNumberFormat="1" applyFont="1" applyFill="1" applyBorder="1" applyAlignment="1">
      <alignment/>
    </xf>
    <xf numFmtId="4" fontId="1" fillId="3" borderId="25" xfId="0" applyNumberFormat="1" applyFont="1" applyFill="1" applyBorder="1" applyAlignment="1">
      <alignment/>
    </xf>
    <xf numFmtId="10" fontId="1" fillId="3" borderId="2" xfId="0" applyNumberFormat="1" applyFont="1" applyFill="1" applyBorder="1" applyAlignment="1">
      <alignment/>
    </xf>
    <xf numFmtId="3" fontId="1" fillId="6" borderId="127" xfId="0" applyNumberFormat="1" applyFont="1" applyFill="1" applyBorder="1" applyAlignment="1">
      <alignment horizontal="right"/>
    </xf>
    <xf numFmtId="1" fontId="1" fillId="6" borderId="132" xfId="0" applyNumberFormat="1" applyFont="1" applyFill="1" applyBorder="1" applyAlignment="1">
      <alignment/>
    </xf>
    <xf numFmtId="3" fontId="1" fillId="6" borderId="132" xfId="0" applyNumberFormat="1" applyFont="1" applyFill="1" applyBorder="1" applyAlignment="1">
      <alignment/>
    </xf>
    <xf numFmtId="3" fontId="1" fillId="7" borderId="138" xfId="0" applyNumberFormat="1" applyFont="1" applyFill="1" applyBorder="1" applyAlignment="1">
      <alignment/>
    </xf>
    <xf numFmtId="4" fontId="1" fillId="3" borderId="139" xfId="0" applyNumberFormat="1" applyFont="1" applyFill="1" applyBorder="1" applyAlignment="1">
      <alignment/>
    </xf>
    <xf numFmtId="3" fontId="0" fillId="6" borderId="13" xfId="0" applyNumberFormat="1" applyFont="1" applyFill="1" applyBorder="1" applyAlignment="1">
      <alignment wrapText="1"/>
    </xf>
    <xf numFmtId="3" fontId="0" fillId="7" borderId="2" xfId="0" applyNumberFormat="1" applyFont="1" applyFill="1" applyBorder="1" applyAlignment="1">
      <alignment wrapText="1"/>
    </xf>
    <xf numFmtId="3" fontId="0" fillId="7" borderId="54" xfId="0" applyNumberFormat="1" applyFont="1" applyFill="1" applyBorder="1" applyAlignment="1">
      <alignment/>
    </xf>
    <xf numFmtId="4" fontId="0" fillId="7" borderId="25" xfId="0" applyNumberFormat="1" applyFont="1" applyFill="1" applyBorder="1" applyAlignment="1">
      <alignment/>
    </xf>
    <xf numFmtId="10" fontId="0" fillId="7" borderId="2" xfId="0" applyNumberFormat="1" applyFont="1" applyFill="1" applyBorder="1" applyAlignment="1">
      <alignment/>
    </xf>
    <xf numFmtId="1" fontId="0" fillId="6" borderId="1" xfId="0" applyNumberFormat="1" applyFont="1" applyFill="1" applyBorder="1" applyAlignment="1">
      <alignment/>
    </xf>
    <xf numFmtId="3" fontId="0" fillId="6" borderId="16" xfId="0" applyNumberFormat="1" applyFont="1" applyFill="1" applyBorder="1" applyAlignment="1">
      <alignment wrapText="1"/>
    </xf>
    <xf numFmtId="3" fontId="0" fillId="7" borderId="16" xfId="0" applyNumberFormat="1" applyFont="1" applyFill="1" applyBorder="1" applyAlignment="1">
      <alignment wrapText="1"/>
    </xf>
    <xf numFmtId="3" fontId="0" fillId="7" borderId="77" xfId="0" applyNumberFormat="1" applyFont="1" applyFill="1" applyBorder="1" applyAlignment="1">
      <alignment/>
    </xf>
    <xf numFmtId="4" fontId="0" fillId="7" borderId="123" xfId="0" applyNumberFormat="1" applyFont="1" applyFill="1" applyBorder="1" applyAlignment="1">
      <alignment/>
    </xf>
    <xf numFmtId="10" fontId="0" fillId="7" borderId="16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4" fontId="1" fillId="3" borderId="140" xfId="0" applyNumberFormat="1" applyFont="1" applyFill="1" applyBorder="1" applyAlignment="1">
      <alignment/>
    </xf>
    <xf numFmtId="10" fontId="1" fillId="3" borderId="18" xfId="0" applyNumberFormat="1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3" fontId="0" fillId="6" borderId="7" xfId="0" applyNumberFormat="1" applyFont="1" applyFill="1" applyBorder="1" applyAlignment="1">
      <alignment horizontal="right"/>
    </xf>
    <xf numFmtId="1" fontId="0" fillId="6" borderId="6" xfId="0" applyNumberFormat="1" applyFont="1" applyFill="1" applyBorder="1" applyAlignment="1">
      <alignment/>
    </xf>
    <xf numFmtId="3" fontId="0" fillId="6" borderId="6" xfId="0" applyNumberFormat="1" applyFont="1" applyFill="1" applyBorder="1" applyAlignment="1">
      <alignment wrapText="1"/>
    </xf>
    <xf numFmtId="3" fontId="0" fillId="7" borderId="76" xfId="0" applyNumberFormat="1" applyFont="1" applyFill="1" applyBorder="1" applyAlignment="1">
      <alignment/>
    </xf>
    <xf numFmtId="4" fontId="0" fillId="7" borderId="114" xfId="0" applyNumberFormat="1" applyFont="1" applyFill="1" applyBorder="1" applyAlignment="1">
      <alignment/>
    </xf>
    <xf numFmtId="10" fontId="0" fillId="7" borderId="6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wrapText="1"/>
    </xf>
    <xf numFmtId="4" fontId="1" fillId="3" borderId="93" xfId="0" applyNumberFormat="1" applyFont="1" applyFill="1" applyBorder="1" applyAlignment="1">
      <alignment wrapText="1"/>
    </xf>
    <xf numFmtId="10" fontId="1" fillId="3" borderId="2" xfId="0" applyNumberFormat="1" applyFont="1" applyFill="1" applyBorder="1" applyAlignment="1">
      <alignment wrapText="1"/>
    </xf>
    <xf numFmtId="10" fontId="1" fillId="3" borderId="132" xfId="0" applyNumberFormat="1" applyFont="1" applyFill="1" applyBorder="1" applyAlignment="1">
      <alignment wrapText="1"/>
    </xf>
    <xf numFmtId="4" fontId="1" fillId="3" borderId="2" xfId="0" applyNumberFormat="1" applyFont="1" applyFill="1" applyBorder="1" applyAlignment="1">
      <alignment wrapText="1"/>
    </xf>
    <xf numFmtId="4" fontId="1" fillId="7" borderId="91" xfId="0" applyNumberFormat="1" applyFont="1" applyFill="1" applyBorder="1" applyAlignment="1">
      <alignment wrapText="1"/>
    </xf>
    <xf numFmtId="10" fontId="1" fillId="7" borderId="7" xfId="0" applyNumberFormat="1" applyFont="1" applyFill="1" applyBorder="1" applyAlignment="1">
      <alignment wrapText="1"/>
    </xf>
    <xf numFmtId="4" fontId="0" fillId="7" borderId="95" xfId="0" applyNumberFormat="1" applyFont="1" applyFill="1" applyBorder="1" applyAlignment="1">
      <alignment wrapText="1"/>
    </xf>
    <xf numFmtId="10" fontId="0" fillId="7" borderId="6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4" fontId="0" fillId="3" borderId="102" xfId="0" applyNumberFormat="1" applyFont="1" applyFill="1" applyBorder="1" applyAlignment="1">
      <alignment/>
    </xf>
    <xf numFmtId="10" fontId="0" fillId="3" borderId="8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1" fillId="3" borderId="83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28" fillId="2" borderId="27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3" fontId="1" fillId="3" borderId="27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3" borderId="84" xfId="0" applyFont="1" applyFill="1" applyBorder="1" applyAlignment="1">
      <alignment horizontal="left" vertical="center" wrapText="1"/>
    </xf>
    <xf numFmtId="0" fontId="1" fillId="3" borderId="11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32" fillId="0" borderId="14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/>
    </xf>
    <xf numFmtId="0" fontId="32" fillId="0" borderId="14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3" fontId="21" fillId="0" borderId="0" xfId="18" applyNumberFormat="1" applyFont="1" applyFill="1" applyBorder="1" applyAlignment="1">
      <alignment horizontal="left" vertical="top" wrapText="1"/>
      <protection/>
    </xf>
    <xf numFmtId="0" fontId="0" fillId="0" borderId="0" xfId="18" applyAlignment="1">
      <alignment/>
      <protection/>
    </xf>
    <xf numFmtId="0" fontId="5" fillId="0" borderId="27" xfId="19" applyFont="1" applyBorder="1" applyAlignment="1">
      <alignment horizontal="center" vertical="center" wrapText="1"/>
      <protection locked="0"/>
    </xf>
    <xf numFmtId="0" fontId="5" fillId="0" borderId="30" xfId="19" applyFont="1" applyBorder="1" applyAlignment="1">
      <alignment horizontal="center" vertical="center" wrapText="1"/>
      <protection locked="0"/>
    </xf>
    <xf numFmtId="0" fontId="0" fillId="0" borderId="30" xfId="19" applyBorder="1" applyAlignment="1">
      <alignment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Zal11-Dzielnice" xfId="18"/>
    <cellStyle name="Normalny_Zal12-GF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115675" y="8715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0</xdr:colOff>
      <xdr:row>306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0</xdr:colOff>
      <xdr:row>306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4372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43725" y="465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476</xdr:row>
      <xdr:rowOff>28575</xdr:rowOff>
    </xdr:from>
    <xdr:to>
      <xdr:col>3</xdr:col>
      <xdr:colOff>0</xdr:colOff>
      <xdr:row>478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943725" y="1287684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47625</xdr:rowOff>
    </xdr:to>
    <xdr:sp>
      <xdr:nvSpPr>
        <xdr:cNvPr id="7" name="AutoShape 7"/>
        <xdr:cNvSpPr>
          <a:spLocks/>
        </xdr:cNvSpPr>
      </xdr:nvSpPr>
      <xdr:spPr>
        <a:xfrm>
          <a:off x="11115675" y="81410175"/>
          <a:ext cx="0" cy="47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115675" y="8715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0</xdr:colOff>
      <xdr:row>306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94372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306</xdr:row>
      <xdr:rowOff>0</xdr:rowOff>
    </xdr:from>
    <xdr:to>
      <xdr:col>3</xdr:col>
      <xdr:colOff>0</xdr:colOff>
      <xdr:row>306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94372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943725" y="4657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476</xdr:row>
      <xdr:rowOff>28575</xdr:rowOff>
    </xdr:from>
    <xdr:to>
      <xdr:col>3</xdr:col>
      <xdr:colOff>0</xdr:colOff>
      <xdr:row>478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943725" y="128768475"/>
          <a:ext cx="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47625</xdr:rowOff>
    </xdr:to>
    <xdr:sp>
      <xdr:nvSpPr>
        <xdr:cNvPr id="18" name="AutoShape 18"/>
        <xdr:cNvSpPr>
          <a:spLocks/>
        </xdr:cNvSpPr>
      </xdr:nvSpPr>
      <xdr:spPr>
        <a:xfrm>
          <a:off x="11115675" y="81410175"/>
          <a:ext cx="0" cy="47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306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1115675" y="814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21</xdr:row>
      <xdr:rowOff>0</xdr:rowOff>
    </xdr:from>
    <xdr:to>
      <xdr:col>1</xdr:col>
      <xdr:colOff>447675</xdr:colOff>
      <xdr:row>21</xdr:row>
      <xdr:rowOff>0</xdr:rowOff>
    </xdr:to>
    <xdr:sp>
      <xdr:nvSpPr>
        <xdr:cNvPr id="1" name="Arc 1"/>
        <xdr:cNvSpPr>
          <a:spLocks/>
        </xdr:cNvSpPr>
      </xdr:nvSpPr>
      <xdr:spPr>
        <a:xfrm>
          <a:off x="914400" y="52387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600075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66800" y="52387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9"/>
  <sheetViews>
    <sheetView tabSelected="1" zoomScale="75" zoomScaleNormal="75" workbookViewId="0" topLeftCell="A1">
      <selection activeCell="M13" sqref="M13"/>
    </sheetView>
  </sheetViews>
  <sheetFormatPr defaultColWidth="9.00390625" defaultRowHeight="12.75"/>
  <cols>
    <col min="1" max="1" width="5.125" style="2526" customWidth="1"/>
    <col min="2" max="2" width="7.00390625" style="2151" customWidth="1"/>
    <col min="3" max="3" width="79.00390625" style="417" customWidth="1"/>
    <col min="4" max="6" width="18.25390625" style="2055" customWidth="1"/>
    <col min="7" max="7" width="13.75390625" style="2055" customWidth="1"/>
    <col min="8" max="8" width="9.25390625" style="417" customWidth="1"/>
    <col min="9" max="16384" width="9.125" style="417" customWidth="1"/>
  </cols>
  <sheetData>
    <row r="1" spans="1:7" ht="19.5" customHeight="1">
      <c r="A1" s="2045"/>
      <c r="B1" s="2045"/>
      <c r="C1" s="2046"/>
      <c r="D1" s="2047"/>
      <c r="E1" s="2047"/>
      <c r="F1" s="2048" t="s">
        <v>894</v>
      </c>
      <c r="G1" s="2049"/>
    </row>
    <row r="2" spans="1:7" ht="12.75" customHeight="1">
      <c r="A2" s="2050"/>
      <c r="B2" s="2050"/>
      <c r="C2" s="2051"/>
      <c r="D2" s="2052"/>
      <c r="E2" s="2052"/>
      <c r="F2" s="2053" t="s">
        <v>291</v>
      </c>
      <c r="G2" s="2049"/>
    </row>
    <row r="3" spans="1:7" ht="16.5" customHeight="1">
      <c r="A3" s="2045"/>
      <c r="B3" s="2045"/>
      <c r="C3" s="2046" t="s">
        <v>895</v>
      </c>
      <c r="D3" s="2047"/>
      <c r="E3" s="2047"/>
      <c r="F3" s="2053" t="s">
        <v>1147</v>
      </c>
      <c r="G3" s="2049"/>
    </row>
    <row r="4" spans="1:7" ht="14.25" customHeight="1">
      <c r="A4" s="2045"/>
      <c r="B4" s="2045"/>
      <c r="C4" s="2046"/>
      <c r="D4" s="2047"/>
      <c r="E4" s="2047"/>
      <c r="F4" s="2053" t="s">
        <v>292</v>
      </c>
      <c r="G4" s="2049"/>
    </row>
    <row r="5" spans="1:7" ht="24" customHeight="1" thickBot="1">
      <c r="A5" s="2054"/>
      <c r="B5" s="2054"/>
      <c r="C5" s="2054"/>
      <c r="F5" s="2056" t="s">
        <v>725</v>
      </c>
      <c r="G5" s="2057"/>
    </row>
    <row r="6" spans="1:7" ht="18.75" customHeight="1" thickTop="1">
      <c r="A6" s="2751" t="s">
        <v>11</v>
      </c>
      <c r="B6" s="2753" t="s">
        <v>12</v>
      </c>
      <c r="C6" s="2755" t="s">
        <v>896</v>
      </c>
      <c r="D6" s="2759" t="s">
        <v>897</v>
      </c>
      <c r="E6" s="2759" t="s">
        <v>539</v>
      </c>
      <c r="F6" s="2760" t="s">
        <v>569</v>
      </c>
      <c r="G6" s="2757" t="s">
        <v>10</v>
      </c>
    </row>
    <row r="7" spans="1:7" ht="43.5" customHeight="1" thickBot="1">
      <c r="A7" s="2752"/>
      <c r="B7" s="2754"/>
      <c r="C7" s="2756"/>
      <c r="D7" s="2762"/>
      <c r="E7" s="2758"/>
      <c r="F7" s="2761"/>
      <c r="G7" s="2758"/>
    </row>
    <row r="8" spans="1:7" ht="18" customHeight="1" thickBot="1" thickTop="1">
      <c r="A8" s="2058">
        <v>1</v>
      </c>
      <c r="B8" s="2058">
        <v>2</v>
      </c>
      <c r="C8" s="2058">
        <v>3</v>
      </c>
      <c r="D8" s="2059">
        <v>4</v>
      </c>
      <c r="E8" s="2059">
        <v>5</v>
      </c>
      <c r="F8" s="2059">
        <v>6</v>
      </c>
      <c r="G8" s="2059">
        <v>7</v>
      </c>
    </row>
    <row r="9" spans="1:7" ht="22.5" customHeight="1" thickBot="1" thickTop="1">
      <c r="A9" s="2060"/>
      <c r="B9" s="2061"/>
      <c r="C9" s="2062" t="s">
        <v>898</v>
      </c>
      <c r="D9" s="2063">
        <f>D11+D302</f>
        <v>866984938</v>
      </c>
      <c r="E9" s="2063">
        <f>E11+E302</f>
        <v>921781320</v>
      </c>
      <c r="F9" s="2064">
        <f>F11+F302</f>
        <v>919918222.773</v>
      </c>
      <c r="G9" s="2065">
        <f>F9/E9</f>
        <v>0.9979788077859942</v>
      </c>
    </row>
    <row r="10" spans="1:7" ht="16.5" customHeight="1">
      <c r="A10" s="2066"/>
      <c r="B10" s="2067"/>
      <c r="C10" s="2068" t="s">
        <v>132</v>
      </c>
      <c r="D10" s="2069"/>
      <c r="E10" s="2069"/>
      <c r="F10" s="2070"/>
      <c r="G10" s="2071"/>
    </row>
    <row r="11" spans="1:7" ht="17.25" customHeight="1" thickBot="1">
      <c r="A11" s="2072"/>
      <c r="B11" s="2073"/>
      <c r="C11" s="2074" t="s">
        <v>899</v>
      </c>
      <c r="D11" s="2075">
        <f>D12+D173+D182+D249+D265</f>
        <v>601191437</v>
      </c>
      <c r="E11" s="2075">
        <f>E12+E173+E182+E249+E265</f>
        <v>620436003</v>
      </c>
      <c r="F11" s="2076">
        <f>F12+F173+F182+F249+F265</f>
        <v>624215696.8829999</v>
      </c>
      <c r="G11" s="2077">
        <f aca="true" t="shared" si="0" ref="G11:G18">F11/E11</f>
        <v>1.0060919963779082</v>
      </c>
    </row>
    <row r="12" spans="1:7" ht="27" customHeight="1" thickBot="1" thickTop="1">
      <c r="A12" s="2078"/>
      <c r="B12" s="2079"/>
      <c r="C12" s="2080" t="s">
        <v>900</v>
      </c>
      <c r="D12" s="2081">
        <f>D13+D16+D20+D35+D39+D51+D56+D92+D98+D118+D144+D150+D157</f>
        <v>401349803</v>
      </c>
      <c r="E12" s="2081">
        <f>E13+E16+E20+E35+E39+E51+E56+E92+E98+E118+E144+E150+E157</f>
        <v>403289173</v>
      </c>
      <c r="F12" s="2082">
        <f>F13+F16+F20+F35+F39+F51+F56+F92+F98+F118+F144+F150+F157</f>
        <v>420422168.81</v>
      </c>
      <c r="G12" s="2083">
        <f t="shared" si="0"/>
        <v>1.0424831534220236</v>
      </c>
    </row>
    <row r="13" spans="1:7" ht="18.75" customHeight="1" thickBot="1" thickTop="1">
      <c r="A13" s="2084" t="s">
        <v>134</v>
      </c>
      <c r="B13" s="2085"/>
      <c r="C13" s="2086" t="s">
        <v>135</v>
      </c>
      <c r="D13" s="2087">
        <f aca="true" t="shared" si="1" ref="D13:F14">D14</f>
        <v>200</v>
      </c>
      <c r="E13" s="2087">
        <f t="shared" si="1"/>
        <v>200</v>
      </c>
      <c r="F13" s="2088">
        <f t="shared" si="1"/>
        <v>142.14</v>
      </c>
      <c r="G13" s="2089">
        <f t="shared" si="0"/>
        <v>0.7106999999999999</v>
      </c>
    </row>
    <row r="14" spans="1:7" ht="18.75" customHeight="1">
      <c r="A14" s="2090"/>
      <c r="B14" s="2091" t="s">
        <v>901</v>
      </c>
      <c r="C14" s="2092" t="s">
        <v>13</v>
      </c>
      <c r="D14" s="2093">
        <f t="shared" si="1"/>
        <v>200</v>
      </c>
      <c r="E14" s="2093">
        <f t="shared" si="1"/>
        <v>200</v>
      </c>
      <c r="F14" s="2094">
        <f t="shared" si="1"/>
        <v>142.14</v>
      </c>
      <c r="G14" s="2095">
        <f t="shared" si="0"/>
        <v>0.7106999999999999</v>
      </c>
    </row>
    <row r="15" spans="1:7" ht="20.25" customHeight="1">
      <c r="A15" s="2078"/>
      <c r="B15" s="2096"/>
      <c r="C15" s="2097" t="s">
        <v>902</v>
      </c>
      <c r="D15" s="2098">
        <v>200</v>
      </c>
      <c r="E15" s="2098">
        <v>200</v>
      </c>
      <c r="F15" s="2099">
        <v>142.14</v>
      </c>
      <c r="G15" s="2100">
        <f t="shared" si="0"/>
        <v>0.7106999999999999</v>
      </c>
    </row>
    <row r="16" spans="1:7" ht="18.75" customHeight="1" thickBot="1">
      <c r="A16" s="2101">
        <v>600</v>
      </c>
      <c r="B16" s="2102"/>
      <c r="C16" s="2103" t="s">
        <v>147</v>
      </c>
      <c r="D16" s="2104">
        <f>D17</f>
        <v>550000</v>
      </c>
      <c r="E16" s="2104">
        <f>E17</f>
        <v>550000</v>
      </c>
      <c r="F16" s="2105">
        <f>F17</f>
        <v>676802.75</v>
      </c>
      <c r="G16" s="2106">
        <f t="shared" si="0"/>
        <v>1.2305504545454546</v>
      </c>
    </row>
    <row r="17" spans="1:7" ht="18.75" customHeight="1">
      <c r="A17" s="2066"/>
      <c r="B17" s="261">
        <v>60016</v>
      </c>
      <c r="C17" s="2107" t="s">
        <v>156</v>
      </c>
      <c r="D17" s="2108">
        <f>D18+D19</f>
        <v>550000</v>
      </c>
      <c r="E17" s="2108">
        <f>E18+E19</f>
        <v>550000</v>
      </c>
      <c r="F17" s="2109">
        <f>F18+F19</f>
        <v>676802.75</v>
      </c>
      <c r="G17" s="2110">
        <f t="shared" si="0"/>
        <v>1.2305504545454546</v>
      </c>
    </row>
    <row r="18" spans="1:7" ht="21" customHeight="1">
      <c r="A18" s="2066"/>
      <c r="B18" s="2111"/>
      <c r="C18" s="2112" t="s">
        <v>903</v>
      </c>
      <c r="D18" s="2113">
        <v>550000</v>
      </c>
      <c r="E18" s="2113">
        <v>550000</v>
      </c>
      <c r="F18" s="2114">
        <v>670441.99</v>
      </c>
      <c r="G18" s="2115">
        <f t="shared" si="0"/>
        <v>1.2189854363636363</v>
      </c>
    </row>
    <row r="19" spans="1:7" ht="19.5" customHeight="1">
      <c r="A19" s="2066"/>
      <c r="B19" s="2116"/>
      <c r="C19" s="2117" t="s">
        <v>904</v>
      </c>
      <c r="D19" s="2118"/>
      <c r="E19" s="2118"/>
      <c r="F19" s="2119">
        <f>580.8+1747.01+2982.95+1050</f>
        <v>6360.76</v>
      </c>
      <c r="G19" s="2120"/>
    </row>
    <row r="20" spans="1:7" ht="18.75" customHeight="1" thickBot="1">
      <c r="A20" s="2121">
        <v>700</v>
      </c>
      <c r="B20" s="2122"/>
      <c r="C20" s="2123" t="s">
        <v>165</v>
      </c>
      <c r="D20" s="2124">
        <f>D21+D23</f>
        <v>36362800</v>
      </c>
      <c r="E20" s="2124">
        <f>E21+E23</f>
        <v>36362800</v>
      </c>
      <c r="F20" s="2125">
        <f>F21+F23</f>
        <v>34672361.85999999</v>
      </c>
      <c r="G20" s="2126">
        <f aca="true" t="shared" si="2" ref="G20:G33">F20/E20</f>
        <v>0.9535118819232841</v>
      </c>
    </row>
    <row r="21" spans="1:7" s="2133" customFormat="1" ht="19.5" customHeight="1">
      <c r="A21" s="2127"/>
      <c r="B21" s="2128">
        <v>70001</v>
      </c>
      <c r="C21" s="2129" t="s">
        <v>166</v>
      </c>
      <c r="D21" s="2130">
        <f>D22</f>
        <v>1600</v>
      </c>
      <c r="E21" s="2130">
        <f>E22</f>
        <v>1600</v>
      </c>
      <c r="F21" s="2131">
        <f>F22</f>
        <v>2249.41</v>
      </c>
      <c r="G21" s="2132">
        <f t="shared" si="2"/>
        <v>1.40588125</v>
      </c>
    </row>
    <row r="22" spans="1:7" s="2133" customFormat="1" ht="19.5" customHeight="1">
      <c r="A22" s="2134"/>
      <c r="B22" s="2067"/>
      <c r="C22" s="2135" t="s">
        <v>905</v>
      </c>
      <c r="D22" s="2136">
        <v>1600</v>
      </c>
      <c r="E22" s="2136">
        <v>1600</v>
      </c>
      <c r="F22" s="2137">
        <v>2249.41</v>
      </c>
      <c r="G22" s="2138">
        <f t="shared" si="2"/>
        <v>1.40588125</v>
      </c>
    </row>
    <row r="23" spans="1:7" ht="19.5" customHeight="1">
      <c r="A23" s="2139"/>
      <c r="B23" s="462">
        <v>70005</v>
      </c>
      <c r="C23" s="2140" t="s">
        <v>172</v>
      </c>
      <c r="D23" s="2141">
        <f>D24+D25+D26+D27+D28+D29+D30+D31+D33+D32+D34</f>
        <v>36361200</v>
      </c>
      <c r="E23" s="2141">
        <f>E24+E25+E26+E27+E28+E29+E30+E31+E33+E32+E34</f>
        <v>36361200</v>
      </c>
      <c r="F23" s="2142">
        <f>F24+F25+F26+F27+F28+F29+F30+F31+F33+F32+F34</f>
        <v>34670112.449999996</v>
      </c>
      <c r="G23" s="2143">
        <f t="shared" si="2"/>
        <v>0.9534919763374144</v>
      </c>
    </row>
    <row r="24" spans="1:7" ht="19.5" customHeight="1">
      <c r="A24" s="2066"/>
      <c r="B24" s="2067"/>
      <c r="C24" s="2117" t="s">
        <v>906</v>
      </c>
      <c r="D24" s="2144">
        <v>8100000</v>
      </c>
      <c r="E24" s="2144">
        <v>8100000</v>
      </c>
      <c r="F24" s="2145">
        <v>6393306.77</v>
      </c>
      <c r="G24" s="2146">
        <f t="shared" si="2"/>
        <v>0.7892971320987654</v>
      </c>
    </row>
    <row r="25" spans="1:7" ht="19.5" customHeight="1">
      <c r="A25" s="2066"/>
      <c r="B25" s="2068"/>
      <c r="C25" s="2147" t="s">
        <v>907</v>
      </c>
      <c r="D25" s="2148">
        <v>3600000</v>
      </c>
      <c r="E25" s="2148">
        <v>3600000</v>
      </c>
      <c r="F25" s="2149">
        <v>3512545.1</v>
      </c>
      <c r="G25" s="2150">
        <f t="shared" si="2"/>
        <v>0.9757069722222222</v>
      </c>
    </row>
    <row r="26" spans="1:7" ht="19.5" customHeight="1">
      <c r="A26" s="2066"/>
      <c r="C26" s="2152" t="s">
        <v>908</v>
      </c>
      <c r="D26" s="2148">
        <v>2700000</v>
      </c>
      <c r="E26" s="2148">
        <v>2700000</v>
      </c>
      <c r="F26" s="2149">
        <v>2815691.79</v>
      </c>
      <c r="G26" s="2150">
        <f t="shared" si="2"/>
        <v>1.0428488111111112</v>
      </c>
    </row>
    <row r="27" spans="1:7" ht="19.5" customHeight="1">
      <c r="A27" s="2153"/>
      <c r="B27" s="2067"/>
      <c r="C27" s="2154" t="s">
        <v>909</v>
      </c>
      <c r="D27" s="2155">
        <v>750000</v>
      </c>
      <c r="E27" s="2155">
        <v>750000</v>
      </c>
      <c r="F27" s="2156">
        <v>426566.08</v>
      </c>
      <c r="G27" s="2157">
        <f t="shared" si="2"/>
        <v>0.5687547733333334</v>
      </c>
    </row>
    <row r="28" spans="1:7" ht="28.5" customHeight="1">
      <c r="A28" s="2153"/>
      <c r="B28" s="2067"/>
      <c r="C28" s="2158" t="s">
        <v>910</v>
      </c>
      <c r="D28" s="2155">
        <v>20000</v>
      </c>
      <c r="E28" s="2155">
        <v>20000</v>
      </c>
      <c r="F28" s="2156">
        <v>368648.26</v>
      </c>
      <c r="G28" s="2157">
        <f t="shared" si="2"/>
        <v>18.432413</v>
      </c>
    </row>
    <row r="29" spans="1:7" ht="19.5" customHeight="1">
      <c r="A29" s="2066" t="s">
        <v>1221</v>
      </c>
      <c r="B29" s="2067"/>
      <c r="C29" s="2159" t="s">
        <v>911</v>
      </c>
      <c r="D29" s="2160">
        <v>4000000</v>
      </c>
      <c r="E29" s="2160">
        <v>4000000</v>
      </c>
      <c r="F29" s="2161">
        <v>5679030.76</v>
      </c>
      <c r="G29" s="2162">
        <f t="shared" si="2"/>
        <v>1.41975769</v>
      </c>
    </row>
    <row r="30" spans="1:7" ht="18.75" customHeight="1">
      <c r="A30" s="2078"/>
      <c r="B30" s="2079"/>
      <c r="C30" s="2163" t="s">
        <v>912</v>
      </c>
      <c r="D30" s="2164">
        <v>4000000</v>
      </c>
      <c r="E30" s="2164">
        <v>4000000</v>
      </c>
      <c r="F30" s="2165">
        <v>4761072.96</v>
      </c>
      <c r="G30" s="2166">
        <f t="shared" si="2"/>
        <v>1.19026824</v>
      </c>
    </row>
    <row r="31" spans="1:7" ht="19.5" customHeight="1">
      <c r="A31" s="2066"/>
      <c r="B31" s="2067"/>
      <c r="C31" s="2158" t="s">
        <v>913</v>
      </c>
      <c r="D31" s="2155">
        <v>13000000</v>
      </c>
      <c r="E31" s="2155">
        <v>13000000</v>
      </c>
      <c r="F31" s="2156">
        <v>10500000</v>
      </c>
      <c r="G31" s="2157">
        <f t="shared" si="2"/>
        <v>0.8076923076923077</v>
      </c>
    </row>
    <row r="32" spans="1:7" ht="19.5" customHeight="1">
      <c r="A32" s="2066"/>
      <c r="B32" s="2067"/>
      <c r="C32" s="2154" t="s">
        <v>914</v>
      </c>
      <c r="D32" s="2155">
        <v>1200</v>
      </c>
      <c r="E32" s="2155">
        <v>1200</v>
      </c>
      <c r="F32" s="2156">
        <v>1107.05</v>
      </c>
      <c r="G32" s="2157">
        <f t="shared" si="2"/>
        <v>0.9225416666666666</v>
      </c>
    </row>
    <row r="33" spans="1:7" ht="19.5" customHeight="1">
      <c r="A33" s="2066"/>
      <c r="B33" s="2067"/>
      <c r="C33" s="2167" t="s">
        <v>915</v>
      </c>
      <c r="D33" s="2160">
        <v>190000</v>
      </c>
      <c r="E33" s="2160">
        <v>190000</v>
      </c>
      <c r="F33" s="2161">
        <v>168193.42</v>
      </c>
      <c r="G33" s="2162">
        <f t="shared" si="2"/>
        <v>0.8852285263157895</v>
      </c>
    </row>
    <row r="34" spans="1:7" ht="19.5" customHeight="1">
      <c r="A34" s="2066"/>
      <c r="B34" s="2067"/>
      <c r="C34" s="2168" t="s">
        <v>916</v>
      </c>
      <c r="D34" s="2169"/>
      <c r="E34" s="2169"/>
      <c r="F34" s="2170">
        <f>802.01+2251.36+17972.71+134.11+2516+20274.07</f>
        <v>43950.259999999995</v>
      </c>
      <c r="G34" s="2171"/>
    </row>
    <row r="35" spans="1:7" ht="19.5" customHeight="1" thickBot="1">
      <c r="A35" s="259">
        <v>710</v>
      </c>
      <c r="B35" s="353"/>
      <c r="C35" s="353" t="s">
        <v>175</v>
      </c>
      <c r="D35" s="2172">
        <f>D36</f>
        <v>1114000</v>
      </c>
      <c r="E35" s="2172">
        <f>E36</f>
        <v>1114000</v>
      </c>
      <c r="F35" s="2173">
        <f>F36</f>
        <v>966756.21</v>
      </c>
      <c r="G35" s="2174">
        <f aca="true" t="shared" si="3" ref="G35:G47">F35/E35</f>
        <v>0.8678242459605027</v>
      </c>
    </row>
    <row r="36" spans="1:7" ht="19.5" customHeight="1">
      <c r="A36" s="2139"/>
      <c r="B36" s="455">
        <v>71035</v>
      </c>
      <c r="C36" s="2175" t="s">
        <v>181</v>
      </c>
      <c r="D36" s="2176">
        <f>SUM(D37:D38)</f>
        <v>1114000</v>
      </c>
      <c r="E36" s="2176">
        <f>SUM(E37:E38)</f>
        <v>1114000</v>
      </c>
      <c r="F36" s="2142">
        <f>SUM(F37:F38)</f>
        <v>966756.21</v>
      </c>
      <c r="G36" s="2143">
        <f t="shared" si="3"/>
        <v>0.8678242459605027</v>
      </c>
    </row>
    <row r="37" spans="1:7" ht="19.5" customHeight="1">
      <c r="A37" s="2066"/>
      <c r="B37" s="2177"/>
      <c r="C37" s="2178" t="s">
        <v>917</v>
      </c>
      <c r="D37" s="2179">
        <v>1100000</v>
      </c>
      <c r="E37" s="2179">
        <v>1100000</v>
      </c>
      <c r="F37" s="2180">
        <v>955000.01</v>
      </c>
      <c r="G37" s="2181">
        <f t="shared" si="3"/>
        <v>0.8681818272727273</v>
      </c>
    </row>
    <row r="38" spans="1:7" ht="19.5" customHeight="1">
      <c r="A38" s="2066"/>
      <c r="B38" s="2177"/>
      <c r="C38" s="2158" t="s">
        <v>918</v>
      </c>
      <c r="D38" s="2155">
        <v>14000</v>
      </c>
      <c r="E38" s="2182">
        <v>14000</v>
      </c>
      <c r="F38" s="2156">
        <v>11756.2</v>
      </c>
      <c r="G38" s="2157">
        <f t="shared" si="3"/>
        <v>0.8397285714285715</v>
      </c>
    </row>
    <row r="39" spans="1:7" ht="18.75" customHeight="1" thickBot="1">
      <c r="A39" s="2183">
        <v>750</v>
      </c>
      <c r="B39" s="2184"/>
      <c r="C39" s="2184" t="s">
        <v>184</v>
      </c>
      <c r="D39" s="2185">
        <f>D40+D42+D49</f>
        <v>472000</v>
      </c>
      <c r="E39" s="2185">
        <f>E40+E42+E49</f>
        <v>490856</v>
      </c>
      <c r="F39" s="2186">
        <f>F40+F42+F49</f>
        <v>754761.81</v>
      </c>
      <c r="G39" s="2187">
        <f t="shared" si="3"/>
        <v>1.537644054468113</v>
      </c>
    </row>
    <row r="40" spans="1:7" s="2133" customFormat="1" ht="18.75" customHeight="1">
      <c r="A40" s="2188"/>
      <c r="B40" s="2189">
        <v>75011</v>
      </c>
      <c r="C40" s="2190" t="s">
        <v>786</v>
      </c>
      <c r="D40" s="2191">
        <f>D41</f>
        <v>65000</v>
      </c>
      <c r="E40" s="2191">
        <f>E41</f>
        <v>65000</v>
      </c>
      <c r="F40" s="2192">
        <f>F41</f>
        <v>73789.53</v>
      </c>
      <c r="G40" s="2193">
        <f t="shared" si="3"/>
        <v>1.1352235384615383</v>
      </c>
    </row>
    <row r="41" spans="1:7" s="2133" customFormat="1" ht="26.25" customHeight="1">
      <c r="A41" s="2194"/>
      <c r="B41" s="2195"/>
      <c r="C41" s="2196" t="s">
        <v>919</v>
      </c>
      <c r="D41" s="2197">
        <v>65000</v>
      </c>
      <c r="E41" s="2197">
        <v>65000</v>
      </c>
      <c r="F41" s="2198">
        <v>73789.53</v>
      </c>
      <c r="G41" s="2199">
        <f t="shared" si="3"/>
        <v>1.1352235384615383</v>
      </c>
    </row>
    <row r="42" spans="1:7" ht="21" customHeight="1">
      <c r="A42" s="2139"/>
      <c r="B42" s="312">
        <v>75023</v>
      </c>
      <c r="C42" s="2200" t="s">
        <v>189</v>
      </c>
      <c r="D42" s="2201">
        <f>SUM(D43:D48)</f>
        <v>407000</v>
      </c>
      <c r="E42" s="2201">
        <f>SUM(E43:E48)</f>
        <v>425856</v>
      </c>
      <c r="F42" s="2202">
        <f>SUM(F43:F48)</f>
        <v>680363.25</v>
      </c>
      <c r="G42" s="2203">
        <f t="shared" si="3"/>
        <v>1.597636877254283</v>
      </c>
    </row>
    <row r="43" spans="1:7" s="364" customFormat="1" ht="19.5" customHeight="1">
      <c r="A43" s="2204"/>
      <c r="B43" s="2205"/>
      <c r="C43" s="2154" t="s">
        <v>920</v>
      </c>
      <c r="D43" s="2182">
        <v>76000</v>
      </c>
      <c r="E43" s="2182">
        <v>76000</v>
      </c>
      <c r="F43" s="2156">
        <v>59175.58</v>
      </c>
      <c r="G43" s="2157">
        <f t="shared" si="3"/>
        <v>0.778626052631579</v>
      </c>
    </row>
    <row r="44" spans="1:7" ht="19.5" customHeight="1">
      <c r="A44" s="2066"/>
      <c r="B44" s="2068"/>
      <c r="C44" s="2154" t="s">
        <v>921</v>
      </c>
      <c r="D44" s="2155">
        <v>20000</v>
      </c>
      <c r="E44" s="2155">
        <v>20000</v>
      </c>
      <c r="F44" s="2156">
        <v>12796.2</v>
      </c>
      <c r="G44" s="2157">
        <f t="shared" si="3"/>
        <v>0.63981</v>
      </c>
    </row>
    <row r="45" spans="1:7" ht="26.25" customHeight="1">
      <c r="A45" s="2066"/>
      <c r="B45" s="2068"/>
      <c r="C45" s="2152" t="s">
        <v>922</v>
      </c>
      <c r="D45" s="2160">
        <v>11000</v>
      </c>
      <c r="E45" s="2160">
        <v>11000</v>
      </c>
      <c r="F45" s="2161">
        <v>10981.71</v>
      </c>
      <c r="G45" s="2162">
        <f t="shared" si="3"/>
        <v>0.9983372727272727</v>
      </c>
    </row>
    <row r="46" spans="1:7" s="2208" customFormat="1" ht="19.5" customHeight="1">
      <c r="A46" s="2206"/>
      <c r="B46" s="2207"/>
      <c r="C46" s="2135" t="s">
        <v>923</v>
      </c>
      <c r="D46" s="2182">
        <v>300000</v>
      </c>
      <c r="E46" s="2182">
        <v>300000</v>
      </c>
      <c r="F46" s="2156">
        <v>236257.15</v>
      </c>
      <c r="G46" s="2157">
        <f t="shared" si="3"/>
        <v>0.7875238333333333</v>
      </c>
    </row>
    <row r="47" spans="1:7" ht="19.5" customHeight="1">
      <c r="A47" s="2066"/>
      <c r="B47" s="2067"/>
      <c r="C47" s="2158" t="s">
        <v>924</v>
      </c>
      <c r="D47" s="2209"/>
      <c r="E47" s="2209">
        <v>18856</v>
      </c>
      <c r="F47" s="2210">
        <v>18855.96</v>
      </c>
      <c r="G47" s="2211">
        <f t="shared" si="3"/>
        <v>0.9999978786593127</v>
      </c>
    </row>
    <row r="48" spans="1:7" s="2219" customFormat="1" ht="19.5" customHeight="1">
      <c r="A48" s="2212"/>
      <c r="B48" s="2213"/>
      <c r="C48" s="2214" t="s">
        <v>904</v>
      </c>
      <c r="D48" s="2215"/>
      <c r="E48" s="2216"/>
      <c r="F48" s="2217">
        <f>450+292+114.35+289.7+592.32+29263.21+196239.55+115055.52</f>
        <v>342296.64999999997</v>
      </c>
      <c r="G48" s="2218"/>
    </row>
    <row r="49" spans="1:7" s="2221" customFormat="1" ht="19.5" customHeight="1">
      <c r="A49" s="2139"/>
      <c r="B49" s="462">
        <v>75095</v>
      </c>
      <c r="C49" s="208" t="s">
        <v>13</v>
      </c>
      <c r="D49" s="2141"/>
      <c r="E49" s="2220"/>
      <c r="F49" s="2202">
        <f>F50</f>
        <v>609.03</v>
      </c>
      <c r="G49" s="2203"/>
    </row>
    <row r="50" spans="1:7" ht="19.5" customHeight="1">
      <c r="A50" s="2078"/>
      <c r="B50" s="2222"/>
      <c r="C50" s="120" t="s">
        <v>916</v>
      </c>
      <c r="D50" s="2223"/>
      <c r="E50" s="2136"/>
      <c r="F50" s="2137">
        <v>609.03</v>
      </c>
      <c r="G50" s="2138"/>
    </row>
    <row r="51" spans="1:7" ht="19.5" customHeight="1" thickBot="1">
      <c r="A51" s="2224">
        <v>754</v>
      </c>
      <c r="B51" s="2225"/>
      <c r="C51" s="2226" t="s">
        <v>200</v>
      </c>
      <c r="D51" s="2227">
        <f>D52</f>
        <v>1000700</v>
      </c>
      <c r="E51" s="2227">
        <f>E52</f>
        <v>1000700</v>
      </c>
      <c r="F51" s="2228">
        <f>F52</f>
        <v>948366.4400000001</v>
      </c>
      <c r="G51" s="2229">
        <f>F51/E51</f>
        <v>0.9477030478664935</v>
      </c>
    </row>
    <row r="52" spans="1:7" ht="20.25" customHeight="1">
      <c r="A52" s="2139"/>
      <c r="B52" s="455">
        <v>75416</v>
      </c>
      <c r="C52" s="208" t="s">
        <v>210</v>
      </c>
      <c r="D52" s="2176">
        <f>SUM(D53:D55)</f>
        <v>1000700</v>
      </c>
      <c r="E52" s="2176">
        <f>SUM(E53:E55)</f>
        <v>1000700</v>
      </c>
      <c r="F52" s="2142">
        <f>SUM(F53:F55)</f>
        <v>948366.4400000001</v>
      </c>
      <c r="G52" s="2143">
        <f>F52/E52</f>
        <v>0.9477030478664935</v>
      </c>
    </row>
    <row r="53" spans="1:7" ht="20.25" customHeight="1">
      <c r="A53" s="2066"/>
      <c r="B53" s="2177"/>
      <c r="C53" s="273" t="s">
        <v>925</v>
      </c>
      <c r="D53" s="2179">
        <v>1000000</v>
      </c>
      <c r="E53" s="2179">
        <v>1000000</v>
      </c>
      <c r="F53" s="2180">
        <v>947053.88</v>
      </c>
      <c r="G53" s="2181">
        <f>F53/E53</f>
        <v>0.94705388</v>
      </c>
    </row>
    <row r="54" spans="1:7" ht="26.25" customHeight="1">
      <c r="A54" s="2066"/>
      <c r="B54" s="2177"/>
      <c r="C54" s="2158" t="s">
        <v>922</v>
      </c>
      <c r="D54" s="2155">
        <v>700</v>
      </c>
      <c r="E54" s="2155">
        <v>700</v>
      </c>
      <c r="F54" s="2156">
        <v>854.56</v>
      </c>
      <c r="G54" s="2157">
        <f>F54/E54</f>
        <v>1.2207999999999999</v>
      </c>
    </row>
    <row r="55" spans="1:7" ht="20.25" customHeight="1">
      <c r="A55" s="2078"/>
      <c r="B55" s="2230"/>
      <c r="C55" s="2231" t="s">
        <v>916</v>
      </c>
      <c r="D55" s="2232"/>
      <c r="E55" s="2232"/>
      <c r="F55" s="2233">
        <v>458</v>
      </c>
      <c r="G55" s="2234"/>
    </row>
    <row r="56" spans="1:7" ht="29.25" customHeight="1" thickBot="1">
      <c r="A56" s="2183">
        <v>756</v>
      </c>
      <c r="B56" s="2184"/>
      <c r="C56" s="2123" t="s">
        <v>926</v>
      </c>
      <c r="D56" s="2124">
        <f>D57+D60+D62+D69+D80+D88</f>
        <v>341953603</v>
      </c>
      <c r="E56" s="2124">
        <f>E57+E60+E62+E69+E80+E88</f>
        <v>343874117</v>
      </c>
      <c r="F56" s="2125">
        <f>F57+F60+F62+F69+F80+F88</f>
        <v>362269904.39</v>
      </c>
      <c r="G56" s="2126">
        <f aca="true" t="shared" si="4" ref="G56:G86">F56/E56</f>
        <v>1.0534957022950349</v>
      </c>
    </row>
    <row r="57" spans="1:7" ht="19.5" customHeight="1">
      <c r="A57" s="2235"/>
      <c r="B57" s="2128">
        <v>75601</v>
      </c>
      <c r="C57" s="2129" t="s">
        <v>927</v>
      </c>
      <c r="D57" s="2236">
        <f>D58+D59</f>
        <v>1460000</v>
      </c>
      <c r="E57" s="2236">
        <f>E58+E59</f>
        <v>1460000</v>
      </c>
      <c r="F57" s="2237">
        <f>F58+F59</f>
        <v>1309363.08</v>
      </c>
      <c r="G57" s="2238">
        <f t="shared" si="4"/>
        <v>0.8968240273972603</v>
      </c>
    </row>
    <row r="58" spans="1:7" ht="19.5" customHeight="1">
      <c r="A58" s="2239"/>
      <c r="B58" s="2079"/>
      <c r="C58" s="120" t="s">
        <v>928</v>
      </c>
      <c r="D58" s="2136">
        <v>1400000</v>
      </c>
      <c r="E58" s="2136">
        <v>1400000</v>
      </c>
      <c r="F58" s="2137">
        <v>1274470.25</v>
      </c>
      <c r="G58" s="2138">
        <f t="shared" si="4"/>
        <v>0.9103358928571429</v>
      </c>
    </row>
    <row r="59" spans="1:7" ht="19.5" customHeight="1">
      <c r="A59" s="2240"/>
      <c r="B59" s="2067"/>
      <c r="C59" s="325" t="s">
        <v>929</v>
      </c>
      <c r="D59" s="2241">
        <v>60000</v>
      </c>
      <c r="E59" s="2241">
        <v>60000</v>
      </c>
      <c r="F59" s="2242">
        <v>34892.83</v>
      </c>
      <c r="G59" s="2243">
        <f t="shared" si="4"/>
        <v>0.5815471666666667</v>
      </c>
    </row>
    <row r="60" spans="1:7" ht="19.5" customHeight="1">
      <c r="A60" s="2244"/>
      <c r="B60" s="462">
        <v>75605</v>
      </c>
      <c r="C60" s="2140" t="s">
        <v>930</v>
      </c>
      <c r="D60" s="2245">
        <f>D61</f>
        <v>1000000</v>
      </c>
      <c r="E60" s="2245">
        <f>E61</f>
        <v>1000000</v>
      </c>
      <c r="F60" s="2246">
        <f>F61</f>
        <v>801172.61</v>
      </c>
      <c r="G60" s="2247">
        <f t="shared" si="4"/>
        <v>0.80117261</v>
      </c>
    </row>
    <row r="61" spans="1:7" ht="19.5" customHeight="1">
      <c r="A61" s="2240"/>
      <c r="B61" s="2067"/>
      <c r="C61" s="2112" t="s">
        <v>931</v>
      </c>
      <c r="D61" s="2248">
        <v>1000000</v>
      </c>
      <c r="E61" s="2248">
        <v>1000000</v>
      </c>
      <c r="F61" s="2249">
        <v>801172.61</v>
      </c>
      <c r="G61" s="2250">
        <f t="shared" si="4"/>
        <v>0.80117261</v>
      </c>
    </row>
    <row r="62" spans="1:7" ht="27" customHeight="1">
      <c r="A62" s="2244"/>
      <c r="B62" s="462">
        <v>75615</v>
      </c>
      <c r="C62" s="2251" t="s">
        <v>980</v>
      </c>
      <c r="D62" s="2252">
        <f>D63+D64+D65+D66+D67+D68</f>
        <v>100224000</v>
      </c>
      <c r="E62" s="2252">
        <f>E63+E64+E65+E66+E67+E68</f>
        <v>100224000</v>
      </c>
      <c r="F62" s="2253">
        <f>F63+F64+F65+F66+F67+F68</f>
        <v>106133904.42999999</v>
      </c>
      <c r="G62" s="2254">
        <f t="shared" si="4"/>
        <v>1.058966958313378</v>
      </c>
    </row>
    <row r="63" spans="1:8" ht="19.5" customHeight="1">
      <c r="A63" s="2240"/>
      <c r="B63" s="2067"/>
      <c r="C63" s="2068" t="s">
        <v>932</v>
      </c>
      <c r="D63" s="2118">
        <v>92500000</v>
      </c>
      <c r="E63" s="2118">
        <v>92500000</v>
      </c>
      <c r="F63" s="2119">
        <v>95964287.39</v>
      </c>
      <c r="G63" s="2120">
        <f t="shared" si="4"/>
        <v>1.0374517555675675</v>
      </c>
      <c r="H63" s="430"/>
    </row>
    <row r="64" spans="1:7" ht="21" customHeight="1">
      <c r="A64" s="2240"/>
      <c r="B64" s="2067"/>
      <c r="C64" s="2147" t="s">
        <v>933</v>
      </c>
      <c r="D64" s="2160">
        <v>8000</v>
      </c>
      <c r="E64" s="2160">
        <v>8000</v>
      </c>
      <c r="F64" s="2161">
        <v>12786.69</v>
      </c>
      <c r="G64" s="2162">
        <f t="shared" si="4"/>
        <v>1.59833625</v>
      </c>
    </row>
    <row r="65" spans="1:7" ht="19.5" customHeight="1">
      <c r="A65" s="2240"/>
      <c r="B65" s="2067"/>
      <c r="C65" s="2147" t="s">
        <v>934</v>
      </c>
      <c r="D65" s="2148">
        <v>16000</v>
      </c>
      <c r="E65" s="2148">
        <v>16000</v>
      </c>
      <c r="F65" s="2149">
        <v>17894</v>
      </c>
      <c r="G65" s="2150">
        <f t="shared" si="4"/>
        <v>1.118375</v>
      </c>
    </row>
    <row r="66" spans="1:7" ht="19.5" customHeight="1">
      <c r="A66" s="2240"/>
      <c r="B66" s="2067"/>
      <c r="C66" s="2255" t="s">
        <v>935</v>
      </c>
      <c r="D66" s="2169">
        <v>4100000</v>
      </c>
      <c r="E66" s="2169">
        <v>4100000</v>
      </c>
      <c r="F66" s="2170">
        <v>4920169.91</v>
      </c>
      <c r="G66" s="2171">
        <f t="shared" si="4"/>
        <v>1.2000414414634146</v>
      </c>
    </row>
    <row r="67" spans="1:7" ht="19.5" customHeight="1">
      <c r="A67" s="2240"/>
      <c r="B67" s="2067"/>
      <c r="C67" s="2256" t="s">
        <v>936</v>
      </c>
      <c r="D67" s="2148">
        <v>1800000</v>
      </c>
      <c r="E67" s="2148">
        <v>1800000</v>
      </c>
      <c r="F67" s="2149">
        <v>3393622.34</v>
      </c>
      <c r="G67" s="2150">
        <f t="shared" si="4"/>
        <v>1.8853457444444444</v>
      </c>
    </row>
    <row r="68" spans="1:7" ht="18.75" customHeight="1">
      <c r="A68" s="2244"/>
      <c r="B68" s="2079"/>
      <c r="C68" s="302" t="s">
        <v>937</v>
      </c>
      <c r="D68" s="2160">
        <v>1800000</v>
      </c>
      <c r="E68" s="2160">
        <v>1800000</v>
      </c>
      <c r="F68" s="2161">
        <v>1825144.1</v>
      </c>
      <c r="G68" s="2162">
        <f t="shared" si="4"/>
        <v>1.0139689444444444</v>
      </c>
    </row>
    <row r="69" spans="1:7" s="2221" customFormat="1" ht="26.25" customHeight="1">
      <c r="A69" s="2244"/>
      <c r="B69" s="312">
        <v>75616</v>
      </c>
      <c r="C69" s="2251" t="s">
        <v>938</v>
      </c>
      <c r="D69" s="2257">
        <f>D70+D71+D72+D73+D74+D75+D76+D77+D78+D79</f>
        <v>32221000</v>
      </c>
      <c r="E69" s="2257">
        <f>E70+E71+E72+E73+E74+E75+E76+E77+E78+E79</f>
        <v>32221000</v>
      </c>
      <c r="F69" s="2253">
        <f>F70+F71+F72+F73+F74+F75+F76+F77+F78+F79</f>
        <v>37299458.43</v>
      </c>
      <c r="G69" s="2254">
        <f t="shared" si="4"/>
        <v>1.1576133090220664</v>
      </c>
    </row>
    <row r="70" spans="1:7" ht="19.5" customHeight="1">
      <c r="A70" s="2240"/>
      <c r="B70" s="2067"/>
      <c r="C70" s="2068" t="s">
        <v>932</v>
      </c>
      <c r="D70" s="2258">
        <v>15000000</v>
      </c>
      <c r="E70" s="2258">
        <v>15000000</v>
      </c>
      <c r="F70" s="2259">
        <v>16211339.37</v>
      </c>
      <c r="G70" s="2260">
        <f t="shared" si="4"/>
        <v>1.080755958</v>
      </c>
    </row>
    <row r="71" spans="1:7" ht="18" customHeight="1">
      <c r="A71" s="2240"/>
      <c r="B71" s="2067"/>
      <c r="C71" s="2147" t="s">
        <v>933</v>
      </c>
      <c r="D71" s="2160">
        <v>500000</v>
      </c>
      <c r="E71" s="2160">
        <v>500000</v>
      </c>
      <c r="F71" s="2161">
        <v>551036.5</v>
      </c>
      <c r="G71" s="2162">
        <f t="shared" si="4"/>
        <v>1.102073</v>
      </c>
    </row>
    <row r="72" spans="1:7" ht="19.5" customHeight="1">
      <c r="A72" s="2240"/>
      <c r="B72" s="2067"/>
      <c r="C72" s="2147" t="s">
        <v>934</v>
      </c>
      <c r="D72" s="2160">
        <v>6000</v>
      </c>
      <c r="E72" s="2160">
        <v>6000</v>
      </c>
      <c r="F72" s="2161">
        <v>8897.75</v>
      </c>
      <c r="G72" s="2162">
        <f t="shared" si="4"/>
        <v>1.4829583333333334</v>
      </c>
    </row>
    <row r="73" spans="1:7" ht="19.5" customHeight="1">
      <c r="A73" s="2240"/>
      <c r="B73" s="2067"/>
      <c r="C73" s="2147" t="s">
        <v>935</v>
      </c>
      <c r="D73" s="2160">
        <v>2455000</v>
      </c>
      <c r="E73" s="2160">
        <v>2455000</v>
      </c>
      <c r="F73" s="2161">
        <v>2848212.92</v>
      </c>
      <c r="G73" s="2162">
        <f t="shared" si="4"/>
        <v>1.1601681955193481</v>
      </c>
    </row>
    <row r="74" spans="1:7" ht="21" customHeight="1">
      <c r="A74" s="2240"/>
      <c r="B74" s="2067"/>
      <c r="C74" s="2147" t="s">
        <v>939</v>
      </c>
      <c r="D74" s="2160">
        <v>3000000</v>
      </c>
      <c r="E74" s="2160">
        <v>3000000</v>
      </c>
      <c r="F74" s="2161">
        <v>3151561.49</v>
      </c>
      <c r="G74" s="2162">
        <f t="shared" si="4"/>
        <v>1.0505204966666668</v>
      </c>
    </row>
    <row r="75" spans="1:7" ht="19.5" customHeight="1">
      <c r="A75" s="2240"/>
      <c r="B75" s="2067"/>
      <c r="C75" s="2256" t="s">
        <v>940</v>
      </c>
      <c r="D75" s="2160">
        <v>330000</v>
      </c>
      <c r="E75" s="2160">
        <v>330000</v>
      </c>
      <c r="F75" s="2161">
        <v>323371.04</v>
      </c>
      <c r="G75" s="2162">
        <f t="shared" si="4"/>
        <v>0.9799122424242424</v>
      </c>
    </row>
    <row r="76" spans="1:7" ht="19.5" customHeight="1">
      <c r="A76" s="2240"/>
      <c r="B76" s="2067"/>
      <c r="C76" s="2147" t="s">
        <v>941</v>
      </c>
      <c r="D76" s="2160">
        <v>1600000</v>
      </c>
      <c r="E76" s="2160">
        <v>1600000</v>
      </c>
      <c r="F76" s="2161">
        <v>1454765.87</v>
      </c>
      <c r="G76" s="2162">
        <f t="shared" si="4"/>
        <v>0.9092286687500001</v>
      </c>
    </row>
    <row r="77" spans="1:7" ht="19.5" customHeight="1">
      <c r="A77" s="2240"/>
      <c r="B77" s="2067"/>
      <c r="C77" s="2147" t="s">
        <v>942</v>
      </c>
      <c r="D77" s="2160">
        <v>30000</v>
      </c>
      <c r="E77" s="2160">
        <v>30000</v>
      </c>
      <c r="F77" s="2161">
        <v>37626.04</v>
      </c>
      <c r="G77" s="2162">
        <f t="shared" si="4"/>
        <v>1.2542013333333333</v>
      </c>
    </row>
    <row r="78" spans="1:7" ht="18" customHeight="1">
      <c r="A78" s="2240"/>
      <c r="B78" s="2067"/>
      <c r="C78" s="2256" t="s">
        <v>936</v>
      </c>
      <c r="D78" s="2160">
        <v>8300000</v>
      </c>
      <c r="E78" s="2160">
        <v>8300000</v>
      </c>
      <c r="F78" s="2161">
        <v>11860354.46</v>
      </c>
      <c r="G78" s="2162">
        <f t="shared" si="4"/>
        <v>1.428958368674699</v>
      </c>
    </row>
    <row r="79" spans="1:7" ht="18.75" customHeight="1">
      <c r="A79" s="2240"/>
      <c r="B79" s="2067"/>
      <c r="C79" s="317" t="s">
        <v>937</v>
      </c>
      <c r="D79" s="2164">
        <v>1000000</v>
      </c>
      <c r="E79" s="2164">
        <v>1000000</v>
      </c>
      <c r="F79" s="2165">
        <f>876386.91-24093.92</f>
        <v>852292.99</v>
      </c>
      <c r="G79" s="2166">
        <f t="shared" si="4"/>
        <v>0.85229299</v>
      </c>
    </row>
    <row r="80" spans="1:7" ht="25.5" customHeight="1">
      <c r="A80" s="2244"/>
      <c r="B80" s="462">
        <v>75618</v>
      </c>
      <c r="C80" s="2140" t="s">
        <v>943</v>
      </c>
      <c r="D80" s="2261">
        <f>SUM(D81:D86)</f>
        <v>15178000</v>
      </c>
      <c r="E80" s="2261">
        <f>SUM(E81:E86)</f>
        <v>15178000</v>
      </c>
      <c r="F80" s="2262">
        <f>SUM(F81:F87)</f>
        <v>13901540.189999998</v>
      </c>
      <c r="G80" s="2263">
        <f t="shared" si="4"/>
        <v>0.9159006581894846</v>
      </c>
    </row>
    <row r="81" spans="1:7" ht="19.5" customHeight="1">
      <c r="A81" s="2240"/>
      <c r="B81" s="2067"/>
      <c r="C81" s="2264" t="s">
        <v>944</v>
      </c>
      <c r="D81" s="2265">
        <v>9500000</v>
      </c>
      <c r="E81" s="2265">
        <v>9500000</v>
      </c>
      <c r="F81" s="2249">
        <v>8113724.63</v>
      </c>
      <c r="G81" s="2250">
        <f t="shared" si="4"/>
        <v>0.8540762768421053</v>
      </c>
    </row>
    <row r="82" spans="1:7" ht="17.25" customHeight="1">
      <c r="A82" s="2066"/>
      <c r="B82" s="2067"/>
      <c r="C82" s="340" t="s">
        <v>945</v>
      </c>
      <c r="D82" s="2266">
        <v>5100000</v>
      </c>
      <c r="E82" s="2266">
        <v>5100000</v>
      </c>
      <c r="F82" s="2267">
        <v>5218779.25</v>
      </c>
      <c r="G82" s="2268">
        <f t="shared" si="4"/>
        <v>1.0232900490196077</v>
      </c>
    </row>
    <row r="83" spans="1:7" ht="19.5" customHeight="1">
      <c r="A83" s="2240"/>
      <c r="B83" s="2067"/>
      <c r="C83" s="302" t="s">
        <v>946</v>
      </c>
      <c r="D83" s="2160">
        <v>20000</v>
      </c>
      <c r="E83" s="2160">
        <v>20000</v>
      </c>
      <c r="F83" s="2161">
        <v>28975</v>
      </c>
      <c r="G83" s="2162">
        <f t="shared" si="4"/>
        <v>1.44875</v>
      </c>
    </row>
    <row r="84" spans="1:7" ht="17.25" customHeight="1">
      <c r="A84" s="2240"/>
      <c r="B84" s="2067"/>
      <c r="C84" s="302" t="s">
        <v>947</v>
      </c>
      <c r="D84" s="2160">
        <v>550000</v>
      </c>
      <c r="E84" s="2160">
        <v>550000</v>
      </c>
      <c r="F84" s="2161">
        <v>509500</v>
      </c>
      <c r="G84" s="2162">
        <f t="shared" si="4"/>
        <v>0.9263636363636364</v>
      </c>
    </row>
    <row r="85" spans="1:7" ht="19.5" customHeight="1">
      <c r="A85" s="2240"/>
      <c r="B85" s="2067"/>
      <c r="C85" s="302" t="s">
        <v>948</v>
      </c>
      <c r="D85" s="2160">
        <v>3000</v>
      </c>
      <c r="E85" s="2160">
        <v>3000</v>
      </c>
      <c r="F85" s="2161">
        <v>25706.7</v>
      </c>
      <c r="G85" s="2162">
        <f t="shared" si="4"/>
        <v>8.568900000000001</v>
      </c>
    </row>
    <row r="86" spans="1:7" ht="19.5" customHeight="1">
      <c r="A86" s="2240"/>
      <c r="B86" s="2067"/>
      <c r="C86" s="302" t="s">
        <v>915</v>
      </c>
      <c r="D86" s="2160">
        <v>5000</v>
      </c>
      <c r="E86" s="2160">
        <v>5000</v>
      </c>
      <c r="F86" s="2161">
        <v>2920.61</v>
      </c>
      <c r="G86" s="2162">
        <f t="shared" si="4"/>
        <v>0.584122</v>
      </c>
    </row>
    <row r="87" spans="1:7" ht="19.5" customHeight="1">
      <c r="A87" s="2239"/>
      <c r="B87" s="2079"/>
      <c r="C87" s="325" t="s">
        <v>949</v>
      </c>
      <c r="D87" s="2241"/>
      <c r="E87" s="2241"/>
      <c r="F87" s="2269">
        <v>1934</v>
      </c>
      <c r="G87" s="2243"/>
    </row>
    <row r="88" spans="1:7" ht="19.5" customHeight="1">
      <c r="A88" s="2139"/>
      <c r="B88" s="312">
        <v>75621</v>
      </c>
      <c r="C88" s="2200" t="s">
        <v>950</v>
      </c>
      <c r="D88" s="2270">
        <f>SUM(D89:D90)</f>
        <v>191870603</v>
      </c>
      <c r="E88" s="2270">
        <f>SUM(E89:E90)</f>
        <v>193791117</v>
      </c>
      <c r="F88" s="2271">
        <f>SUM(F89:F91)</f>
        <v>202824465.65</v>
      </c>
      <c r="G88" s="130">
        <f>F88/E88</f>
        <v>1.0466138427284053</v>
      </c>
    </row>
    <row r="89" spans="1:7" ht="22.5" customHeight="1">
      <c r="A89" s="2066"/>
      <c r="B89" s="2067"/>
      <c r="C89" s="2112" t="s">
        <v>951</v>
      </c>
      <c r="D89" s="2179">
        <v>176870603</v>
      </c>
      <c r="E89" s="2179">
        <v>178791117</v>
      </c>
      <c r="F89" s="2180">
        <v>185027490</v>
      </c>
      <c r="G89" s="2181">
        <f>F89/E89</f>
        <v>1.0348807765432777</v>
      </c>
    </row>
    <row r="90" spans="1:7" ht="21" customHeight="1">
      <c r="A90" s="2066"/>
      <c r="B90" s="2067"/>
      <c r="C90" s="2167" t="s">
        <v>952</v>
      </c>
      <c r="D90" s="2272">
        <v>15000000</v>
      </c>
      <c r="E90" s="2272">
        <v>15000000</v>
      </c>
      <c r="F90" s="2161">
        <v>17796933.8</v>
      </c>
      <c r="G90" s="2162">
        <f>F90/E90</f>
        <v>1.1864622533333333</v>
      </c>
    </row>
    <row r="91" spans="1:7" ht="21" customHeight="1">
      <c r="A91" s="2078"/>
      <c r="B91" s="2079"/>
      <c r="C91" s="2273" t="s">
        <v>953</v>
      </c>
      <c r="D91" s="2274"/>
      <c r="E91" s="2274"/>
      <c r="F91" s="2242">
        <v>41.85</v>
      </c>
      <c r="G91" s="2243"/>
    </row>
    <row r="92" spans="1:7" ht="19.5" customHeight="1" thickBot="1">
      <c r="A92" s="2139">
        <v>758</v>
      </c>
      <c r="B92" s="2275"/>
      <c r="C92" s="2184" t="s">
        <v>225</v>
      </c>
      <c r="D92" s="2276">
        <f>D93+D96</f>
        <v>800000</v>
      </c>
      <c r="E92" s="2276">
        <f>E93+E96</f>
        <v>800000</v>
      </c>
      <c r="F92" s="2277">
        <f>F93+F96</f>
        <v>1214175.22</v>
      </c>
      <c r="G92" s="2278">
        <f>F92/E92</f>
        <v>1.5177190249999999</v>
      </c>
    </row>
    <row r="93" spans="1:7" ht="19.5" customHeight="1">
      <c r="A93" s="2279"/>
      <c r="B93" s="2128">
        <v>75814</v>
      </c>
      <c r="C93" s="2092" t="s">
        <v>226</v>
      </c>
      <c r="D93" s="2236">
        <f>SUM(D94:D95)</f>
        <v>800000</v>
      </c>
      <c r="E93" s="2236">
        <f>SUM(E94:E95)</f>
        <v>800000</v>
      </c>
      <c r="F93" s="2237">
        <f>SUM(F94:F95)</f>
        <v>1251554.29</v>
      </c>
      <c r="G93" s="2238">
        <f>F93/E93</f>
        <v>1.5644428625</v>
      </c>
    </row>
    <row r="94" spans="1:7" ht="19.5" customHeight="1">
      <c r="A94" s="2066"/>
      <c r="B94" s="2067"/>
      <c r="C94" s="2112" t="s">
        <v>954</v>
      </c>
      <c r="D94" s="2248">
        <v>800000</v>
      </c>
      <c r="E94" s="2248">
        <v>800000</v>
      </c>
      <c r="F94" s="2249">
        <v>1147821.27</v>
      </c>
      <c r="G94" s="2250">
        <f>F94/E94</f>
        <v>1.4347765875</v>
      </c>
    </row>
    <row r="95" spans="1:7" ht="19.5" customHeight="1">
      <c r="A95" s="2066"/>
      <c r="B95" s="2067"/>
      <c r="C95" s="2167" t="s">
        <v>916</v>
      </c>
      <c r="D95" s="2272"/>
      <c r="E95" s="2272"/>
      <c r="F95" s="2161">
        <f>497.59+21741.3+57439.07+18684.27+5370.79</f>
        <v>103733.01999999999</v>
      </c>
      <c r="G95" s="2162"/>
    </row>
    <row r="96" spans="1:7" ht="19.5" customHeight="1">
      <c r="A96" s="2204"/>
      <c r="B96" s="462">
        <v>75815</v>
      </c>
      <c r="C96" s="2140" t="s">
        <v>955</v>
      </c>
      <c r="D96" s="2245"/>
      <c r="E96" s="2245"/>
      <c r="F96" s="2246">
        <f>F97</f>
        <v>-37379.07</v>
      </c>
      <c r="G96" s="2247"/>
    </row>
    <row r="97" spans="1:7" ht="19.5" customHeight="1">
      <c r="A97" s="2066"/>
      <c r="B97" s="2067"/>
      <c r="C97" s="2112" t="s">
        <v>956</v>
      </c>
      <c r="D97" s="2248"/>
      <c r="E97" s="2248"/>
      <c r="F97" s="2249">
        <v>-37379.07</v>
      </c>
      <c r="G97" s="2250"/>
    </row>
    <row r="98" spans="1:7" ht="21" customHeight="1" thickBot="1">
      <c r="A98" s="259">
        <v>801</v>
      </c>
      <c r="B98" s="353"/>
      <c r="C98" s="2280" t="s">
        <v>42</v>
      </c>
      <c r="D98" s="2281">
        <f>D99+D102+D106+D111+D115</f>
        <v>6744000</v>
      </c>
      <c r="E98" s="2281">
        <f>E99+E102+E106+E111+E115</f>
        <v>6744000</v>
      </c>
      <c r="F98" s="2282">
        <f>F99+F102+F106+F111+F115</f>
        <v>7132086.67</v>
      </c>
      <c r="G98" s="2283">
        <f>F98/E98</f>
        <v>1.0575454730130487</v>
      </c>
    </row>
    <row r="99" spans="1:7" s="364" customFormat="1" ht="21" customHeight="1">
      <c r="A99" s="2139"/>
      <c r="B99" s="312">
        <v>80101</v>
      </c>
      <c r="C99" s="2284" t="s">
        <v>43</v>
      </c>
      <c r="D99" s="2176">
        <f>SUM(D100:D101)</f>
        <v>14400</v>
      </c>
      <c r="E99" s="2176">
        <f>SUM(E100:E101)</f>
        <v>14400</v>
      </c>
      <c r="F99" s="2142">
        <f>SUM(F100:F101)</f>
        <v>42965.979999999996</v>
      </c>
      <c r="G99" s="2143">
        <f>F99/E99</f>
        <v>2.983748611111111</v>
      </c>
    </row>
    <row r="100" spans="1:7" s="364" customFormat="1" ht="26.25" customHeight="1">
      <c r="A100" s="2066"/>
      <c r="B100" s="2067"/>
      <c r="C100" s="2152" t="s">
        <v>922</v>
      </c>
      <c r="D100" s="2272">
        <v>14400</v>
      </c>
      <c r="E100" s="2272">
        <v>14400</v>
      </c>
      <c r="F100" s="2161">
        <v>14269.96</v>
      </c>
      <c r="G100" s="2162">
        <f>F100/E100</f>
        <v>0.9909694444444443</v>
      </c>
    </row>
    <row r="101" spans="1:7" s="364" customFormat="1" ht="18.75" customHeight="1">
      <c r="A101" s="2066"/>
      <c r="B101" s="2079"/>
      <c r="C101" s="2231" t="s">
        <v>916</v>
      </c>
      <c r="D101" s="2274"/>
      <c r="E101" s="2274"/>
      <c r="F101" s="2242">
        <v>28696.02</v>
      </c>
      <c r="G101" s="2243"/>
    </row>
    <row r="102" spans="1:7" ht="19.5" customHeight="1">
      <c r="A102" s="2066"/>
      <c r="B102" s="312">
        <v>80103</v>
      </c>
      <c r="C102" s="2284" t="s">
        <v>245</v>
      </c>
      <c r="D102" s="2141">
        <f>SUM(D103:D104)</f>
        <v>140400</v>
      </c>
      <c r="E102" s="2141">
        <f>SUM(E103:E104)</f>
        <v>140400</v>
      </c>
      <c r="F102" s="2253">
        <f>SUM(F103:F105)</f>
        <v>112324.23</v>
      </c>
      <c r="G102" s="2254">
        <f>F102/E102</f>
        <v>0.8000301282051282</v>
      </c>
    </row>
    <row r="103" spans="1:7" s="364" customFormat="1" ht="18.75" customHeight="1">
      <c r="A103" s="2066"/>
      <c r="B103" s="2275"/>
      <c r="C103" s="2285" t="s">
        <v>957</v>
      </c>
      <c r="D103" s="2286">
        <v>140000</v>
      </c>
      <c r="E103" s="2286">
        <v>140000</v>
      </c>
      <c r="F103" s="2287">
        <v>111969.23</v>
      </c>
      <c r="G103" s="2288">
        <f>F103/E103</f>
        <v>0.7997802142857142</v>
      </c>
    </row>
    <row r="104" spans="1:7" s="364" customFormat="1" ht="26.25" customHeight="1">
      <c r="A104" s="2066"/>
      <c r="B104" s="2067"/>
      <c r="C104" s="2289" t="s">
        <v>922</v>
      </c>
      <c r="D104" s="2148">
        <v>400</v>
      </c>
      <c r="E104" s="2148">
        <v>400</v>
      </c>
      <c r="F104" s="2149">
        <v>277.21</v>
      </c>
      <c r="G104" s="2150">
        <f>F104/E104</f>
        <v>0.693025</v>
      </c>
    </row>
    <row r="105" spans="1:7" s="364" customFormat="1" ht="19.5" customHeight="1">
      <c r="A105" s="2066"/>
      <c r="B105" s="2079"/>
      <c r="C105" s="2231" t="s">
        <v>916</v>
      </c>
      <c r="D105" s="2290"/>
      <c r="E105" s="2290"/>
      <c r="F105" s="2291">
        <v>77.79</v>
      </c>
      <c r="G105" s="2292"/>
    </row>
    <row r="106" spans="1:7" ht="19.5" customHeight="1">
      <c r="A106" s="2066"/>
      <c r="B106" s="312">
        <v>80104</v>
      </c>
      <c r="C106" s="2284" t="s">
        <v>45</v>
      </c>
      <c r="D106" s="2141">
        <f>SUM(D107:D110)</f>
        <v>6580900</v>
      </c>
      <c r="E106" s="2141">
        <f>SUM(E107:E110)</f>
        <v>6580900</v>
      </c>
      <c r="F106" s="2253">
        <f>SUM(F107:F110)</f>
        <v>6957959.99</v>
      </c>
      <c r="G106" s="2254">
        <f aca="true" t="shared" si="5" ref="G106:G112">F106/E106</f>
        <v>1.0572961129936636</v>
      </c>
    </row>
    <row r="107" spans="1:7" s="364" customFormat="1" ht="19.5" customHeight="1">
      <c r="A107" s="2066"/>
      <c r="B107" s="2275"/>
      <c r="C107" s="2285" t="s">
        <v>958</v>
      </c>
      <c r="D107" s="2286">
        <v>6500000</v>
      </c>
      <c r="E107" s="2286">
        <v>6500000</v>
      </c>
      <c r="F107" s="2287">
        <v>6895567.1</v>
      </c>
      <c r="G107" s="2288">
        <f t="shared" si="5"/>
        <v>1.0608564769230768</v>
      </c>
    </row>
    <row r="108" spans="1:7" s="364" customFormat="1" ht="19.5" customHeight="1">
      <c r="A108" s="2066"/>
      <c r="B108" s="2067"/>
      <c r="C108" s="2289" t="s">
        <v>915</v>
      </c>
      <c r="D108" s="2148">
        <v>23000</v>
      </c>
      <c r="E108" s="2148">
        <v>23000</v>
      </c>
      <c r="F108" s="2149">
        <v>20621.57</v>
      </c>
      <c r="G108" s="2150">
        <f t="shared" si="5"/>
        <v>0.89659</v>
      </c>
    </row>
    <row r="109" spans="1:7" s="364" customFormat="1" ht="26.25" customHeight="1">
      <c r="A109" s="2066"/>
      <c r="B109" s="2067"/>
      <c r="C109" s="2168" t="s">
        <v>922</v>
      </c>
      <c r="D109" s="2169">
        <v>6900</v>
      </c>
      <c r="E109" s="2169">
        <v>6900</v>
      </c>
      <c r="F109" s="2170">
        <v>7338.42</v>
      </c>
      <c r="G109" s="2171">
        <f t="shared" si="5"/>
        <v>1.0635391304347825</v>
      </c>
    </row>
    <row r="110" spans="1:7" s="364" customFormat="1" ht="22.5" customHeight="1">
      <c r="A110" s="2066"/>
      <c r="B110" s="2067"/>
      <c r="C110" s="2152" t="s">
        <v>904</v>
      </c>
      <c r="D110" s="2293">
        <v>51000</v>
      </c>
      <c r="E110" s="2293">
        <v>51000</v>
      </c>
      <c r="F110" s="2149">
        <v>34432.9</v>
      </c>
      <c r="G110" s="2150">
        <f t="shared" si="5"/>
        <v>0.6751549019607843</v>
      </c>
    </row>
    <row r="111" spans="1:7" ht="21" customHeight="1">
      <c r="A111" s="2139"/>
      <c r="B111" s="462">
        <v>80105</v>
      </c>
      <c r="C111" s="2294" t="s">
        <v>249</v>
      </c>
      <c r="D111" s="2257">
        <f>SUM(D112:D112)</f>
        <v>300</v>
      </c>
      <c r="E111" s="2257">
        <f>SUM(E112:E112)</f>
        <v>300</v>
      </c>
      <c r="F111" s="2253">
        <f>SUM(F112:F113)</f>
        <v>598.14</v>
      </c>
      <c r="G111" s="2254">
        <f t="shared" si="5"/>
        <v>1.9938</v>
      </c>
    </row>
    <row r="112" spans="1:7" s="364" customFormat="1" ht="26.25" customHeight="1">
      <c r="A112" s="2066"/>
      <c r="B112" s="2295"/>
      <c r="C112" s="2296" t="s">
        <v>922</v>
      </c>
      <c r="D112" s="2297">
        <v>300</v>
      </c>
      <c r="E112" s="2297">
        <v>300</v>
      </c>
      <c r="F112" s="2180">
        <v>362.57</v>
      </c>
      <c r="G112" s="2181">
        <f t="shared" si="5"/>
        <v>1.2085666666666666</v>
      </c>
    </row>
    <row r="113" spans="1:7" s="364" customFormat="1" ht="19.5" customHeight="1">
      <c r="A113" s="2066"/>
      <c r="B113" s="2067"/>
      <c r="C113" s="2298" t="s">
        <v>916</v>
      </c>
      <c r="D113" s="2299"/>
      <c r="E113" s="2299"/>
      <c r="F113" s="2119">
        <v>235.57</v>
      </c>
      <c r="G113" s="2120"/>
    </row>
    <row r="114" spans="1:7" s="364" customFormat="1" ht="29.25" customHeight="1">
      <c r="A114" s="2300"/>
      <c r="B114" s="2301"/>
      <c r="C114" s="2302"/>
      <c r="D114" s="2303"/>
      <c r="E114" s="2303"/>
      <c r="F114" s="2304"/>
      <c r="G114" s="2305"/>
    </row>
    <row r="115" spans="1:7" ht="18.75" customHeight="1">
      <c r="A115" s="2139"/>
      <c r="B115" s="312">
        <v>80110</v>
      </c>
      <c r="C115" s="2284" t="s">
        <v>46</v>
      </c>
      <c r="D115" s="2176">
        <f>SUM(D116:D117)</f>
        <v>8000</v>
      </c>
      <c r="E115" s="2176">
        <f>SUM(E116:E117)</f>
        <v>8000</v>
      </c>
      <c r="F115" s="2142">
        <f>SUM(F116:F117)</f>
        <v>18238.33</v>
      </c>
      <c r="G115" s="2143">
        <f>F115/E115</f>
        <v>2.27979125</v>
      </c>
    </row>
    <row r="116" spans="1:7" ht="26.25" customHeight="1">
      <c r="A116" s="2066"/>
      <c r="B116" s="2067"/>
      <c r="C116" s="2178" t="s">
        <v>922</v>
      </c>
      <c r="D116" s="2179">
        <v>8000</v>
      </c>
      <c r="E116" s="2179">
        <v>8000</v>
      </c>
      <c r="F116" s="2180">
        <v>8605.23</v>
      </c>
      <c r="G116" s="2181">
        <f>F116/E116</f>
        <v>1.0756537499999999</v>
      </c>
    </row>
    <row r="117" spans="1:7" ht="19.5" customHeight="1">
      <c r="A117" s="2078"/>
      <c r="B117" s="2079"/>
      <c r="C117" s="2306" t="s">
        <v>916</v>
      </c>
      <c r="D117" s="2290"/>
      <c r="E117" s="2290"/>
      <c r="F117" s="2233">
        <v>9633.1</v>
      </c>
      <c r="G117" s="2234"/>
    </row>
    <row r="118" spans="1:7" ht="18.75" customHeight="1" thickBot="1">
      <c r="A118" s="2183">
        <v>852</v>
      </c>
      <c r="B118" s="2184"/>
      <c r="C118" s="2307" t="s">
        <v>54</v>
      </c>
      <c r="D118" s="2124">
        <f>D119+D125+D127+D129+D131+D135</f>
        <v>2788600</v>
      </c>
      <c r="E118" s="2124">
        <f>E119+E125+E127+E129+E131+E135</f>
        <v>2788600</v>
      </c>
      <c r="F118" s="2308">
        <f>F119+F125+F127+F129+F131+F135+F139</f>
        <v>2271240.6100000003</v>
      </c>
      <c r="G118" s="2126">
        <f>F118/E118</f>
        <v>0.8144734311123862</v>
      </c>
    </row>
    <row r="119" spans="1:7" ht="18.75" customHeight="1">
      <c r="A119" s="2279"/>
      <c r="B119" s="2128">
        <v>85203</v>
      </c>
      <c r="C119" s="2129" t="s">
        <v>59</v>
      </c>
      <c r="D119" s="2236">
        <f>SUM(D120:D124)</f>
        <v>74900</v>
      </c>
      <c r="E119" s="2236">
        <f>SUM(E120:E124)</f>
        <v>74900</v>
      </c>
      <c r="F119" s="2237">
        <f>SUM(F120:F124)</f>
        <v>103024.62</v>
      </c>
      <c r="G119" s="2238">
        <f>F119/E119</f>
        <v>1.3754955941255007</v>
      </c>
    </row>
    <row r="120" spans="1:7" ht="19.5" customHeight="1">
      <c r="A120" s="2066"/>
      <c r="B120" s="2067"/>
      <c r="C120" s="2112" t="s">
        <v>959</v>
      </c>
      <c r="D120" s="2309">
        <v>73000</v>
      </c>
      <c r="E120" s="2309">
        <v>73000</v>
      </c>
      <c r="F120" s="2310">
        <v>85288.09</v>
      </c>
      <c r="G120" s="131">
        <f>F120/E120</f>
        <v>1.1683299999999999</v>
      </c>
    </row>
    <row r="121" spans="1:7" s="364" customFormat="1" ht="26.25" customHeight="1">
      <c r="A121" s="2066"/>
      <c r="B121" s="2067"/>
      <c r="C121" s="2154" t="s">
        <v>922</v>
      </c>
      <c r="D121" s="2311">
        <v>400</v>
      </c>
      <c r="E121" s="2311">
        <v>400</v>
      </c>
      <c r="F121" s="2267">
        <v>505.65</v>
      </c>
      <c r="G121" s="2268">
        <f>F121/E121</f>
        <v>1.264125</v>
      </c>
    </row>
    <row r="122" spans="1:7" s="364" customFormat="1" ht="27.75" customHeight="1">
      <c r="A122" s="2066"/>
      <c r="B122" s="2067"/>
      <c r="C122" s="2152" t="s">
        <v>960</v>
      </c>
      <c r="D122" s="2312">
        <v>1500</v>
      </c>
      <c r="E122" s="2312">
        <v>1500</v>
      </c>
      <c r="F122" s="2313">
        <v>1616.88</v>
      </c>
      <c r="G122" s="2314">
        <f>F122/E122</f>
        <v>1.07792</v>
      </c>
    </row>
    <row r="123" spans="1:7" ht="19.5" customHeight="1">
      <c r="A123" s="2066"/>
      <c r="B123" s="2067"/>
      <c r="C123" s="340" t="s">
        <v>961</v>
      </c>
      <c r="D123" s="2315"/>
      <c r="E123" s="2315"/>
      <c r="F123" s="2210">
        <v>3903.8</v>
      </c>
      <c r="G123" s="2211"/>
    </row>
    <row r="124" spans="1:7" s="364" customFormat="1" ht="19.5" customHeight="1">
      <c r="A124" s="2066"/>
      <c r="B124" s="2067"/>
      <c r="C124" s="2231" t="s">
        <v>916</v>
      </c>
      <c r="D124" s="2316"/>
      <c r="E124" s="2316"/>
      <c r="F124" s="2165">
        <f>10675.07+1035.13</f>
        <v>11710.2</v>
      </c>
      <c r="G124" s="2166"/>
    </row>
    <row r="125" spans="1:7" s="2320" customFormat="1" ht="25.5" customHeight="1">
      <c r="A125" s="2139"/>
      <c r="B125" s="462">
        <v>85212</v>
      </c>
      <c r="C125" s="2284" t="s">
        <v>962</v>
      </c>
      <c r="D125" s="2317"/>
      <c r="E125" s="2317"/>
      <c r="F125" s="2318">
        <f>F126</f>
        <v>31238.62</v>
      </c>
      <c r="G125" s="2319"/>
    </row>
    <row r="126" spans="1:7" s="364" customFormat="1" ht="19.5" customHeight="1">
      <c r="A126" s="2066"/>
      <c r="B126" s="2067"/>
      <c r="C126" s="2231" t="s">
        <v>963</v>
      </c>
      <c r="D126" s="2316"/>
      <c r="E126" s="2316"/>
      <c r="F126" s="2321">
        <v>31238.62</v>
      </c>
      <c r="G126" s="2322"/>
    </row>
    <row r="127" spans="1:7" ht="18.75" customHeight="1">
      <c r="A127" s="2139"/>
      <c r="B127" s="462">
        <v>85214</v>
      </c>
      <c r="C127" s="2200" t="s">
        <v>964</v>
      </c>
      <c r="D127" s="2201"/>
      <c r="E127" s="2201"/>
      <c r="F127" s="2202">
        <f>SUM(F128:F128)</f>
        <v>14489.61</v>
      </c>
      <c r="G127" s="2203"/>
    </row>
    <row r="128" spans="1:7" s="364" customFormat="1" ht="18.75" customHeight="1">
      <c r="A128" s="2066"/>
      <c r="B128" s="2323"/>
      <c r="C128" s="2324" t="s">
        <v>916</v>
      </c>
      <c r="D128" s="2325"/>
      <c r="E128" s="2325"/>
      <c r="F128" s="2137">
        <v>14489.61</v>
      </c>
      <c r="G128" s="2138"/>
    </row>
    <row r="129" spans="1:7" ht="17.25" customHeight="1">
      <c r="A129" s="2066"/>
      <c r="B129" s="312">
        <v>85215</v>
      </c>
      <c r="C129" s="2284" t="s">
        <v>644</v>
      </c>
      <c r="D129" s="2141">
        <f>SUM(D130:D130)</f>
        <v>1000</v>
      </c>
      <c r="E129" s="2141">
        <f>SUM(E130:E130)</f>
        <v>1000</v>
      </c>
      <c r="F129" s="2142">
        <f>SUM(F130:F130)</f>
        <v>932.93</v>
      </c>
      <c r="G129" s="2143">
        <f>F129/E129</f>
        <v>0.9329299999999999</v>
      </c>
    </row>
    <row r="130" spans="1:7" s="364" customFormat="1" ht="18.75" customHeight="1">
      <c r="A130" s="2066"/>
      <c r="B130" s="2323"/>
      <c r="C130" s="2326" t="s">
        <v>965</v>
      </c>
      <c r="D130" s="2136">
        <v>1000</v>
      </c>
      <c r="E130" s="2136">
        <v>1000</v>
      </c>
      <c r="F130" s="2137">
        <v>932.93</v>
      </c>
      <c r="G130" s="2138">
        <f>F130/E130</f>
        <v>0.9329299999999999</v>
      </c>
    </row>
    <row r="131" spans="1:7" ht="18.75" customHeight="1">
      <c r="A131" s="2139"/>
      <c r="B131" s="312">
        <v>85219</v>
      </c>
      <c r="C131" s="2200" t="s">
        <v>646</v>
      </c>
      <c r="D131" s="2141">
        <f>SUM(D132:D134)</f>
        <v>5700</v>
      </c>
      <c r="E131" s="2141">
        <f>SUM(E132:E134)</f>
        <v>5700</v>
      </c>
      <c r="F131" s="2142">
        <f>SUM(F132:F134)</f>
        <v>9829.949999999999</v>
      </c>
      <c r="G131" s="2143">
        <f>F131/E131</f>
        <v>1.7245526315789472</v>
      </c>
    </row>
    <row r="132" spans="1:7" s="364" customFormat="1" ht="26.25" customHeight="1">
      <c r="A132" s="2066"/>
      <c r="B132" s="2067"/>
      <c r="C132" s="2289" t="s">
        <v>922</v>
      </c>
      <c r="D132" s="2148">
        <v>1700</v>
      </c>
      <c r="E132" s="2148">
        <v>1700</v>
      </c>
      <c r="F132" s="2149">
        <v>2210.16</v>
      </c>
      <c r="G132" s="2150">
        <f>F132/E132</f>
        <v>1.3000941176470588</v>
      </c>
    </row>
    <row r="133" spans="1:7" s="2330" customFormat="1" ht="18.75" customHeight="1">
      <c r="A133" s="2206"/>
      <c r="B133" s="2207"/>
      <c r="C133" s="2327" t="s">
        <v>966</v>
      </c>
      <c r="D133" s="2328">
        <v>4000</v>
      </c>
      <c r="E133" s="2328">
        <v>4000</v>
      </c>
      <c r="F133" s="2149">
        <v>4411.07</v>
      </c>
      <c r="G133" s="2329">
        <f>F133/E133</f>
        <v>1.1027675</v>
      </c>
    </row>
    <row r="134" spans="1:7" s="364" customFormat="1" ht="18.75" customHeight="1">
      <c r="A134" s="2066"/>
      <c r="B134" s="2067"/>
      <c r="C134" s="2331" t="s">
        <v>916</v>
      </c>
      <c r="D134" s="2332"/>
      <c r="E134" s="2332"/>
      <c r="F134" s="2291">
        <v>3208.72</v>
      </c>
      <c r="G134" s="2333"/>
    </row>
    <row r="135" spans="1:7" ht="18.75" customHeight="1">
      <c r="A135" s="2066"/>
      <c r="B135" s="462">
        <v>85228</v>
      </c>
      <c r="C135" s="2200" t="s">
        <v>117</v>
      </c>
      <c r="D135" s="2201">
        <f>SUM(D136:D138)</f>
        <v>2707000</v>
      </c>
      <c r="E135" s="2201">
        <f>SUM(E136:E138)</f>
        <v>2707000</v>
      </c>
      <c r="F135" s="2202">
        <f>SUM(F136:F138)</f>
        <v>2082286.1700000002</v>
      </c>
      <c r="G135" s="2203">
        <f>F135/E135</f>
        <v>0.7692228186183968</v>
      </c>
    </row>
    <row r="136" spans="1:7" ht="18.75" customHeight="1">
      <c r="A136" s="2066"/>
      <c r="B136" s="2295"/>
      <c r="C136" s="2334" t="s">
        <v>967</v>
      </c>
      <c r="D136" s="2144">
        <v>2700000</v>
      </c>
      <c r="E136" s="2144">
        <v>2700000</v>
      </c>
      <c r="F136" s="2145">
        <v>2077739.09</v>
      </c>
      <c r="G136" s="2146">
        <f>F136/E136</f>
        <v>0.7695329962962963</v>
      </c>
    </row>
    <row r="137" spans="1:7" s="364" customFormat="1" ht="18.75" customHeight="1">
      <c r="A137" s="2066"/>
      <c r="B137" s="2067"/>
      <c r="C137" s="2167" t="s">
        <v>968</v>
      </c>
      <c r="D137" s="2293">
        <v>7000</v>
      </c>
      <c r="E137" s="2293">
        <v>7000</v>
      </c>
      <c r="F137" s="2149">
        <v>4211.08</v>
      </c>
      <c r="G137" s="2150">
        <f>F137/E137</f>
        <v>0.6015828571428571</v>
      </c>
    </row>
    <row r="138" spans="1:7" s="364" customFormat="1" ht="18.75" customHeight="1">
      <c r="A138" s="2066"/>
      <c r="B138" s="2067"/>
      <c r="C138" s="2117" t="s">
        <v>916</v>
      </c>
      <c r="D138" s="2299"/>
      <c r="E138" s="2299"/>
      <c r="F138" s="2119">
        <v>336</v>
      </c>
      <c r="G138" s="2120"/>
    </row>
    <row r="139" spans="1:7" ht="18.75" customHeight="1">
      <c r="A139" s="2066"/>
      <c r="B139" s="462">
        <v>85232</v>
      </c>
      <c r="C139" s="2140" t="s">
        <v>655</v>
      </c>
      <c r="D139" s="2245"/>
      <c r="E139" s="2245"/>
      <c r="F139" s="2246">
        <f>SUM(F140:F141)</f>
        <v>29438.71</v>
      </c>
      <c r="G139" s="2247"/>
    </row>
    <row r="140" spans="1:7" s="364" customFormat="1" ht="18.75" customHeight="1">
      <c r="A140" s="2066"/>
      <c r="B140" s="2067"/>
      <c r="C140" s="2112" t="s">
        <v>969</v>
      </c>
      <c r="D140" s="2297"/>
      <c r="E140" s="2297"/>
      <c r="F140" s="2180">
        <v>28177.87</v>
      </c>
      <c r="G140" s="2181"/>
    </row>
    <row r="141" spans="1:7" s="364" customFormat="1" ht="18.75" customHeight="1">
      <c r="A141" s="2066"/>
      <c r="B141" s="2067"/>
      <c r="C141" s="2135" t="s">
        <v>905</v>
      </c>
      <c r="D141" s="2182"/>
      <c r="E141" s="2182"/>
      <c r="F141" s="2156">
        <v>1260.84</v>
      </c>
      <c r="G141" s="2157"/>
    </row>
    <row r="142" spans="1:7" s="364" customFormat="1" ht="18.75" customHeight="1">
      <c r="A142" s="2300"/>
      <c r="B142" s="2301"/>
      <c r="C142" s="2335"/>
      <c r="D142" s="2303"/>
      <c r="E142" s="2303"/>
      <c r="F142" s="2304"/>
      <c r="G142" s="2305"/>
    </row>
    <row r="143" spans="1:7" s="364" customFormat="1" ht="18.75" customHeight="1">
      <c r="A143" s="2336"/>
      <c r="B143" s="2151"/>
      <c r="C143" s="2337"/>
      <c r="D143" s="2338"/>
      <c r="E143" s="2338"/>
      <c r="F143" s="2339"/>
      <c r="G143" s="2340"/>
    </row>
    <row r="144" spans="1:7" s="2221" customFormat="1" ht="18.75" customHeight="1" thickBot="1">
      <c r="A144" s="2224">
        <v>853</v>
      </c>
      <c r="B144" s="2225"/>
      <c r="C144" s="203" t="s">
        <v>737</v>
      </c>
      <c r="D144" s="2227">
        <f>D145</f>
        <v>502200</v>
      </c>
      <c r="E144" s="2227">
        <f>E145</f>
        <v>502200</v>
      </c>
      <c r="F144" s="2228">
        <f>F145</f>
        <v>519656.52999999997</v>
      </c>
      <c r="G144" s="2229">
        <f>F144/E144</f>
        <v>1.0347601154918358</v>
      </c>
    </row>
    <row r="145" spans="1:7" ht="18.75" customHeight="1">
      <c r="A145" s="2139"/>
      <c r="B145" s="312">
        <v>85305</v>
      </c>
      <c r="C145" s="2200" t="s">
        <v>665</v>
      </c>
      <c r="D145" s="2141">
        <f>SUM(D146:D148)</f>
        <v>502200</v>
      </c>
      <c r="E145" s="2141">
        <f>SUM(E146:E148)</f>
        <v>502200</v>
      </c>
      <c r="F145" s="2142">
        <f>SUM(F146:F149)</f>
        <v>519656.52999999997</v>
      </c>
      <c r="G145" s="2143">
        <f>F145/E145</f>
        <v>1.0347601154918358</v>
      </c>
    </row>
    <row r="146" spans="1:7" s="364" customFormat="1" ht="19.5" customHeight="1">
      <c r="A146" s="2066"/>
      <c r="B146" s="2067"/>
      <c r="C146" s="92" t="s">
        <v>970</v>
      </c>
      <c r="D146" s="2286">
        <v>500000</v>
      </c>
      <c r="E146" s="2286">
        <v>500000</v>
      </c>
      <c r="F146" s="2180">
        <v>517074.43</v>
      </c>
      <c r="G146" s="2181">
        <f>F146/E146</f>
        <v>1.03414886</v>
      </c>
    </row>
    <row r="147" spans="1:7" s="364" customFormat="1" ht="26.25" customHeight="1">
      <c r="A147" s="2066"/>
      <c r="B147" s="2067"/>
      <c r="C147" s="2168" t="s">
        <v>922</v>
      </c>
      <c r="D147" s="2169">
        <v>700</v>
      </c>
      <c r="E147" s="2169">
        <v>700</v>
      </c>
      <c r="F147" s="2170">
        <v>804.55</v>
      </c>
      <c r="G147" s="2171">
        <f>F147/E147</f>
        <v>1.1493571428571427</v>
      </c>
    </row>
    <row r="148" spans="1:7" ht="19.5" customHeight="1">
      <c r="A148" s="2066"/>
      <c r="B148" s="2067"/>
      <c r="C148" s="2167" t="s">
        <v>915</v>
      </c>
      <c r="D148" s="2293">
        <v>1500</v>
      </c>
      <c r="E148" s="2293">
        <v>1500</v>
      </c>
      <c r="F148" s="2149">
        <v>1588.63</v>
      </c>
      <c r="G148" s="2150">
        <f>F148/E148</f>
        <v>1.0590866666666667</v>
      </c>
    </row>
    <row r="149" spans="1:7" ht="19.5" customHeight="1">
      <c r="A149" s="2078"/>
      <c r="B149" s="2079"/>
      <c r="C149" s="2273" t="s">
        <v>916</v>
      </c>
      <c r="D149" s="2290"/>
      <c r="E149" s="2290"/>
      <c r="F149" s="2233">
        <v>188.92</v>
      </c>
      <c r="G149" s="2234"/>
    </row>
    <row r="150" spans="1:7" ht="20.25" customHeight="1" thickBot="1">
      <c r="A150" s="2183">
        <v>854</v>
      </c>
      <c r="B150" s="2275"/>
      <c r="C150" s="2341" t="s">
        <v>27</v>
      </c>
      <c r="D150" s="2342">
        <f>D151+D154</f>
        <v>1700</v>
      </c>
      <c r="E150" s="2342">
        <f>E151+E154</f>
        <v>1700</v>
      </c>
      <c r="F150" s="2343">
        <f>F151+F154</f>
        <v>2888.3599999999997</v>
      </c>
      <c r="G150" s="2344">
        <f>F150/E150</f>
        <v>1.699035294117647</v>
      </c>
    </row>
    <row r="151" spans="1:7" ht="20.25" customHeight="1">
      <c r="A151" s="2279"/>
      <c r="B151" s="2128">
        <v>85401</v>
      </c>
      <c r="C151" s="2345" t="s">
        <v>675</v>
      </c>
      <c r="D151" s="2346">
        <f>SUM(D152:D153)</f>
        <v>1200</v>
      </c>
      <c r="E151" s="2346">
        <f>SUM(E152:E153)</f>
        <v>1200</v>
      </c>
      <c r="F151" s="2131">
        <f>SUM(F152:F153)</f>
        <v>2021.1399999999999</v>
      </c>
      <c r="G151" s="2132">
        <f>F151/E151</f>
        <v>1.6842833333333331</v>
      </c>
    </row>
    <row r="152" spans="1:7" ht="26.25" customHeight="1">
      <c r="A152" s="2066"/>
      <c r="B152" s="2067"/>
      <c r="C152" s="2289" t="s">
        <v>922</v>
      </c>
      <c r="D152" s="2148">
        <v>1200</v>
      </c>
      <c r="E152" s="2148">
        <v>1200</v>
      </c>
      <c r="F152" s="2149">
        <v>1174.5</v>
      </c>
      <c r="G152" s="2150">
        <f>F152/E152</f>
        <v>0.97875</v>
      </c>
    </row>
    <row r="153" spans="1:7" ht="18.75" customHeight="1">
      <c r="A153" s="2066"/>
      <c r="B153" s="2079"/>
      <c r="C153" s="2231" t="s">
        <v>916</v>
      </c>
      <c r="D153" s="2290"/>
      <c r="E153" s="2290"/>
      <c r="F153" s="2233">
        <v>846.64</v>
      </c>
      <c r="G153" s="2234"/>
    </row>
    <row r="154" spans="1:7" ht="19.5" customHeight="1">
      <c r="A154" s="2066"/>
      <c r="B154" s="312">
        <v>85495</v>
      </c>
      <c r="C154" s="2284" t="s">
        <v>13</v>
      </c>
      <c r="D154" s="2141">
        <f>SUM(D155:D155)</f>
        <v>500</v>
      </c>
      <c r="E154" s="2141">
        <f>SUM(E155:E155)</f>
        <v>500</v>
      </c>
      <c r="F154" s="2142">
        <f>SUM(F155:F156)</f>
        <v>867.22</v>
      </c>
      <c r="G154" s="2143">
        <f>F154/E154</f>
        <v>1.73444</v>
      </c>
    </row>
    <row r="155" spans="1:7" s="364" customFormat="1" ht="26.25" customHeight="1">
      <c r="A155" s="2066"/>
      <c r="B155" s="2067"/>
      <c r="C155" s="2296" t="s">
        <v>922</v>
      </c>
      <c r="D155" s="2297">
        <v>500</v>
      </c>
      <c r="E155" s="2297">
        <v>500</v>
      </c>
      <c r="F155" s="2180">
        <v>507.67</v>
      </c>
      <c r="G155" s="2181">
        <f>F155/E155</f>
        <v>1.0153400000000001</v>
      </c>
    </row>
    <row r="156" spans="1:7" s="364" customFormat="1" ht="19.5" customHeight="1">
      <c r="A156" s="2078"/>
      <c r="B156" s="2079"/>
      <c r="C156" s="2231" t="s">
        <v>916</v>
      </c>
      <c r="D156" s="2290"/>
      <c r="E156" s="2290"/>
      <c r="F156" s="2233">
        <v>359.55</v>
      </c>
      <c r="G156" s="2234"/>
    </row>
    <row r="157" spans="1:7" ht="18.75" customHeight="1" thickBot="1">
      <c r="A157" s="2224">
        <v>900</v>
      </c>
      <c r="B157" s="2225"/>
      <c r="C157" s="2103" t="s">
        <v>1287</v>
      </c>
      <c r="D157" s="2347">
        <f>D158+D161+D163+D165</f>
        <v>9060000</v>
      </c>
      <c r="E157" s="2347">
        <f>E158+E161+E163+E165</f>
        <v>9060000</v>
      </c>
      <c r="F157" s="2348">
        <f>F158+F161+F163+F165</f>
        <v>8993025.82</v>
      </c>
      <c r="G157" s="2349">
        <f aca="true" t="shared" si="6" ref="G157:G170">F157/E157</f>
        <v>0.992607706401766</v>
      </c>
    </row>
    <row r="158" spans="1:7" ht="18.75" customHeight="1">
      <c r="A158" s="2139"/>
      <c r="B158" s="312">
        <v>90002</v>
      </c>
      <c r="C158" s="2200" t="s">
        <v>699</v>
      </c>
      <c r="D158" s="2201">
        <f>SUM(D159:D160)</f>
        <v>7505000</v>
      </c>
      <c r="E158" s="2201">
        <f>SUM(E159:E160)</f>
        <v>7505000</v>
      </c>
      <c r="F158" s="2202">
        <f>SUM(F159:F160)</f>
        <v>8592475.63</v>
      </c>
      <c r="G158" s="2203">
        <f t="shared" si="6"/>
        <v>1.1449001505662892</v>
      </c>
    </row>
    <row r="159" spans="1:7" s="364" customFormat="1" ht="18.75" customHeight="1">
      <c r="A159" s="2066"/>
      <c r="B159" s="2295"/>
      <c r="C159" s="273" t="s">
        <v>971</v>
      </c>
      <c r="D159" s="2265">
        <v>7500000</v>
      </c>
      <c r="E159" s="2265">
        <v>7500000</v>
      </c>
      <c r="F159" s="2249">
        <v>8587987.08</v>
      </c>
      <c r="G159" s="2250">
        <f t="shared" si="6"/>
        <v>1.145064944</v>
      </c>
    </row>
    <row r="160" spans="1:7" s="364" customFormat="1" ht="18.75" customHeight="1">
      <c r="A160" s="2066"/>
      <c r="B160" s="2079"/>
      <c r="C160" s="325" t="s">
        <v>915</v>
      </c>
      <c r="D160" s="2274">
        <v>5000</v>
      </c>
      <c r="E160" s="2274">
        <v>5000</v>
      </c>
      <c r="F160" s="2242">
        <v>4488.55</v>
      </c>
      <c r="G160" s="2243">
        <f t="shared" si="6"/>
        <v>0.89771</v>
      </c>
    </row>
    <row r="161" spans="1:7" ht="18.75" customHeight="1">
      <c r="A161" s="2066"/>
      <c r="B161" s="312">
        <v>90013</v>
      </c>
      <c r="C161" s="2200" t="s">
        <v>713</v>
      </c>
      <c r="D161" s="2141">
        <f>D162</f>
        <v>12000</v>
      </c>
      <c r="E161" s="2141">
        <f>E162</f>
        <v>12000</v>
      </c>
      <c r="F161" s="2142">
        <f>F162</f>
        <v>11912.9</v>
      </c>
      <c r="G161" s="2143">
        <f t="shared" si="6"/>
        <v>0.9927416666666666</v>
      </c>
    </row>
    <row r="162" spans="1:7" s="2350" customFormat="1" ht="18.75" customHeight="1">
      <c r="A162" s="2066"/>
      <c r="B162" s="2295"/>
      <c r="C162" s="273" t="s">
        <v>972</v>
      </c>
      <c r="D162" s="2265">
        <v>12000</v>
      </c>
      <c r="E162" s="2265">
        <v>12000</v>
      </c>
      <c r="F162" s="2249">
        <v>11912.9</v>
      </c>
      <c r="G162" s="2250">
        <f t="shared" si="6"/>
        <v>0.9927416666666666</v>
      </c>
    </row>
    <row r="163" spans="1:7" s="2320" customFormat="1" ht="18.75" customHeight="1">
      <c r="A163" s="2139"/>
      <c r="B163" s="462">
        <v>90020</v>
      </c>
      <c r="C163" s="2140" t="s">
        <v>973</v>
      </c>
      <c r="D163" s="2245">
        <f>D164</f>
        <v>80000</v>
      </c>
      <c r="E163" s="2245">
        <f>E164</f>
        <v>80000</v>
      </c>
      <c r="F163" s="2246">
        <f>F164</f>
        <v>13555.26</v>
      </c>
      <c r="G163" s="2247">
        <f t="shared" si="6"/>
        <v>0.16944075</v>
      </c>
    </row>
    <row r="164" spans="1:7" s="364" customFormat="1" ht="18.75" customHeight="1">
      <c r="A164" s="2066"/>
      <c r="B164" s="2079"/>
      <c r="C164" s="325" t="s">
        <v>974</v>
      </c>
      <c r="D164" s="2241">
        <v>80000</v>
      </c>
      <c r="E164" s="2241">
        <v>80000</v>
      </c>
      <c r="F164" s="2242">
        <v>13555.26</v>
      </c>
      <c r="G164" s="2243">
        <f t="shared" si="6"/>
        <v>0.16944075</v>
      </c>
    </row>
    <row r="165" spans="1:7" ht="18.75" customHeight="1">
      <c r="A165" s="2139"/>
      <c r="B165" s="312">
        <v>90095</v>
      </c>
      <c r="C165" s="2284" t="s">
        <v>13</v>
      </c>
      <c r="D165" s="2141">
        <f>SUM(D166:D170)</f>
        <v>1463000</v>
      </c>
      <c r="E165" s="2141">
        <f>SUM(E166:E170)</f>
        <v>1463000</v>
      </c>
      <c r="F165" s="2142">
        <f>SUM(F166:F170)</f>
        <v>375082.03</v>
      </c>
      <c r="G165" s="2143">
        <f t="shared" si="6"/>
        <v>0.2563786944634313</v>
      </c>
    </row>
    <row r="166" spans="1:7" s="364" customFormat="1" ht="18.75" customHeight="1">
      <c r="A166" s="2066"/>
      <c r="B166" s="2067"/>
      <c r="C166" s="2351" t="s">
        <v>975</v>
      </c>
      <c r="D166" s="2352">
        <v>72000</v>
      </c>
      <c r="E166" s="2352">
        <v>72000</v>
      </c>
      <c r="F166" s="2287">
        <v>102796.75</v>
      </c>
      <c r="G166" s="2288">
        <f t="shared" si="6"/>
        <v>1.427732638888889</v>
      </c>
    </row>
    <row r="167" spans="1:7" s="364" customFormat="1" ht="18.75" customHeight="1">
      <c r="A167" s="2066"/>
      <c r="B167" s="2067"/>
      <c r="C167" s="2289" t="s">
        <v>976</v>
      </c>
      <c r="D167" s="2148">
        <v>865000</v>
      </c>
      <c r="E167" s="2148">
        <v>865000</v>
      </c>
      <c r="F167" s="2149">
        <v>32440.87</v>
      </c>
      <c r="G167" s="2150">
        <f t="shared" si="6"/>
        <v>0.03750389595375722</v>
      </c>
    </row>
    <row r="168" spans="1:7" s="364" customFormat="1" ht="18.75" customHeight="1">
      <c r="A168" s="2066"/>
      <c r="B168" s="2067"/>
      <c r="C168" s="302" t="s">
        <v>915</v>
      </c>
      <c r="D168" s="2148">
        <v>5000</v>
      </c>
      <c r="E168" s="2148">
        <v>5000</v>
      </c>
      <c r="F168" s="2149">
        <v>2827.52</v>
      </c>
      <c r="G168" s="2150">
        <f t="shared" si="6"/>
        <v>0.565504</v>
      </c>
    </row>
    <row r="169" spans="1:7" s="2320" customFormat="1" ht="18.75" customHeight="1">
      <c r="A169" s="2066"/>
      <c r="B169" s="2067"/>
      <c r="C169" s="302" t="s">
        <v>977</v>
      </c>
      <c r="D169" s="2160">
        <v>500000</v>
      </c>
      <c r="E169" s="2160">
        <v>500000</v>
      </c>
      <c r="F169" s="2161">
        <v>215971.89</v>
      </c>
      <c r="G169" s="2162">
        <f t="shared" si="6"/>
        <v>0.43194378000000005</v>
      </c>
    </row>
    <row r="170" spans="1:7" s="2320" customFormat="1" ht="18.75" customHeight="1">
      <c r="A170" s="2066"/>
      <c r="B170" s="2067"/>
      <c r="C170" s="313" t="s">
        <v>978</v>
      </c>
      <c r="D170" s="2353">
        <v>21000</v>
      </c>
      <c r="E170" s="2353">
        <v>21000</v>
      </c>
      <c r="F170" s="2354">
        <v>21045</v>
      </c>
      <c r="G170" s="2355">
        <f t="shared" si="6"/>
        <v>1.0021428571428572</v>
      </c>
    </row>
    <row r="171" spans="1:7" s="2320" customFormat="1" ht="18.75" customHeight="1">
      <c r="A171" s="2300"/>
      <c r="B171" s="2301"/>
      <c r="C171" s="2335"/>
      <c r="D171" s="2356"/>
      <c r="E171" s="2356"/>
      <c r="F171" s="2357"/>
      <c r="G171" s="2358"/>
    </row>
    <row r="172" spans="1:7" s="2320" customFormat="1" ht="18.75" customHeight="1">
      <c r="A172" s="2336"/>
      <c r="B172" s="2151"/>
      <c r="C172" s="2337"/>
      <c r="D172" s="2359"/>
      <c r="E172" s="2359"/>
      <c r="F172" s="2360"/>
      <c r="G172" s="2361"/>
    </row>
    <row r="173" spans="1:7" s="2368" customFormat="1" ht="21.75" customHeight="1" thickBot="1">
      <c r="A173" s="2362"/>
      <c r="B173" s="2363"/>
      <c r="C173" s="2364" t="s">
        <v>979</v>
      </c>
      <c r="D173" s="2365">
        <f>D174+D177</f>
        <v>108202678</v>
      </c>
      <c r="E173" s="2365">
        <f>E174+E177</f>
        <v>109461709</v>
      </c>
      <c r="F173" s="2366">
        <f>F174+F177</f>
        <v>109642606</v>
      </c>
      <c r="G173" s="2367">
        <f aca="true" t="shared" si="7" ref="G173:G183">F173/E173</f>
        <v>1.0016526052959762</v>
      </c>
    </row>
    <row r="174" spans="1:7" s="2221" customFormat="1" ht="27" customHeight="1" thickBot="1" thickTop="1">
      <c r="A174" s="2139">
        <v>756</v>
      </c>
      <c r="B174" s="2275"/>
      <c r="C174" s="2341" t="s">
        <v>926</v>
      </c>
      <c r="D174" s="2369">
        <f aca="true" t="shared" si="8" ref="D174:F175">D175</f>
        <v>1000000</v>
      </c>
      <c r="E174" s="2369">
        <f t="shared" si="8"/>
        <v>1000000</v>
      </c>
      <c r="F174" s="2370">
        <f t="shared" si="8"/>
        <v>1180897</v>
      </c>
      <c r="G174" s="2371">
        <f t="shared" si="7"/>
        <v>1.180897</v>
      </c>
    </row>
    <row r="175" spans="1:7" s="2221" customFormat="1" ht="27" customHeight="1">
      <c r="A175" s="2279"/>
      <c r="B175" s="2128">
        <v>75615</v>
      </c>
      <c r="C175" s="2345" t="s">
        <v>980</v>
      </c>
      <c r="D175" s="2372">
        <f t="shared" si="8"/>
        <v>1000000</v>
      </c>
      <c r="E175" s="2372">
        <f t="shared" si="8"/>
        <v>1000000</v>
      </c>
      <c r="F175" s="2237">
        <f t="shared" si="8"/>
        <v>1180897</v>
      </c>
      <c r="G175" s="2238">
        <f t="shared" si="7"/>
        <v>1.180897</v>
      </c>
    </row>
    <row r="176" spans="1:7" ht="19.5" customHeight="1">
      <c r="A176" s="2078"/>
      <c r="B176" s="2079"/>
      <c r="C176" s="120" t="s">
        <v>981</v>
      </c>
      <c r="D176" s="2136">
        <v>1000000</v>
      </c>
      <c r="E176" s="2136">
        <v>1000000</v>
      </c>
      <c r="F176" s="2137">
        <v>1180897</v>
      </c>
      <c r="G176" s="2138">
        <f t="shared" si="7"/>
        <v>1.180897</v>
      </c>
    </row>
    <row r="177" spans="1:7" ht="19.5" customHeight="1" thickBot="1">
      <c r="A177" s="2224">
        <v>758</v>
      </c>
      <c r="B177" s="2225"/>
      <c r="C177" s="203" t="s">
        <v>225</v>
      </c>
      <c r="D177" s="2227">
        <f>D178+D180</f>
        <v>107202678</v>
      </c>
      <c r="E177" s="2227">
        <f>E178+E180</f>
        <v>108461709</v>
      </c>
      <c r="F177" s="2228">
        <f>F178+F180</f>
        <v>108461709</v>
      </c>
      <c r="G177" s="2229">
        <f t="shared" si="7"/>
        <v>1</v>
      </c>
    </row>
    <row r="178" spans="1:7" ht="19.5" customHeight="1">
      <c r="A178" s="2139"/>
      <c r="B178" s="312">
        <v>75801</v>
      </c>
      <c r="C178" s="208" t="s">
        <v>982</v>
      </c>
      <c r="D178" s="2176">
        <f>D179</f>
        <v>102636725</v>
      </c>
      <c r="E178" s="2176">
        <f>E179</f>
        <v>103895756</v>
      </c>
      <c r="F178" s="2142">
        <f>F179</f>
        <v>103895756</v>
      </c>
      <c r="G178" s="2143">
        <f t="shared" si="7"/>
        <v>1</v>
      </c>
    </row>
    <row r="179" spans="1:7" s="364" customFormat="1" ht="19.5" customHeight="1">
      <c r="A179" s="2066"/>
      <c r="B179" s="2323"/>
      <c r="C179" s="120" t="s">
        <v>983</v>
      </c>
      <c r="D179" s="2136">
        <v>102636725</v>
      </c>
      <c r="E179" s="2136">
        <v>103895756</v>
      </c>
      <c r="F179" s="2137">
        <v>103895756</v>
      </c>
      <c r="G179" s="2138">
        <f t="shared" si="7"/>
        <v>1</v>
      </c>
    </row>
    <row r="180" spans="1:7" ht="19.5" customHeight="1">
      <c r="A180" s="2139"/>
      <c r="B180" s="312">
        <v>75831</v>
      </c>
      <c r="C180" s="208" t="s">
        <v>984</v>
      </c>
      <c r="D180" s="2176">
        <f>D181</f>
        <v>4565953</v>
      </c>
      <c r="E180" s="2176">
        <f>E181</f>
        <v>4565953</v>
      </c>
      <c r="F180" s="2142">
        <f>F181</f>
        <v>4565953</v>
      </c>
      <c r="G180" s="2143">
        <f t="shared" si="7"/>
        <v>1</v>
      </c>
    </row>
    <row r="181" spans="1:7" s="364" customFormat="1" ht="19.5" customHeight="1">
      <c r="A181" s="2066"/>
      <c r="B181" s="2295"/>
      <c r="C181" s="120" t="s">
        <v>985</v>
      </c>
      <c r="D181" s="2136">
        <v>4565953</v>
      </c>
      <c r="E181" s="2136">
        <v>4565953</v>
      </c>
      <c r="F181" s="2137">
        <v>4565953</v>
      </c>
      <c r="G181" s="2138">
        <f t="shared" si="7"/>
        <v>1</v>
      </c>
    </row>
    <row r="182" spans="1:7" ht="26.25" customHeight="1" thickBot="1">
      <c r="A182" s="2078"/>
      <c r="B182" s="2079"/>
      <c r="C182" s="422" t="s">
        <v>986</v>
      </c>
      <c r="D182" s="2373">
        <f>D183+D188+D191+D195+D201+D214+D229+D233+D236+D244</f>
        <v>13632460</v>
      </c>
      <c r="E182" s="2373">
        <f>E183+E188+E191+E195+E201+E214+E229+E233+E236+E244</f>
        <v>32422111</v>
      </c>
      <c r="F182" s="2374">
        <f>F183+F188+F191+F195+F201+F214+F229+F233+F236+F244</f>
        <v>23163994.360000003</v>
      </c>
      <c r="G182" s="2375">
        <f t="shared" si="7"/>
        <v>0.7144505291466062</v>
      </c>
    </row>
    <row r="183" spans="1:7" ht="19.5" customHeight="1" thickBot="1" thickTop="1">
      <c r="A183" s="2139">
        <v>600</v>
      </c>
      <c r="B183" s="2275"/>
      <c r="C183" s="2376" t="s">
        <v>147</v>
      </c>
      <c r="D183" s="2369">
        <f>D186</f>
        <v>3500860</v>
      </c>
      <c r="E183" s="2369">
        <f>E184+E186</f>
        <v>3745655</v>
      </c>
      <c r="F183" s="2370">
        <f>F186</f>
        <v>3496794.55</v>
      </c>
      <c r="G183" s="2371">
        <f t="shared" si="7"/>
        <v>0.9335602317885656</v>
      </c>
    </row>
    <row r="184" spans="1:7" s="2133" customFormat="1" ht="19.5" customHeight="1">
      <c r="A184" s="2188"/>
      <c r="B184" s="2189">
        <v>60004</v>
      </c>
      <c r="C184" s="2377" t="s">
        <v>148</v>
      </c>
      <c r="D184" s="2378"/>
      <c r="E184" s="2378">
        <f>E185</f>
        <v>244795</v>
      </c>
      <c r="F184" s="2192"/>
      <c r="G184" s="2193"/>
    </row>
    <row r="185" spans="1:7" s="2384" customFormat="1" ht="27.75" customHeight="1">
      <c r="A185" s="2379"/>
      <c r="B185" s="2380"/>
      <c r="C185" s="120" t="s">
        <v>987</v>
      </c>
      <c r="D185" s="2136"/>
      <c r="E185" s="2381">
        <v>244795</v>
      </c>
      <c r="F185" s="2382"/>
      <c r="G185" s="2383"/>
    </row>
    <row r="186" spans="1:7" s="2133" customFormat="1" ht="19.5" customHeight="1">
      <c r="A186" s="2385"/>
      <c r="B186" s="2386">
        <v>60016</v>
      </c>
      <c r="C186" s="2387" t="s">
        <v>156</v>
      </c>
      <c r="D186" s="2388">
        <f>D187</f>
        <v>3500860</v>
      </c>
      <c r="E186" s="2388">
        <f>E187</f>
        <v>3500860</v>
      </c>
      <c r="F186" s="2389">
        <f>F187</f>
        <v>3496794.55</v>
      </c>
      <c r="G186" s="2390">
        <f>F186/E186</f>
        <v>0.9988387281982141</v>
      </c>
    </row>
    <row r="187" spans="1:7" s="2384" customFormat="1" ht="27.75" customHeight="1">
      <c r="A187" s="2391"/>
      <c r="B187" s="2380"/>
      <c r="C187" s="120" t="s">
        <v>988</v>
      </c>
      <c r="D187" s="2136">
        <v>3500860</v>
      </c>
      <c r="E187" s="2381">
        <v>3500860</v>
      </c>
      <c r="F187" s="2137">
        <f>1978576.34+1518218.21</f>
        <v>3496794.55</v>
      </c>
      <c r="G187" s="2383">
        <f>F187/E187</f>
        <v>0.9988387281982141</v>
      </c>
    </row>
    <row r="188" spans="1:7" ht="19.5" customHeight="1" thickBot="1">
      <c r="A188" s="2224">
        <v>630</v>
      </c>
      <c r="B188" s="2225"/>
      <c r="C188" s="203" t="s">
        <v>25</v>
      </c>
      <c r="D188" s="2392"/>
      <c r="E188" s="2392">
        <f>E189</f>
        <v>123682</v>
      </c>
      <c r="F188" s="2348">
        <f>F189</f>
        <v>45772.55</v>
      </c>
      <c r="G188" s="2349">
        <f>F188/E188</f>
        <v>0.3700825504115393</v>
      </c>
    </row>
    <row r="189" spans="1:7" s="2133" customFormat="1" ht="19.5" customHeight="1">
      <c r="A189" s="2385"/>
      <c r="B189" s="2386">
        <v>63003</v>
      </c>
      <c r="C189" s="2387" t="s">
        <v>26</v>
      </c>
      <c r="D189" s="2388"/>
      <c r="E189" s="2388">
        <f>SUM(E190:E190)</f>
        <v>123682</v>
      </c>
      <c r="F189" s="2389">
        <f>F190</f>
        <v>45772.55</v>
      </c>
      <c r="G189" s="2390">
        <f>F189/E189</f>
        <v>0.3700825504115393</v>
      </c>
    </row>
    <row r="190" spans="1:7" ht="26.25" customHeight="1">
      <c r="A190" s="2066"/>
      <c r="B190" s="2067"/>
      <c r="C190" s="120" t="s">
        <v>989</v>
      </c>
      <c r="D190" s="2136"/>
      <c r="E190" s="2136">
        <v>123682</v>
      </c>
      <c r="F190" s="2137">
        <v>45772.55</v>
      </c>
      <c r="G190" s="2138">
        <f>F190/E190</f>
        <v>0.3700825504115393</v>
      </c>
    </row>
    <row r="191" spans="1:7" s="2221" customFormat="1" ht="19.5" customHeight="1" thickBot="1">
      <c r="A191" s="2393">
        <v>750</v>
      </c>
      <c r="B191" s="2394"/>
      <c r="C191" s="2395" t="s">
        <v>184</v>
      </c>
      <c r="D191" s="2396"/>
      <c r="E191" s="2396">
        <f>E192</f>
        <v>552393</v>
      </c>
      <c r="F191" s="2397"/>
      <c r="G191" s="2398"/>
    </row>
    <row r="192" spans="1:7" s="2221" customFormat="1" ht="19.5" customHeight="1">
      <c r="A192" s="2279"/>
      <c r="B192" s="2128">
        <v>75023</v>
      </c>
      <c r="C192" s="2399" t="s">
        <v>189</v>
      </c>
      <c r="D192" s="2372"/>
      <c r="E192" s="2372">
        <f>SUM(E193:E194)</f>
        <v>552393</v>
      </c>
      <c r="F192" s="2237"/>
      <c r="G192" s="2238"/>
    </row>
    <row r="193" spans="1:7" ht="26.25" customHeight="1">
      <c r="A193" s="2066"/>
      <c r="B193" s="2067"/>
      <c r="C193" s="340" t="s">
        <v>990</v>
      </c>
      <c r="D193" s="2315"/>
      <c r="E193" s="2315">
        <v>188908</v>
      </c>
      <c r="F193" s="2210"/>
      <c r="G193" s="2211"/>
    </row>
    <row r="194" spans="1:7" ht="27" customHeight="1">
      <c r="A194" s="2078"/>
      <c r="B194" s="2079"/>
      <c r="C194" s="317" t="s">
        <v>991</v>
      </c>
      <c r="D194" s="2164"/>
      <c r="E194" s="2164">
        <v>363485</v>
      </c>
      <c r="F194" s="2165"/>
      <c r="G194" s="2166"/>
    </row>
    <row r="195" spans="1:7" ht="18.75" customHeight="1" thickBot="1">
      <c r="A195" s="2224">
        <v>758</v>
      </c>
      <c r="B195" s="2225"/>
      <c r="C195" s="203" t="s">
        <v>225</v>
      </c>
      <c r="D195" s="2227">
        <f>D196</f>
        <v>83000</v>
      </c>
      <c r="E195" s="2227">
        <f>E196</f>
        <v>203724</v>
      </c>
      <c r="F195" s="2228">
        <f>F196</f>
        <v>29855.550000000003</v>
      </c>
      <c r="G195" s="2229">
        <f>F195/E195</f>
        <v>0.1465490074807092</v>
      </c>
    </row>
    <row r="196" spans="1:7" s="2221" customFormat="1" ht="19.5" customHeight="1">
      <c r="A196" s="2400"/>
      <c r="B196" s="2401">
        <v>75860</v>
      </c>
      <c r="C196" s="2402" t="s">
        <v>233</v>
      </c>
      <c r="D196" s="2176">
        <f>SUM(D197:D198)</f>
        <v>83000</v>
      </c>
      <c r="E196" s="2176">
        <f>SUM(E197:E200)</f>
        <v>203724</v>
      </c>
      <c r="F196" s="2142">
        <f>SUM(F197:F200)</f>
        <v>29855.550000000003</v>
      </c>
      <c r="G196" s="2143">
        <f>F196/E196</f>
        <v>0.1465490074807092</v>
      </c>
    </row>
    <row r="197" spans="1:7" s="2406" customFormat="1" ht="29.25" customHeight="1">
      <c r="A197" s="2403"/>
      <c r="B197" s="2404"/>
      <c r="C197" s="2405" t="s">
        <v>992</v>
      </c>
      <c r="D197" s="2179">
        <v>43000</v>
      </c>
      <c r="E197" s="2179">
        <v>43000</v>
      </c>
      <c r="F197" s="2180">
        <f>20299.87+19.54</f>
        <v>20319.41</v>
      </c>
      <c r="G197" s="2181">
        <f>F197/E197</f>
        <v>0.4725444186046512</v>
      </c>
    </row>
    <row r="198" spans="1:7" ht="27.75" customHeight="1">
      <c r="A198" s="2078"/>
      <c r="B198" s="2079"/>
      <c r="C198" s="317" t="s">
        <v>993</v>
      </c>
      <c r="D198" s="2164">
        <v>40000</v>
      </c>
      <c r="E198" s="2164">
        <v>40000</v>
      </c>
      <c r="F198" s="2165">
        <f>9528.85+7.29</f>
        <v>9536.140000000001</v>
      </c>
      <c r="G198" s="2166">
        <f>F198/E198</f>
        <v>0.23840350000000002</v>
      </c>
    </row>
    <row r="199" spans="1:7" ht="27" customHeight="1">
      <c r="A199" s="2066"/>
      <c r="B199" s="2067"/>
      <c r="C199" s="340" t="s">
        <v>994</v>
      </c>
      <c r="D199" s="2315"/>
      <c r="E199" s="2315">
        <v>30536</v>
      </c>
      <c r="F199" s="2210"/>
      <c r="G199" s="2211"/>
    </row>
    <row r="200" spans="1:7" ht="27" customHeight="1">
      <c r="A200" s="2078"/>
      <c r="B200" s="2079"/>
      <c r="C200" s="317" t="s">
        <v>995</v>
      </c>
      <c r="D200" s="2407"/>
      <c r="E200" s="2164">
        <v>90188</v>
      </c>
      <c r="F200" s="2165"/>
      <c r="G200" s="2408"/>
    </row>
    <row r="201" spans="1:7" ht="18.75" customHeight="1" thickBot="1">
      <c r="A201" s="2139">
        <v>801</v>
      </c>
      <c r="B201" s="2275"/>
      <c r="C201" s="2376" t="s">
        <v>42</v>
      </c>
      <c r="D201" s="2409">
        <f>D202+D209+D211</f>
        <v>1114600</v>
      </c>
      <c r="E201" s="2409">
        <f>E202+E209+E211</f>
        <v>833575</v>
      </c>
      <c r="F201" s="2343">
        <f>F202+F209+F211</f>
        <v>734694.8899999999</v>
      </c>
      <c r="G201" s="2344">
        <f aca="true" t="shared" si="9" ref="G201:G207">F201/E201</f>
        <v>0.8813782683021922</v>
      </c>
    </row>
    <row r="202" spans="1:7" s="2221" customFormat="1" ht="18.75" customHeight="1">
      <c r="A202" s="2410"/>
      <c r="B202" s="2411">
        <v>80101</v>
      </c>
      <c r="C202" s="2412" t="s">
        <v>43</v>
      </c>
      <c r="D202" s="2346">
        <f>SUM(D203:D208)</f>
        <v>1109800</v>
      </c>
      <c r="E202" s="2346">
        <f>SUM(E203:E208)</f>
        <v>756363</v>
      </c>
      <c r="F202" s="2413">
        <f>SUM(F203:F208)</f>
        <v>657440.4199999999</v>
      </c>
      <c r="G202" s="2132">
        <f t="shared" si="9"/>
        <v>0.8692128250588671</v>
      </c>
    </row>
    <row r="203" spans="1:7" ht="26.25" customHeight="1">
      <c r="A203" s="2066"/>
      <c r="B203" s="2067"/>
      <c r="C203" s="302" t="s">
        <v>996</v>
      </c>
      <c r="D203" s="2160">
        <v>9800</v>
      </c>
      <c r="E203" s="2160">
        <v>28660</v>
      </c>
      <c r="F203" s="2161">
        <f>27263.9+339.01</f>
        <v>27602.91</v>
      </c>
      <c r="G203" s="2162">
        <f t="shared" si="9"/>
        <v>0.9631161898115841</v>
      </c>
    </row>
    <row r="204" spans="1:7" ht="26.25" customHeight="1">
      <c r="A204" s="2066"/>
      <c r="B204" s="2067"/>
      <c r="C204" s="326" t="s">
        <v>997</v>
      </c>
      <c r="D204" s="2258">
        <v>300000</v>
      </c>
      <c r="E204" s="2258">
        <v>300000</v>
      </c>
      <c r="F204" s="2259">
        <v>300000</v>
      </c>
      <c r="G204" s="2211">
        <f t="shared" si="9"/>
        <v>1</v>
      </c>
    </row>
    <row r="205" spans="1:7" ht="26.25" customHeight="1">
      <c r="A205" s="2066"/>
      <c r="B205" s="2067"/>
      <c r="C205" s="302" t="s">
        <v>998</v>
      </c>
      <c r="D205" s="2160">
        <v>200000</v>
      </c>
      <c r="E205" s="2160">
        <v>200000</v>
      </c>
      <c r="F205" s="2161">
        <v>200000</v>
      </c>
      <c r="G205" s="2162">
        <f t="shared" si="9"/>
        <v>1</v>
      </c>
    </row>
    <row r="206" spans="1:7" ht="20.25" customHeight="1">
      <c r="A206" s="2414"/>
      <c r="B206" s="1053"/>
      <c r="C206" s="2415" t="s">
        <v>999</v>
      </c>
      <c r="D206" s="2148"/>
      <c r="E206" s="2148">
        <v>42029</v>
      </c>
      <c r="F206" s="2149">
        <v>42029</v>
      </c>
      <c r="G206" s="2150">
        <f t="shared" si="9"/>
        <v>1</v>
      </c>
    </row>
    <row r="207" spans="1:7" ht="26.25" customHeight="1">
      <c r="A207" s="2066"/>
      <c r="B207" s="2067"/>
      <c r="C207" s="302" t="s">
        <v>1000</v>
      </c>
      <c r="D207" s="2160"/>
      <c r="E207" s="2160">
        <v>185674</v>
      </c>
      <c r="F207" s="2161">
        <v>87808.51</v>
      </c>
      <c r="G207" s="2162">
        <f t="shared" si="9"/>
        <v>0.4729176405958831</v>
      </c>
    </row>
    <row r="208" spans="1:7" ht="19.5" customHeight="1">
      <c r="A208" s="2066"/>
      <c r="B208" s="2079"/>
      <c r="C208" s="325" t="s">
        <v>1001</v>
      </c>
      <c r="D208" s="2241">
        <v>600000</v>
      </c>
      <c r="E208" s="2241"/>
      <c r="F208" s="2242"/>
      <c r="G208" s="2243"/>
    </row>
    <row r="209" spans="1:7" s="2221" customFormat="1" ht="18.75" customHeight="1">
      <c r="A209" s="2400"/>
      <c r="B209" s="2401">
        <v>80110</v>
      </c>
      <c r="C209" s="2402" t="s">
        <v>46</v>
      </c>
      <c r="D209" s="2176">
        <f>D210</f>
        <v>4800</v>
      </c>
      <c r="E209" s="2176">
        <f>E210</f>
        <v>27757</v>
      </c>
      <c r="F209" s="2142">
        <f>F210</f>
        <v>27800.03</v>
      </c>
      <c r="G209" s="2143">
        <f aca="true" t="shared" si="10" ref="G209:G238">F209/E209</f>
        <v>1.0015502395792053</v>
      </c>
    </row>
    <row r="210" spans="1:7" ht="25.5" customHeight="1">
      <c r="A210" s="2066"/>
      <c r="B210" s="2067"/>
      <c r="C210" s="325" t="s">
        <v>996</v>
      </c>
      <c r="D210" s="2241">
        <v>4800</v>
      </c>
      <c r="E210" s="2241">
        <v>27757</v>
      </c>
      <c r="F210" s="2242">
        <v>27800.03</v>
      </c>
      <c r="G210" s="2243">
        <f t="shared" si="10"/>
        <v>1.0015502395792053</v>
      </c>
    </row>
    <row r="211" spans="1:7" ht="19.5" customHeight="1">
      <c r="A211" s="2139"/>
      <c r="B211" s="462">
        <v>80195</v>
      </c>
      <c r="C211" s="208" t="s">
        <v>13</v>
      </c>
      <c r="D211" s="2220"/>
      <c r="E211" s="2220">
        <f>SUM(E212:E213)</f>
        <v>49455</v>
      </c>
      <c r="F211" s="2416">
        <f>SUM(F212:F213)</f>
        <v>49454.44</v>
      </c>
      <c r="G211" s="2203">
        <f t="shared" si="10"/>
        <v>0.9999886765746638</v>
      </c>
    </row>
    <row r="212" spans="1:7" ht="28.5" customHeight="1">
      <c r="A212" s="2066"/>
      <c r="B212" s="2295"/>
      <c r="C212" s="273" t="s">
        <v>1002</v>
      </c>
      <c r="D212" s="2265"/>
      <c r="E212" s="2265">
        <v>35855</v>
      </c>
      <c r="F212" s="2249">
        <v>35854.44</v>
      </c>
      <c r="G212" s="2250">
        <f t="shared" si="10"/>
        <v>0.9999843815367453</v>
      </c>
    </row>
    <row r="213" spans="1:7" ht="30" customHeight="1">
      <c r="A213" s="2066"/>
      <c r="B213" s="2067"/>
      <c r="C213" s="2154" t="s">
        <v>1003</v>
      </c>
      <c r="D213" s="2258"/>
      <c r="E213" s="2258">
        <v>13600</v>
      </c>
      <c r="F213" s="2259">
        <v>13600</v>
      </c>
      <c r="G213" s="2260">
        <f t="shared" si="10"/>
        <v>1</v>
      </c>
    </row>
    <row r="214" spans="1:7" ht="18.75" customHeight="1" thickBot="1">
      <c r="A214" s="2183">
        <v>852</v>
      </c>
      <c r="B214" s="2184"/>
      <c r="C214" s="2122" t="s">
        <v>54</v>
      </c>
      <c r="D214" s="2124">
        <f>D215+D217+D219+D227</f>
        <v>8934000</v>
      </c>
      <c r="E214" s="2124">
        <f>E215+E217+E219+E225+E227</f>
        <v>12235800</v>
      </c>
      <c r="F214" s="2125">
        <f>F215+F217+F219+F225+F227</f>
        <v>11686378.71</v>
      </c>
      <c r="G214" s="2126">
        <f t="shared" si="10"/>
        <v>0.9550972318932968</v>
      </c>
    </row>
    <row r="215" spans="1:7" ht="18.75" customHeight="1">
      <c r="A215" s="2279"/>
      <c r="B215" s="2128">
        <v>85203</v>
      </c>
      <c r="C215" s="2399" t="s">
        <v>59</v>
      </c>
      <c r="D215" s="2372"/>
      <c r="E215" s="2372">
        <f>SUM(E216:E216)</f>
        <v>37500</v>
      </c>
      <c r="F215" s="2237">
        <f>F216</f>
        <v>27400</v>
      </c>
      <c r="G215" s="2238">
        <f t="shared" si="10"/>
        <v>0.7306666666666667</v>
      </c>
    </row>
    <row r="216" spans="1:7" s="364" customFormat="1" ht="19.5" customHeight="1">
      <c r="A216" s="2066"/>
      <c r="B216" s="2079"/>
      <c r="C216" s="317" t="s">
        <v>1004</v>
      </c>
      <c r="D216" s="2164"/>
      <c r="E216" s="2164">
        <v>37500</v>
      </c>
      <c r="F216" s="2165">
        <v>27400</v>
      </c>
      <c r="G216" s="2166">
        <f t="shared" si="10"/>
        <v>0.7306666666666667</v>
      </c>
    </row>
    <row r="217" spans="1:7" ht="19.5" customHeight="1">
      <c r="A217" s="2139"/>
      <c r="B217" s="312">
        <v>85214</v>
      </c>
      <c r="C217" s="208" t="s">
        <v>643</v>
      </c>
      <c r="D217" s="2220">
        <f>D218</f>
        <v>3643000</v>
      </c>
      <c r="E217" s="2220">
        <f>E218</f>
        <v>3643000</v>
      </c>
      <c r="F217" s="2202">
        <f>F218</f>
        <v>3437344</v>
      </c>
      <c r="G217" s="2203">
        <f t="shared" si="10"/>
        <v>0.9435476255833105</v>
      </c>
    </row>
    <row r="218" spans="1:7" s="364" customFormat="1" ht="27" customHeight="1">
      <c r="A218" s="2066"/>
      <c r="B218" s="2323"/>
      <c r="C218" s="120" t="s">
        <v>1005</v>
      </c>
      <c r="D218" s="2136">
        <v>3643000</v>
      </c>
      <c r="E218" s="2136">
        <v>3643000</v>
      </c>
      <c r="F218" s="2137">
        <v>3437344</v>
      </c>
      <c r="G218" s="2138">
        <f t="shared" si="10"/>
        <v>0.9435476255833105</v>
      </c>
    </row>
    <row r="219" spans="1:7" ht="18.75" customHeight="1">
      <c r="A219" s="2139"/>
      <c r="B219" s="462">
        <v>85219</v>
      </c>
      <c r="C219" s="53" t="s">
        <v>646</v>
      </c>
      <c r="D219" s="2417">
        <f>D220</f>
        <v>3682000</v>
      </c>
      <c r="E219" s="2417">
        <f>SUM(E220:E224)</f>
        <v>4761734</v>
      </c>
      <c r="F219" s="2246">
        <f>SUM(F220:F224)</f>
        <v>4686466.19</v>
      </c>
      <c r="G219" s="2247">
        <f t="shared" si="10"/>
        <v>0.9841931930679035</v>
      </c>
    </row>
    <row r="220" spans="1:7" s="364" customFormat="1" ht="29.25" customHeight="1">
      <c r="A220" s="2066"/>
      <c r="B220" s="2295"/>
      <c r="C220" s="273" t="s">
        <v>1006</v>
      </c>
      <c r="D220" s="2265">
        <v>3682000</v>
      </c>
      <c r="E220" s="2265">
        <v>3974426</v>
      </c>
      <c r="F220" s="2249">
        <v>3974426</v>
      </c>
      <c r="G220" s="2250">
        <f t="shared" si="10"/>
        <v>1</v>
      </c>
    </row>
    <row r="221" spans="1:7" s="364" customFormat="1" ht="27.75" customHeight="1">
      <c r="A221" s="2066"/>
      <c r="B221" s="2067"/>
      <c r="C221" s="302" t="s">
        <v>1007</v>
      </c>
      <c r="D221" s="2160"/>
      <c r="E221" s="2160">
        <v>415625</v>
      </c>
      <c r="F221" s="2161">
        <v>397302.53</v>
      </c>
      <c r="G221" s="2162">
        <f t="shared" si="10"/>
        <v>0.9559158616541354</v>
      </c>
    </row>
    <row r="222" spans="1:7" s="364" customFormat="1" ht="18" customHeight="1">
      <c r="A222" s="2066"/>
      <c r="B222" s="2067"/>
      <c r="C222" s="313" t="s">
        <v>1008</v>
      </c>
      <c r="D222" s="2353"/>
      <c r="E222" s="2353">
        <v>107438</v>
      </c>
      <c r="F222" s="2354">
        <f>57982.3+217.17</f>
        <v>58199.47</v>
      </c>
      <c r="G222" s="2355">
        <f t="shared" si="10"/>
        <v>0.541702842569668</v>
      </c>
    </row>
    <row r="223" spans="1:7" s="364" customFormat="1" ht="28.5" customHeight="1">
      <c r="A223" s="2078"/>
      <c r="B223" s="2079"/>
      <c r="C223" s="317" t="s">
        <v>1009</v>
      </c>
      <c r="D223" s="2164"/>
      <c r="E223" s="2164">
        <v>227190</v>
      </c>
      <c r="F223" s="2165">
        <f>219630.56+360.84</f>
        <v>219991.4</v>
      </c>
      <c r="G223" s="2166">
        <f t="shared" si="10"/>
        <v>0.9683146265240548</v>
      </c>
    </row>
    <row r="224" spans="1:7" s="364" customFormat="1" ht="27" customHeight="1">
      <c r="A224" s="2066"/>
      <c r="B224" s="2079"/>
      <c r="C224" s="325" t="s">
        <v>1010</v>
      </c>
      <c r="D224" s="2241"/>
      <c r="E224" s="2241">
        <v>37055</v>
      </c>
      <c r="F224" s="2242">
        <f>36314.97+231.82</f>
        <v>36546.79</v>
      </c>
      <c r="G224" s="2243">
        <f t="shared" si="10"/>
        <v>0.9862849817838348</v>
      </c>
    </row>
    <row r="225" spans="1:7" ht="18" customHeight="1">
      <c r="A225" s="2066"/>
      <c r="B225" s="462">
        <v>85232</v>
      </c>
      <c r="C225" s="53" t="s">
        <v>655</v>
      </c>
      <c r="D225" s="2220"/>
      <c r="E225" s="2220">
        <f>E226</f>
        <v>578566</v>
      </c>
      <c r="F225" s="2202">
        <f>F226</f>
        <v>320168.52</v>
      </c>
      <c r="G225" s="2203">
        <f t="shared" si="10"/>
        <v>0.5533828811233291</v>
      </c>
    </row>
    <row r="226" spans="1:7" s="364" customFormat="1" ht="15.75" customHeight="1">
      <c r="A226" s="2066"/>
      <c r="B226" s="2079"/>
      <c r="C226" s="325" t="s">
        <v>1011</v>
      </c>
      <c r="D226" s="2241"/>
      <c r="E226" s="2241">
        <v>578566</v>
      </c>
      <c r="F226" s="2242">
        <v>320168.52</v>
      </c>
      <c r="G226" s="2243">
        <f t="shared" si="10"/>
        <v>0.5533828811233291</v>
      </c>
    </row>
    <row r="227" spans="1:7" ht="16.5" customHeight="1">
      <c r="A227" s="2066"/>
      <c r="B227" s="312">
        <v>85295</v>
      </c>
      <c r="C227" s="208" t="s">
        <v>13</v>
      </c>
      <c r="D227" s="2220">
        <f>SUM(D228:D228)</f>
        <v>1609000</v>
      </c>
      <c r="E227" s="2220">
        <f>SUM(E228)</f>
        <v>3215000</v>
      </c>
      <c r="F227" s="2202">
        <f>SUM(F228)</f>
        <v>3215000</v>
      </c>
      <c r="G227" s="2203">
        <f t="shared" si="10"/>
        <v>1</v>
      </c>
    </row>
    <row r="228" spans="1:7" s="364" customFormat="1" ht="24.75" customHeight="1">
      <c r="A228" s="2078"/>
      <c r="B228" s="2079"/>
      <c r="C228" s="325" t="s">
        <v>1012</v>
      </c>
      <c r="D228" s="2241">
        <v>1609000</v>
      </c>
      <c r="E228" s="2241">
        <v>3215000</v>
      </c>
      <c r="F228" s="2242">
        <v>3215000</v>
      </c>
      <c r="G228" s="2243">
        <f t="shared" si="10"/>
        <v>1</v>
      </c>
    </row>
    <row r="229" spans="1:7" s="2133" customFormat="1" ht="16.5" customHeight="1" thickBot="1">
      <c r="A229" s="2224">
        <v>854</v>
      </c>
      <c r="B229" s="2225"/>
      <c r="C229" s="203" t="s">
        <v>27</v>
      </c>
      <c r="D229" s="2227"/>
      <c r="E229" s="2227">
        <f>E230</f>
        <v>2156680</v>
      </c>
      <c r="F229" s="2228">
        <f>F230</f>
        <v>1724539.98</v>
      </c>
      <c r="G229" s="2229">
        <f t="shared" si="10"/>
        <v>0.7996271955042009</v>
      </c>
    </row>
    <row r="230" spans="1:7" ht="17.25" customHeight="1">
      <c r="A230" s="2139"/>
      <c r="B230" s="312">
        <v>85415</v>
      </c>
      <c r="C230" s="208" t="s">
        <v>114</v>
      </c>
      <c r="D230" s="2220"/>
      <c r="E230" s="2220">
        <f>E231+E232</f>
        <v>2156680</v>
      </c>
      <c r="F230" s="2202">
        <f>SUM(F231:F232)</f>
        <v>1724539.98</v>
      </c>
      <c r="G230" s="2203">
        <f t="shared" si="10"/>
        <v>0.7996271955042009</v>
      </c>
    </row>
    <row r="231" spans="1:7" s="364" customFormat="1" ht="27" customHeight="1">
      <c r="A231" s="2066"/>
      <c r="B231" s="2295"/>
      <c r="C231" s="273" t="s">
        <v>1013</v>
      </c>
      <c r="D231" s="2265"/>
      <c r="E231" s="2265">
        <v>2036680</v>
      </c>
      <c r="F231" s="2249">
        <v>1621149.21</v>
      </c>
      <c r="G231" s="2250">
        <f t="shared" si="10"/>
        <v>0.7959763978631891</v>
      </c>
    </row>
    <row r="232" spans="1:7" s="364" customFormat="1" ht="25.5" customHeight="1">
      <c r="A232" s="2078"/>
      <c r="B232" s="2079"/>
      <c r="C232" s="325" t="s">
        <v>1014</v>
      </c>
      <c r="D232" s="2241"/>
      <c r="E232" s="2241">
        <v>120000</v>
      </c>
      <c r="F232" s="2242">
        <v>103390.77</v>
      </c>
      <c r="G232" s="2243">
        <f t="shared" si="10"/>
        <v>0.86158975</v>
      </c>
    </row>
    <row r="233" spans="1:7" s="2133" customFormat="1" ht="17.25" customHeight="1" thickBot="1">
      <c r="A233" s="2139">
        <v>900</v>
      </c>
      <c r="B233" s="2275"/>
      <c r="C233" s="2376" t="s">
        <v>1287</v>
      </c>
      <c r="D233" s="2418"/>
      <c r="E233" s="2418">
        <f>E234</f>
        <v>5906209</v>
      </c>
      <c r="F233" s="2088">
        <f>F234</f>
        <v>5050622.76</v>
      </c>
      <c r="G233" s="2419">
        <f t="shared" si="10"/>
        <v>0.8551378320679136</v>
      </c>
    </row>
    <row r="234" spans="1:7" ht="17.25" customHeight="1">
      <c r="A234" s="2279"/>
      <c r="B234" s="2128">
        <v>90002</v>
      </c>
      <c r="C234" s="2399" t="s">
        <v>699</v>
      </c>
      <c r="D234" s="2372"/>
      <c r="E234" s="2372">
        <f>E235</f>
        <v>5906209</v>
      </c>
      <c r="F234" s="2237">
        <f>F235</f>
        <v>5050622.76</v>
      </c>
      <c r="G234" s="2420">
        <f t="shared" si="10"/>
        <v>0.8551378320679136</v>
      </c>
    </row>
    <row r="235" spans="1:7" s="364" customFormat="1" ht="26.25" customHeight="1">
      <c r="A235" s="2066"/>
      <c r="B235" s="2079"/>
      <c r="C235" s="120" t="s">
        <v>1015</v>
      </c>
      <c r="D235" s="2136"/>
      <c r="E235" s="2136">
        <v>5906209</v>
      </c>
      <c r="F235" s="2137">
        <v>5050622.76</v>
      </c>
      <c r="G235" s="2243">
        <f t="shared" si="10"/>
        <v>0.8551378320679136</v>
      </c>
    </row>
    <row r="236" spans="1:7" ht="18" customHeight="1" thickBot="1">
      <c r="A236" s="259">
        <v>921</v>
      </c>
      <c r="B236" s="2225"/>
      <c r="C236" s="203" t="s">
        <v>16</v>
      </c>
      <c r="D236" s="2421"/>
      <c r="E236" s="2421">
        <f>E237+E240+E242</f>
        <v>365279</v>
      </c>
      <c r="F236" s="2422">
        <f>F237+F240+F242</f>
        <v>345335.37</v>
      </c>
      <c r="G236" s="2423">
        <f t="shared" si="10"/>
        <v>0.9454016518880088</v>
      </c>
    </row>
    <row r="237" spans="1:7" ht="18" customHeight="1">
      <c r="A237" s="2139"/>
      <c r="B237" s="312">
        <v>92105</v>
      </c>
      <c r="C237" s="208" t="s">
        <v>17</v>
      </c>
      <c r="D237" s="2176"/>
      <c r="E237" s="2176">
        <f>SUM(E238:E239)</f>
        <v>31653</v>
      </c>
      <c r="F237" s="2424">
        <f>F238</f>
        <v>11707.17</v>
      </c>
      <c r="G237" s="2203">
        <f t="shared" si="10"/>
        <v>0.3698597289356459</v>
      </c>
    </row>
    <row r="238" spans="1:7" ht="17.25" customHeight="1">
      <c r="A238" s="2139"/>
      <c r="B238" s="2184"/>
      <c r="C238" s="2425" t="s">
        <v>1016</v>
      </c>
      <c r="D238" s="2124"/>
      <c r="E238" s="2426">
        <v>12353</v>
      </c>
      <c r="F238" s="2145">
        <f>11707.17</f>
        <v>11707.17</v>
      </c>
      <c r="G238" s="2427">
        <f t="shared" si="10"/>
        <v>0.9477187727677487</v>
      </c>
    </row>
    <row r="239" spans="1:7" ht="16.5" customHeight="1">
      <c r="A239" s="2139"/>
      <c r="B239" s="2275"/>
      <c r="C239" s="2428" t="s">
        <v>1017</v>
      </c>
      <c r="D239" s="2429"/>
      <c r="E239" s="2430">
        <v>19300</v>
      </c>
      <c r="F239" s="2165"/>
      <c r="G239" s="2431"/>
    </row>
    <row r="240" spans="1:7" ht="17.25" customHeight="1">
      <c r="A240" s="2139"/>
      <c r="B240" s="462">
        <v>92109</v>
      </c>
      <c r="C240" s="208" t="s">
        <v>752</v>
      </c>
      <c r="D240" s="2220"/>
      <c r="E240" s="2220">
        <f>E241</f>
        <v>13626</v>
      </c>
      <c r="F240" s="2202">
        <f>F241</f>
        <v>13628.2</v>
      </c>
      <c r="G240" s="2203">
        <f>F240/E240</f>
        <v>1.0001614560399237</v>
      </c>
    </row>
    <row r="241" spans="1:7" s="364" customFormat="1" ht="25.5">
      <c r="A241" s="2066"/>
      <c r="B241" s="2079"/>
      <c r="C241" s="120" t="s">
        <v>1018</v>
      </c>
      <c r="D241" s="2136"/>
      <c r="E241" s="2136">
        <v>13626</v>
      </c>
      <c r="F241" s="2137">
        <v>13628.2</v>
      </c>
      <c r="G241" s="2138">
        <f>F241/E241</f>
        <v>1.0001614560399237</v>
      </c>
    </row>
    <row r="242" spans="1:7" ht="19.5" customHeight="1">
      <c r="A242" s="2139"/>
      <c r="B242" s="462">
        <v>92120</v>
      </c>
      <c r="C242" s="53" t="s">
        <v>93</v>
      </c>
      <c r="D242" s="2417"/>
      <c r="E242" s="2417">
        <f>E243</f>
        <v>320000</v>
      </c>
      <c r="F242" s="2246">
        <f>F243</f>
        <v>320000</v>
      </c>
      <c r="G242" s="2247">
        <f>F242/E242</f>
        <v>1</v>
      </c>
    </row>
    <row r="243" spans="1:7" s="364" customFormat="1" ht="19.5" customHeight="1">
      <c r="A243" s="2066"/>
      <c r="B243" s="2079"/>
      <c r="C243" s="120" t="s">
        <v>1019</v>
      </c>
      <c r="D243" s="2136"/>
      <c r="E243" s="2136">
        <v>320000</v>
      </c>
      <c r="F243" s="2137">
        <v>320000</v>
      </c>
      <c r="G243" s="2138">
        <f>F243/E243</f>
        <v>1</v>
      </c>
    </row>
    <row r="244" spans="1:7" ht="18.75" customHeight="1" thickBot="1">
      <c r="A244" s="2183">
        <v>926</v>
      </c>
      <c r="B244" s="2275"/>
      <c r="C244" s="2376" t="s">
        <v>22</v>
      </c>
      <c r="D244" s="2418"/>
      <c r="E244" s="2418">
        <f>E245+E247</f>
        <v>6299114</v>
      </c>
      <c r="F244" s="2088">
        <f>F245+F247</f>
        <v>50000</v>
      </c>
      <c r="G244" s="2432">
        <f>F244/E244</f>
        <v>0.007937624243663474</v>
      </c>
    </row>
    <row r="245" spans="1:7" ht="18.75" customHeight="1">
      <c r="A245" s="2279"/>
      <c r="B245" s="2128">
        <v>92604</v>
      </c>
      <c r="C245" s="2399" t="s">
        <v>770</v>
      </c>
      <c r="D245" s="2346"/>
      <c r="E245" s="2372">
        <f>E246</f>
        <v>6249114</v>
      </c>
      <c r="F245" s="2237"/>
      <c r="G245" s="2433"/>
    </row>
    <row r="246" spans="1:7" s="2320" customFormat="1" ht="38.25">
      <c r="A246" s="2066"/>
      <c r="B246" s="2067"/>
      <c r="C246" s="326" t="s">
        <v>1020</v>
      </c>
      <c r="D246" s="2258"/>
      <c r="E246" s="2258">
        <v>6249114</v>
      </c>
      <c r="F246" s="2259"/>
      <c r="G246" s="2434"/>
    </row>
    <row r="247" spans="1:7" ht="17.25" customHeight="1">
      <c r="A247" s="2139"/>
      <c r="B247" s="462">
        <v>92605</v>
      </c>
      <c r="C247" s="53" t="s">
        <v>24</v>
      </c>
      <c r="D247" s="2257"/>
      <c r="E247" s="2417">
        <f>E248</f>
        <v>50000</v>
      </c>
      <c r="F247" s="2246">
        <f>F248</f>
        <v>50000</v>
      </c>
      <c r="G247" s="2434">
        <f>F247/E247</f>
        <v>1</v>
      </c>
    </row>
    <row r="248" spans="1:7" s="2320" customFormat="1" ht="25.5">
      <c r="A248" s="2066"/>
      <c r="B248" s="2067"/>
      <c r="C248" s="120" t="s">
        <v>1021</v>
      </c>
      <c r="D248" s="2136"/>
      <c r="E248" s="2136">
        <v>50000</v>
      </c>
      <c r="F248" s="2137">
        <v>50000</v>
      </c>
      <c r="G248" s="2435">
        <f>F248/E248</f>
        <v>1</v>
      </c>
    </row>
    <row r="249" spans="1:7" s="2221" customFormat="1" ht="18.75" customHeight="1" thickBot="1">
      <c r="A249" s="2436"/>
      <c r="B249" s="2437"/>
      <c r="C249" s="422" t="s">
        <v>1022</v>
      </c>
      <c r="D249" s="2373">
        <f>D256+D262</f>
        <v>821200</v>
      </c>
      <c r="E249" s="2373">
        <f>E253+E256+E262+E250</f>
        <v>887936</v>
      </c>
      <c r="F249" s="2374">
        <f>F253+F256+F262+F250</f>
        <v>920523.193</v>
      </c>
      <c r="G249" s="2375">
        <f>F249/E249</f>
        <v>1.0366999344547354</v>
      </c>
    </row>
    <row r="250" spans="1:7" s="2221" customFormat="1" ht="17.25" customHeight="1" thickBot="1" thickTop="1">
      <c r="A250" s="259">
        <v>150</v>
      </c>
      <c r="B250" s="353"/>
      <c r="C250" s="216" t="s">
        <v>1023</v>
      </c>
      <c r="D250" s="2438"/>
      <c r="E250" s="2438"/>
      <c r="F250" s="2282">
        <f>F251</f>
        <v>59920.713</v>
      </c>
      <c r="G250" s="2283"/>
    </row>
    <row r="251" spans="1:7" s="2221" customFormat="1" ht="18" customHeight="1">
      <c r="A251" s="2385"/>
      <c r="B251" s="2386">
        <v>15011</v>
      </c>
      <c r="C251" s="2386" t="s">
        <v>1024</v>
      </c>
      <c r="D251" s="2439"/>
      <c r="E251" s="2439"/>
      <c r="F251" s="2440">
        <f>F252</f>
        <v>59920.713</v>
      </c>
      <c r="G251" s="2441"/>
    </row>
    <row r="252" spans="1:7" s="2221" customFormat="1" ht="15.75" customHeight="1">
      <c r="A252" s="2442"/>
      <c r="B252" s="2195"/>
      <c r="C252" s="2443" t="s">
        <v>1025</v>
      </c>
      <c r="D252" s="2444"/>
      <c r="E252" s="2444"/>
      <c r="F252" s="2445">
        <v>59920.713</v>
      </c>
      <c r="G252" s="2446"/>
    </row>
    <row r="253" spans="1:7" ht="21" customHeight="1" thickBot="1">
      <c r="A253" s="2183">
        <v>710</v>
      </c>
      <c r="B253" s="2184"/>
      <c r="C253" s="2122" t="s">
        <v>175</v>
      </c>
      <c r="D253" s="2124"/>
      <c r="E253" s="2124">
        <f>E254</f>
        <v>30000</v>
      </c>
      <c r="F253" s="2125">
        <f>F254</f>
        <v>29995.3</v>
      </c>
      <c r="G253" s="2126">
        <f aca="true" t="shared" si="11" ref="G253:G258">F253/E253</f>
        <v>0.9998433333333333</v>
      </c>
    </row>
    <row r="254" spans="1:7" ht="17.25" customHeight="1">
      <c r="A254" s="2188"/>
      <c r="B254" s="2189">
        <v>71035</v>
      </c>
      <c r="C254" s="2189" t="s">
        <v>181</v>
      </c>
      <c r="D254" s="2447"/>
      <c r="E254" s="2447">
        <f>E255</f>
        <v>30000</v>
      </c>
      <c r="F254" s="2448">
        <f>F255</f>
        <v>29995.3</v>
      </c>
      <c r="G254" s="2449">
        <f t="shared" si="11"/>
        <v>0.9998433333333333</v>
      </c>
    </row>
    <row r="255" spans="1:7" s="364" customFormat="1" ht="26.25" customHeight="1">
      <c r="A255" s="2194"/>
      <c r="B255" s="2450"/>
      <c r="C255" s="2451" t="s">
        <v>1026</v>
      </c>
      <c r="D255" s="2452"/>
      <c r="E255" s="2452">
        <v>30000</v>
      </c>
      <c r="F255" s="2453">
        <v>29995.3</v>
      </c>
      <c r="G255" s="2454">
        <f t="shared" si="11"/>
        <v>0.9998433333333333</v>
      </c>
    </row>
    <row r="256" spans="1:7" ht="17.25" customHeight="1" thickBot="1">
      <c r="A256" s="259">
        <v>801</v>
      </c>
      <c r="B256" s="353"/>
      <c r="C256" s="216" t="s">
        <v>42</v>
      </c>
      <c r="D256" s="2438">
        <f>D257+D260</f>
        <v>394200</v>
      </c>
      <c r="E256" s="2438">
        <f>E257+E260</f>
        <v>430936</v>
      </c>
      <c r="F256" s="2282">
        <f>F257+F260</f>
        <v>249000.76</v>
      </c>
      <c r="G256" s="2283">
        <f t="shared" si="11"/>
        <v>0.5778137820929327</v>
      </c>
    </row>
    <row r="257" spans="1:7" ht="17.25" customHeight="1">
      <c r="A257" s="2385"/>
      <c r="B257" s="2386">
        <v>80104</v>
      </c>
      <c r="C257" s="2386" t="s">
        <v>45</v>
      </c>
      <c r="D257" s="2439">
        <f>SUM(D258:D259)</f>
        <v>377000</v>
      </c>
      <c r="E257" s="2439">
        <f>SUM(E258:E259)</f>
        <v>413736</v>
      </c>
      <c r="F257" s="2440">
        <f>SUM(F258:F259)</f>
        <v>232152.76</v>
      </c>
      <c r="G257" s="2441">
        <f t="shared" si="11"/>
        <v>0.5611132702979678</v>
      </c>
    </row>
    <row r="258" spans="1:7" s="364" customFormat="1" ht="17.25" customHeight="1">
      <c r="A258" s="2194"/>
      <c r="B258" s="2450"/>
      <c r="C258" s="2451" t="s">
        <v>1027</v>
      </c>
      <c r="D258" s="2452">
        <v>377000</v>
      </c>
      <c r="E258" s="2452">
        <v>413736</v>
      </c>
      <c r="F258" s="2453">
        <v>230821</v>
      </c>
      <c r="G258" s="2454">
        <f t="shared" si="11"/>
        <v>0.5578944060947078</v>
      </c>
    </row>
    <row r="259" spans="1:7" s="364" customFormat="1" ht="18" customHeight="1">
      <c r="A259" s="2194"/>
      <c r="B259" s="2455"/>
      <c r="C259" s="2456" t="s">
        <v>1028</v>
      </c>
      <c r="D259" s="2457"/>
      <c r="E259" s="2457"/>
      <c r="F259" s="2458">
        <v>1331.76</v>
      </c>
      <c r="G259" s="2459"/>
    </row>
    <row r="260" spans="1:7" ht="17.25" customHeight="1">
      <c r="A260" s="2385"/>
      <c r="B260" s="2386">
        <v>80195</v>
      </c>
      <c r="C260" s="2386" t="s">
        <v>13</v>
      </c>
      <c r="D260" s="2460">
        <f>D261</f>
        <v>17200</v>
      </c>
      <c r="E260" s="2460">
        <f>E261</f>
        <v>17200</v>
      </c>
      <c r="F260" s="2461">
        <f>F261</f>
        <v>16848</v>
      </c>
      <c r="G260" s="2462">
        <f aca="true" t="shared" si="12" ref="G260:G279">F260/E260</f>
        <v>0.9795348837209302</v>
      </c>
    </row>
    <row r="261" spans="1:7" s="364" customFormat="1" ht="17.25" customHeight="1">
      <c r="A261" s="2442"/>
      <c r="B261" s="2195"/>
      <c r="C261" s="2196" t="s">
        <v>1029</v>
      </c>
      <c r="D261" s="2444">
        <v>17200</v>
      </c>
      <c r="E261" s="2444">
        <v>17200</v>
      </c>
      <c r="F261" s="2445">
        <v>16848</v>
      </c>
      <c r="G261" s="2446">
        <f t="shared" si="12"/>
        <v>0.9795348837209302</v>
      </c>
    </row>
    <row r="262" spans="1:7" ht="18" customHeight="1" thickBot="1">
      <c r="A262" s="2139">
        <v>900</v>
      </c>
      <c r="B262" s="2275"/>
      <c r="C262" s="2376" t="s">
        <v>1287</v>
      </c>
      <c r="D262" s="2409">
        <f aca="true" t="shared" si="13" ref="D262:F263">D263</f>
        <v>427000</v>
      </c>
      <c r="E262" s="2409">
        <f t="shared" si="13"/>
        <v>427000</v>
      </c>
      <c r="F262" s="2343">
        <f t="shared" si="13"/>
        <v>581606.42</v>
      </c>
      <c r="G262" s="2344">
        <f t="shared" si="12"/>
        <v>1.3620759250585481</v>
      </c>
    </row>
    <row r="263" spans="1:7" s="2320" customFormat="1" ht="18" customHeight="1">
      <c r="A263" s="2188"/>
      <c r="B263" s="2189">
        <v>90002</v>
      </c>
      <c r="C263" s="2377" t="s">
        <v>699</v>
      </c>
      <c r="D263" s="2447">
        <f t="shared" si="13"/>
        <v>427000</v>
      </c>
      <c r="E263" s="2447">
        <f t="shared" si="13"/>
        <v>427000</v>
      </c>
      <c r="F263" s="2448">
        <f t="shared" si="13"/>
        <v>581606.42</v>
      </c>
      <c r="G263" s="2449">
        <f t="shared" si="12"/>
        <v>1.3620759250585481</v>
      </c>
    </row>
    <row r="264" spans="1:7" s="364" customFormat="1" ht="26.25" customHeight="1">
      <c r="A264" s="2194"/>
      <c r="B264" s="2463"/>
      <c r="C264" s="2196" t="s">
        <v>1030</v>
      </c>
      <c r="D264" s="2444">
        <v>427000</v>
      </c>
      <c r="E264" s="2444">
        <v>427000</v>
      </c>
      <c r="F264" s="2445">
        <v>581606.42</v>
      </c>
      <c r="G264" s="2446">
        <f t="shared" si="12"/>
        <v>1.3620759250585481</v>
      </c>
    </row>
    <row r="265" spans="1:7" ht="27" customHeight="1" thickBot="1">
      <c r="A265" s="2078"/>
      <c r="B265" s="2079"/>
      <c r="C265" s="422" t="s">
        <v>1031</v>
      </c>
      <c r="D265" s="2464">
        <f>D269+D272+D277+D281+D284+D299</f>
        <v>77185296</v>
      </c>
      <c r="E265" s="2464">
        <f>E266+E269+E272+E277+E281+E284+E299</f>
        <v>74375074</v>
      </c>
      <c r="F265" s="2465">
        <f>F269+F272+F277+F281+F284+F299+F266</f>
        <v>70066404.52</v>
      </c>
      <c r="G265" s="2466">
        <f t="shared" si="12"/>
        <v>0.9420683671521456</v>
      </c>
    </row>
    <row r="266" spans="1:7" ht="18.75" customHeight="1" thickBot="1" thickTop="1">
      <c r="A266" s="2224" t="s">
        <v>134</v>
      </c>
      <c r="B266" s="2224"/>
      <c r="C266" s="203" t="s">
        <v>135</v>
      </c>
      <c r="D266" s="213"/>
      <c r="E266" s="2421">
        <f>E267</f>
        <v>4573</v>
      </c>
      <c r="F266" s="2467">
        <f>F267</f>
        <v>4482.25</v>
      </c>
      <c r="G266" s="2229">
        <f t="shared" si="12"/>
        <v>0.9801552591296742</v>
      </c>
    </row>
    <row r="267" spans="1:7" ht="18" customHeight="1">
      <c r="A267" s="2066"/>
      <c r="B267" s="261" t="s">
        <v>901</v>
      </c>
      <c r="C267" s="207" t="s">
        <v>13</v>
      </c>
      <c r="D267" s="209"/>
      <c r="E267" s="2468">
        <f>E268</f>
        <v>4573</v>
      </c>
      <c r="F267" s="262">
        <f>F268</f>
        <v>4482.25</v>
      </c>
      <c r="G267" s="2469">
        <f t="shared" si="12"/>
        <v>0.9801552591296742</v>
      </c>
    </row>
    <row r="268" spans="1:7" ht="27" customHeight="1">
      <c r="A268" s="2078"/>
      <c r="B268" s="312"/>
      <c r="C268" s="2470" t="s">
        <v>1032</v>
      </c>
      <c r="D268" s="2471"/>
      <c r="E268" s="2472">
        <v>4573</v>
      </c>
      <c r="F268" s="2473">
        <v>4482.25</v>
      </c>
      <c r="G268" s="2474">
        <f t="shared" si="12"/>
        <v>0.9801552591296742</v>
      </c>
    </row>
    <row r="269" spans="1:7" ht="17.25" customHeight="1" thickBot="1">
      <c r="A269" s="2139">
        <v>750</v>
      </c>
      <c r="B269" s="2275"/>
      <c r="C269" s="2376" t="s">
        <v>184</v>
      </c>
      <c r="D269" s="2409">
        <f>D270</f>
        <v>1567696</v>
      </c>
      <c r="E269" s="2409">
        <f>E270</f>
        <v>1567696</v>
      </c>
      <c r="F269" s="2343">
        <f>F270</f>
        <v>1567696</v>
      </c>
      <c r="G269" s="2344">
        <f t="shared" si="12"/>
        <v>1</v>
      </c>
    </row>
    <row r="270" spans="1:7" ht="17.25" customHeight="1">
      <c r="A270" s="2090"/>
      <c r="B270" s="2128">
        <v>75011</v>
      </c>
      <c r="C270" s="2399" t="s">
        <v>786</v>
      </c>
      <c r="D270" s="2475">
        <f>D271</f>
        <v>1567696</v>
      </c>
      <c r="E270" s="2475">
        <f>SUM(E271:E271)</f>
        <v>1567696</v>
      </c>
      <c r="F270" s="2476">
        <f>SUM(F271:F271)</f>
        <v>1567696</v>
      </c>
      <c r="G270" s="2477">
        <f t="shared" si="12"/>
        <v>1</v>
      </c>
    </row>
    <row r="271" spans="1:7" s="364" customFormat="1" ht="27" customHeight="1">
      <c r="A271" s="2078"/>
      <c r="B271" s="2323"/>
      <c r="C271" s="120" t="s">
        <v>1033</v>
      </c>
      <c r="D271" s="2098">
        <v>1567696</v>
      </c>
      <c r="E271" s="2136">
        <v>1567696</v>
      </c>
      <c r="F271" s="2137">
        <v>1567696</v>
      </c>
      <c r="G271" s="2138">
        <f t="shared" si="12"/>
        <v>1</v>
      </c>
    </row>
    <row r="272" spans="1:7" ht="26.25" customHeight="1" thickBot="1">
      <c r="A272" s="2224">
        <v>751</v>
      </c>
      <c r="B272" s="2225"/>
      <c r="C272" s="203" t="s">
        <v>787</v>
      </c>
      <c r="D272" s="2392">
        <f>D273</f>
        <v>30200</v>
      </c>
      <c r="E272" s="2392">
        <f>E273+E275</f>
        <v>936658</v>
      </c>
      <c r="F272" s="2478">
        <f>F273+F275</f>
        <v>894298</v>
      </c>
      <c r="G272" s="2349">
        <f t="shared" si="12"/>
        <v>0.9547753822633235</v>
      </c>
    </row>
    <row r="273" spans="1:7" ht="18" customHeight="1">
      <c r="A273" s="2066"/>
      <c r="B273" s="312">
        <v>75101</v>
      </c>
      <c r="C273" s="208" t="s">
        <v>1034</v>
      </c>
      <c r="D273" s="2409">
        <f>D274</f>
        <v>30200</v>
      </c>
      <c r="E273" s="2409">
        <f>E274</f>
        <v>29100</v>
      </c>
      <c r="F273" s="2343">
        <f>F274</f>
        <v>29100</v>
      </c>
      <c r="G273" s="2344">
        <f t="shared" si="12"/>
        <v>1</v>
      </c>
    </row>
    <row r="274" spans="1:7" s="364" customFormat="1" ht="27" customHeight="1">
      <c r="A274" s="2066"/>
      <c r="B274" s="2323"/>
      <c r="C274" s="120" t="s">
        <v>1035</v>
      </c>
      <c r="D274" s="2098">
        <v>30200</v>
      </c>
      <c r="E274" s="2136">
        <v>29100</v>
      </c>
      <c r="F274" s="2137">
        <v>29100</v>
      </c>
      <c r="G274" s="2138">
        <f t="shared" si="12"/>
        <v>1</v>
      </c>
    </row>
    <row r="275" spans="1:7" ht="26.25" customHeight="1">
      <c r="A275" s="2066"/>
      <c r="B275" s="312">
        <v>75109</v>
      </c>
      <c r="C275" s="208" t="s">
        <v>790</v>
      </c>
      <c r="D275" s="2124"/>
      <c r="E275" s="2124">
        <f>E276</f>
        <v>907558</v>
      </c>
      <c r="F275" s="2308">
        <f>F276</f>
        <v>865198</v>
      </c>
      <c r="G275" s="2126">
        <f t="shared" si="12"/>
        <v>0.953325297115997</v>
      </c>
    </row>
    <row r="276" spans="1:7" s="364" customFormat="1" ht="25.5" customHeight="1">
      <c r="A276" s="2078"/>
      <c r="B276" s="2323"/>
      <c r="C276" s="120" t="s">
        <v>1036</v>
      </c>
      <c r="D276" s="2098"/>
      <c r="E276" s="2136">
        <v>907558</v>
      </c>
      <c r="F276" s="2137">
        <v>865198</v>
      </c>
      <c r="G276" s="2138">
        <f t="shared" si="12"/>
        <v>0.953325297115997</v>
      </c>
    </row>
    <row r="277" spans="1:7" s="2221" customFormat="1" ht="19.5" customHeight="1" thickBot="1">
      <c r="A277" s="2139">
        <v>754</v>
      </c>
      <c r="B277" s="2275"/>
      <c r="C277" s="2086" t="s">
        <v>1037</v>
      </c>
      <c r="D277" s="2369">
        <f aca="true" t="shared" si="14" ref="D277:F278">D278</f>
        <v>1800</v>
      </c>
      <c r="E277" s="2369">
        <f t="shared" si="14"/>
        <v>1800</v>
      </c>
      <c r="F277" s="2370">
        <f t="shared" si="14"/>
        <v>1800</v>
      </c>
      <c r="G277" s="2371">
        <f t="shared" si="12"/>
        <v>1</v>
      </c>
    </row>
    <row r="278" spans="1:7" s="2221" customFormat="1" ht="19.5" customHeight="1">
      <c r="A278" s="2279"/>
      <c r="B278" s="2128">
        <v>75414</v>
      </c>
      <c r="C278" s="2129" t="s">
        <v>792</v>
      </c>
      <c r="D278" s="2372">
        <f t="shared" si="14"/>
        <v>1800</v>
      </c>
      <c r="E278" s="2372">
        <f t="shared" si="14"/>
        <v>1800</v>
      </c>
      <c r="F278" s="2237">
        <f t="shared" si="14"/>
        <v>1800</v>
      </c>
      <c r="G278" s="2238">
        <f t="shared" si="12"/>
        <v>1</v>
      </c>
    </row>
    <row r="279" spans="1:7" s="364" customFormat="1" ht="19.5" customHeight="1">
      <c r="A279" s="2204"/>
      <c r="B279" s="2067"/>
      <c r="C279" s="2117" t="s">
        <v>1038</v>
      </c>
      <c r="D279" s="2258">
        <v>1800</v>
      </c>
      <c r="E279" s="2258">
        <v>1800</v>
      </c>
      <c r="F279" s="2259">
        <v>1800</v>
      </c>
      <c r="G279" s="2260">
        <f t="shared" si="12"/>
        <v>1</v>
      </c>
    </row>
    <row r="280" spans="1:7" s="364" customFormat="1" ht="19.5" customHeight="1">
      <c r="A280" s="2479"/>
      <c r="B280" s="2301"/>
      <c r="C280" s="2335"/>
      <c r="D280" s="2356"/>
      <c r="E280" s="2356"/>
      <c r="F280" s="2357"/>
      <c r="G280" s="2358"/>
    </row>
    <row r="281" spans="1:7" ht="17.25" customHeight="1" thickBot="1">
      <c r="A281" s="2224">
        <v>851</v>
      </c>
      <c r="B281" s="2225"/>
      <c r="C281" s="2103" t="s">
        <v>19</v>
      </c>
      <c r="D281" s="2227"/>
      <c r="E281" s="2227">
        <f>E282</f>
        <v>6979</v>
      </c>
      <c r="F281" s="2228">
        <f>F282</f>
        <v>6979</v>
      </c>
      <c r="G281" s="2229">
        <f>F281/E281</f>
        <v>1</v>
      </c>
    </row>
    <row r="282" spans="1:7" s="2486" customFormat="1" ht="18.75" customHeight="1">
      <c r="A282" s="2480"/>
      <c r="B282" s="2481">
        <v>85195</v>
      </c>
      <c r="C282" s="2482" t="s">
        <v>13</v>
      </c>
      <c r="D282" s="2483"/>
      <c r="E282" s="2484">
        <f>E283</f>
        <v>6979</v>
      </c>
      <c r="F282" s="2202">
        <f>F283</f>
        <v>6979</v>
      </c>
      <c r="G282" s="2485">
        <f>F282/E282</f>
        <v>1</v>
      </c>
    </row>
    <row r="283" spans="1:7" s="364" customFormat="1" ht="24.75" customHeight="1">
      <c r="A283" s="2487"/>
      <c r="B283" s="2079"/>
      <c r="C283" s="2273" t="s">
        <v>1039</v>
      </c>
      <c r="D283" s="2232"/>
      <c r="E283" s="2241">
        <v>6979</v>
      </c>
      <c r="F283" s="2242">
        <v>6979</v>
      </c>
      <c r="G283" s="2243">
        <f>F283/E283</f>
        <v>1</v>
      </c>
    </row>
    <row r="284" spans="1:7" ht="19.5" customHeight="1" thickBot="1">
      <c r="A284" s="2139">
        <v>852</v>
      </c>
      <c r="B284" s="2275"/>
      <c r="C284" s="2086" t="s">
        <v>54</v>
      </c>
      <c r="D284" s="2369">
        <f>D285+D289+D291+D293+D295+D297</f>
        <v>75585600</v>
      </c>
      <c r="E284" s="2369">
        <f>E285+E289+E291+E293+E295+E297</f>
        <v>71852868</v>
      </c>
      <c r="F284" s="2370">
        <f>F285+F289+F291+F293+F295+F297</f>
        <v>67586688.97</v>
      </c>
      <c r="G284" s="2371">
        <f>F284/E284</f>
        <v>0.9406261830773408</v>
      </c>
    </row>
    <row r="285" spans="1:7" ht="19.5" customHeight="1">
      <c r="A285" s="2488"/>
      <c r="B285" s="2128">
        <v>85203</v>
      </c>
      <c r="C285" s="2129" t="s">
        <v>1040</v>
      </c>
      <c r="D285" s="2372">
        <f>SUM(D286:D287)</f>
        <v>806000</v>
      </c>
      <c r="E285" s="2372">
        <f>SUM(E286:E288)</f>
        <v>809000</v>
      </c>
      <c r="F285" s="2237">
        <f>SUM(F286:F288)</f>
        <v>808996.75</v>
      </c>
      <c r="G285" s="2238">
        <f>F285/E285</f>
        <v>0.9999959826946848</v>
      </c>
    </row>
    <row r="286" spans="1:8" ht="19.5" customHeight="1">
      <c r="A286" s="2066"/>
      <c r="B286" s="2067"/>
      <c r="C286" s="2135" t="s">
        <v>1041</v>
      </c>
      <c r="D286" s="2315">
        <v>771000</v>
      </c>
      <c r="E286" s="2315">
        <v>771000</v>
      </c>
      <c r="F286" s="2210">
        <v>770996.75</v>
      </c>
      <c r="G286" s="2211">
        <v>0.9999</v>
      </c>
      <c r="H286" s="2489"/>
    </row>
    <row r="287" spans="1:7" s="364" customFormat="1" ht="19.5" customHeight="1">
      <c r="A287" s="2066"/>
      <c r="B287" s="2067"/>
      <c r="C287" s="302" t="s">
        <v>1042</v>
      </c>
      <c r="D287" s="2160">
        <v>35000</v>
      </c>
      <c r="E287" s="2160">
        <v>35000</v>
      </c>
      <c r="F287" s="2161">
        <v>35000</v>
      </c>
      <c r="G287" s="2162">
        <f aca="true" t="shared" si="15" ref="G287:G316">F287/E287</f>
        <v>1</v>
      </c>
    </row>
    <row r="288" spans="1:7" s="364" customFormat="1" ht="25.5">
      <c r="A288" s="2072"/>
      <c r="B288" s="312"/>
      <c r="C288" s="2490" t="s">
        <v>1007</v>
      </c>
      <c r="D288" s="2220"/>
      <c r="E288" s="2491">
        <v>3000</v>
      </c>
      <c r="F288" s="2242">
        <v>3000</v>
      </c>
      <c r="G288" s="2492">
        <f t="shared" si="15"/>
        <v>1</v>
      </c>
    </row>
    <row r="289" spans="1:7" s="364" customFormat="1" ht="27" customHeight="1">
      <c r="A289" s="2204"/>
      <c r="B289" s="312">
        <v>85212</v>
      </c>
      <c r="C289" s="2200" t="s">
        <v>797</v>
      </c>
      <c r="D289" s="2220">
        <f>SUM(D290:D290)</f>
        <v>64522000</v>
      </c>
      <c r="E289" s="2220">
        <f>SUM(E290:E290)</f>
        <v>61278500</v>
      </c>
      <c r="F289" s="2202">
        <f>SUM(F290:F290)</f>
        <v>57680000</v>
      </c>
      <c r="G289" s="2203">
        <f t="shared" si="15"/>
        <v>0.9412763040870779</v>
      </c>
    </row>
    <row r="290" spans="1:7" s="2221" customFormat="1" ht="29.25" customHeight="1">
      <c r="A290" s="2066"/>
      <c r="B290" s="2323"/>
      <c r="C290" s="120" t="s">
        <v>1043</v>
      </c>
      <c r="D290" s="2136">
        <v>64522000</v>
      </c>
      <c r="E290" s="2136">
        <v>61278500</v>
      </c>
      <c r="F290" s="2137">
        <v>57680000</v>
      </c>
      <c r="G290" s="2138">
        <f t="shared" si="15"/>
        <v>0.9412763040870779</v>
      </c>
    </row>
    <row r="291" spans="1:7" s="364" customFormat="1" ht="26.25" customHeight="1">
      <c r="A291" s="2204"/>
      <c r="B291" s="312">
        <v>85213</v>
      </c>
      <c r="C291" s="2200" t="s">
        <v>1044</v>
      </c>
      <c r="D291" s="2220">
        <f>D292</f>
        <v>814600</v>
      </c>
      <c r="E291" s="2220">
        <f>E292</f>
        <v>814600</v>
      </c>
      <c r="F291" s="2202">
        <f>F292</f>
        <v>651189.61</v>
      </c>
      <c r="G291" s="2203">
        <f t="shared" si="15"/>
        <v>0.7993979990179229</v>
      </c>
    </row>
    <row r="292" spans="1:7" s="2221" customFormat="1" ht="30" customHeight="1">
      <c r="A292" s="2066"/>
      <c r="B292" s="2323"/>
      <c r="C292" s="2097" t="s">
        <v>1045</v>
      </c>
      <c r="D292" s="2136">
        <v>814600</v>
      </c>
      <c r="E292" s="2136">
        <v>814600</v>
      </c>
      <c r="F292" s="2137">
        <v>651189.61</v>
      </c>
      <c r="G292" s="2138">
        <f t="shared" si="15"/>
        <v>0.7993979990179229</v>
      </c>
    </row>
    <row r="293" spans="1:7" s="364" customFormat="1" ht="22.5" customHeight="1">
      <c r="A293" s="2072"/>
      <c r="B293" s="312">
        <v>85214</v>
      </c>
      <c r="C293" s="2200" t="s">
        <v>643</v>
      </c>
      <c r="D293" s="2220">
        <f>D294</f>
        <v>8737000</v>
      </c>
      <c r="E293" s="2220">
        <f>E294</f>
        <v>7422000</v>
      </c>
      <c r="F293" s="2202">
        <f>F294</f>
        <v>7087850.61</v>
      </c>
      <c r="G293" s="2203">
        <f t="shared" si="15"/>
        <v>0.9549785246564269</v>
      </c>
    </row>
    <row r="294" spans="1:7" s="2221" customFormat="1" ht="24.75" customHeight="1">
      <c r="A294" s="2066"/>
      <c r="B294" s="2323"/>
      <c r="C294" s="2097" t="s">
        <v>1046</v>
      </c>
      <c r="D294" s="2136">
        <v>8737000</v>
      </c>
      <c r="E294" s="2136">
        <v>7422000</v>
      </c>
      <c r="F294" s="2137">
        <v>7087850.61</v>
      </c>
      <c r="G294" s="2138">
        <f t="shared" si="15"/>
        <v>0.9549785246564269</v>
      </c>
    </row>
    <row r="295" spans="1:7" s="364" customFormat="1" ht="19.5" customHeight="1">
      <c r="A295" s="2072"/>
      <c r="B295" s="312">
        <v>85228</v>
      </c>
      <c r="C295" s="2200" t="s">
        <v>1047</v>
      </c>
      <c r="D295" s="2220">
        <f>D296</f>
        <v>706000</v>
      </c>
      <c r="E295" s="2220">
        <f>E296</f>
        <v>1278500</v>
      </c>
      <c r="F295" s="2202">
        <f>F296</f>
        <v>1128500</v>
      </c>
      <c r="G295" s="2203">
        <f t="shared" si="15"/>
        <v>0.8826750097770825</v>
      </c>
    </row>
    <row r="296" spans="1:7" s="364" customFormat="1" ht="19.5" customHeight="1">
      <c r="A296" s="2204"/>
      <c r="B296" s="2323"/>
      <c r="C296" s="2097" t="s">
        <v>1048</v>
      </c>
      <c r="D296" s="2136">
        <v>706000</v>
      </c>
      <c r="E296" s="2136">
        <v>1278500</v>
      </c>
      <c r="F296" s="2137">
        <v>1128500</v>
      </c>
      <c r="G296" s="2138">
        <f t="shared" si="15"/>
        <v>0.8826750097770825</v>
      </c>
    </row>
    <row r="297" spans="1:7" s="2221" customFormat="1" ht="18" customHeight="1">
      <c r="A297" s="2139"/>
      <c r="B297" s="312">
        <v>85278</v>
      </c>
      <c r="C297" s="2200" t="s">
        <v>211</v>
      </c>
      <c r="D297" s="2220"/>
      <c r="E297" s="2220">
        <f>E298</f>
        <v>250268</v>
      </c>
      <c r="F297" s="2202">
        <f>F298</f>
        <v>230152</v>
      </c>
      <c r="G297" s="2203">
        <f t="shared" si="15"/>
        <v>0.9196221650390781</v>
      </c>
    </row>
    <row r="298" spans="1:7" s="364" customFormat="1" ht="29.25" customHeight="1">
      <c r="A298" s="2487"/>
      <c r="B298" s="2079"/>
      <c r="C298" s="2273" t="s">
        <v>1049</v>
      </c>
      <c r="D298" s="2241"/>
      <c r="E298" s="2241">
        <v>250268</v>
      </c>
      <c r="F298" s="2242">
        <v>230152</v>
      </c>
      <c r="G298" s="2243">
        <f t="shared" si="15"/>
        <v>0.9196221650390781</v>
      </c>
    </row>
    <row r="299" spans="1:7" s="2221" customFormat="1" ht="18.75" customHeight="1" thickBot="1">
      <c r="A299" s="2183">
        <v>854</v>
      </c>
      <c r="B299" s="2184"/>
      <c r="C299" s="2122" t="s">
        <v>27</v>
      </c>
      <c r="D299" s="2124"/>
      <c r="E299" s="2185">
        <f>E300</f>
        <v>4500</v>
      </c>
      <c r="F299" s="2186">
        <f>F300</f>
        <v>4460.3</v>
      </c>
      <c r="G299" s="2187">
        <f t="shared" si="15"/>
        <v>0.9911777777777778</v>
      </c>
    </row>
    <row r="300" spans="1:7" s="2221" customFormat="1" ht="18.75" customHeight="1">
      <c r="A300" s="2279"/>
      <c r="B300" s="2128">
        <v>85401</v>
      </c>
      <c r="C300" s="2129" t="s">
        <v>675</v>
      </c>
      <c r="D300" s="2346"/>
      <c r="E300" s="2372">
        <f>E301</f>
        <v>4500</v>
      </c>
      <c r="F300" s="2237">
        <f>F301</f>
        <v>4460.3</v>
      </c>
      <c r="G300" s="2238">
        <f t="shared" si="15"/>
        <v>0.9911777777777778</v>
      </c>
    </row>
    <row r="301" spans="1:7" ht="18.75" customHeight="1">
      <c r="A301" s="2066"/>
      <c r="B301" s="2067"/>
      <c r="C301" s="120" t="s">
        <v>1050</v>
      </c>
      <c r="D301" s="2098"/>
      <c r="E301" s="2136">
        <v>4500</v>
      </c>
      <c r="F301" s="2137">
        <v>4460.3</v>
      </c>
      <c r="G301" s="2138">
        <f t="shared" si="15"/>
        <v>0.9911777777777778</v>
      </c>
    </row>
    <row r="302" spans="1:8" s="2497" customFormat="1" ht="25.5" customHeight="1" thickBot="1">
      <c r="A302" s="2204"/>
      <c r="B302" s="2205"/>
      <c r="C302" s="2493" t="s">
        <v>1051</v>
      </c>
      <c r="D302" s="2494">
        <f>D303+D420+D428+D492+D519</f>
        <v>265793501</v>
      </c>
      <c r="E302" s="2494">
        <f>E303+E420+E428+E492+E519</f>
        <v>301345317</v>
      </c>
      <c r="F302" s="2495">
        <f>F303+F420+F428+F492+F519</f>
        <v>295702525.89000005</v>
      </c>
      <c r="G302" s="2496">
        <f t="shared" si="15"/>
        <v>0.9812746679916052</v>
      </c>
      <c r="H302" s="2320"/>
    </row>
    <row r="303" spans="1:7" ht="20.25" customHeight="1" thickBot="1" thickTop="1">
      <c r="A303" s="2436"/>
      <c r="B303" s="312"/>
      <c r="C303" s="2498" t="s">
        <v>1052</v>
      </c>
      <c r="D303" s="2499">
        <f>D304+D308+D311+D314+D318+D321+D326+D340+D371+D392+D395</f>
        <v>71812636</v>
      </c>
      <c r="E303" s="2499">
        <f>E304+E308+E311+E314+E318+E321+E326+E340+E371+E392+E395</f>
        <v>72360210</v>
      </c>
      <c r="F303" s="2500">
        <f>F304+F308+F311+F314+F318+F321+F326+F337+F340+F371+F392+F395</f>
        <v>72491434.12</v>
      </c>
      <c r="G303" s="2501">
        <f t="shared" si="15"/>
        <v>1.0018134845103408</v>
      </c>
    </row>
    <row r="304" spans="1:7" ht="18.75" customHeight="1" thickBot="1" thickTop="1">
      <c r="A304" s="265">
        <v>600</v>
      </c>
      <c r="B304" s="2502"/>
      <c r="C304" s="2503" t="s">
        <v>147</v>
      </c>
      <c r="D304" s="2392">
        <f>D305</f>
        <v>3020000</v>
      </c>
      <c r="E304" s="2392">
        <f>E305</f>
        <v>3020000</v>
      </c>
      <c r="F304" s="2348">
        <f>F305</f>
        <v>2587527.45</v>
      </c>
      <c r="G304" s="2349">
        <f t="shared" si="15"/>
        <v>0.8567971688741722</v>
      </c>
    </row>
    <row r="305" spans="1:7" ht="18.75" customHeight="1">
      <c r="A305" s="2139"/>
      <c r="B305" s="455">
        <v>60015</v>
      </c>
      <c r="C305" s="2284" t="s">
        <v>153</v>
      </c>
      <c r="D305" s="2220">
        <f>D306+D307</f>
        <v>3020000</v>
      </c>
      <c r="E305" s="2220">
        <f>E306+E307</f>
        <v>3020000</v>
      </c>
      <c r="F305" s="2202">
        <f>F306+F307</f>
        <v>2587527.45</v>
      </c>
      <c r="G305" s="2485">
        <f t="shared" si="15"/>
        <v>0.8567971688741722</v>
      </c>
    </row>
    <row r="306" spans="1:7" ht="18.75" customHeight="1">
      <c r="A306" s="2139"/>
      <c r="B306" s="2504"/>
      <c r="C306" s="2296" t="s">
        <v>903</v>
      </c>
      <c r="D306" s="2248">
        <v>3000000</v>
      </c>
      <c r="E306" s="2248">
        <v>3000000</v>
      </c>
      <c r="F306" s="2249">
        <v>2560839.16</v>
      </c>
      <c r="G306" s="2250">
        <f t="shared" si="15"/>
        <v>0.8536130533333334</v>
      </c>
    </row>
    <row r="307" spans="1:7" ht="18.75" customHeight="1">
      <c r="A307" s="2078"/>
      <c r="B307" s="2079"/>
      <c r="C307" s="2231" t="s">
        <v>916</v>
      </c>
      <c r="D307" s="2505">
        <v>20000</v>
      </c>
      <c r="E307" s="2505">
        <v>20000</v>
      </c>
      <c r="F307" s="2506">
        <f>2725.66+15798.41+8164.22</f>
        <v>26688.29</v>
      </c>
      <c r="G307" s="2507">
        <f t="shared" si="15"/>
        <v>1.3344145</v>
      </c>
    </row>
    <row r="308" spans="1:7" ht="18.75" customHeight="1" thickBot="1">
      <c r="A308" s="2508">
        <v>630</v>
      </c>
      <c r="B308" s="2509"/>
      <c r="C308" s="2510" t="s">
        <v>25</v>
      </c>
      <c r="D308" s="2511">
        <f aca="true" t="shared" si="16" ref="D308:F309">D309</f>
        <v>200</v>
      </c>
      <c r="E308" s="2511">
        <f t="shared" si="16"/>
        <v>200</v>
      </c>
      <c r="F308" s="2512">
        <f t="shared" si="16"/>
        <v>170.71</v>
      </c>
      <c r="G308" s="2513">
        <f t="shared" si="15"/>
        <v>0.85355</v>
      </c>
    </row>
    <row r="309" spans="1:7" ht="19.5" customHeight="1" thickTop="1">
      <c r="A309" s="2139"/>
      <c r="B309" s="455">
        <v>63001</v>
      </c>
      <c r="C309" s="2284" t="s">
        <v>160</v>
      </c>
      <c r="D309" s="2220">
        <f t="shared" si="16"/>
        <v>200</v>
      </c>
      <c r="E309" s="2220">
        <f t="shared" si="16"/>
        <v>200</v>
      </c>
      <c r="F309" s="2202">
        <f t="shared" si="16"/>
        <v>170.71</v>
      </c>
      <c r="G309" s="2485">
        <f t="shared" si="15"/>
        <v>0.85355</v>
      </c>
    </row>
    <row r="310" spans="1:7" ht="18.75" customHeight="1">
      <c r="A310" s="2139"/>
      <c r="B310" s="2504"/>
      <c r="C310" s="2298" t="s">
        <v>905</v>
      </c>
      <c r="D310" s="2514">
        <v>200</v>
      </c>
      <c r="E310" s="2514">
        <v>200</v>
      </c>
      <c r="F310" s="2259">
        <v>170.71</v>
      </c>
      <c r="G310" s="2260">
        <f t="shared" si="15"/>
        <v>0.85355</v>
      </c>
    </row>
    <row r="311" spans="1:7" ht="20.25" customHeight="1" thickBot="1">
      <c r="A311" s="2121">
        <v>700</v>
      </c>
      <c r="B311" s="2122"/>
      <c r="C311" s="2123" t="s">
        <v>499</v>
      </c>
      <c r="D311" s="2124">
        <f>D312</f>
        <v>2100000</v>
      </c>
      <c r="E311" s="2124">
        <f>E312</f>
        <v>2100000</v>
      </c>
      <c r="F311" s="2125">
        <f>F312</f>
        <v>2065820.71</v>
      </c>
      <c r="G311" s="2126">
        <f t="shared" si="15"/>
        <v>0.9837241476190476</v>
      </c>
    </row>
    <row r="312" spans="1:7" ht="20.25" customHeight="1">
      <c r="A312" s="2279"/>
      <c r="B312" s="2128">
        <v>70005</v>
      </c>
      <c r="C312" s="2129" t="s">
        <v>1053</v>
      </c>
      <c r="D312" s="2372">
        <f>SUM(D313:D313)</f>
        <v>2100000</v>
      </c>
      <c r="E312" s="2372">
        <f>SUM(E313:E313)</f>
        <v>2100000</v>
      </c>
      <c r="F312" s="2237">
        <f>SUM(F313:F313)</f>
        <v>2065820.71</v>
      </c>
      <c r="G312" s="2238">
        <f t="shared" si="15"/>
        <v>0.9837241476190476</v>
      </c>
    </row>
    <row r="313" spans="1:7" ht="21.75" customHeight="1">
      <c r="A313" s="2078"/>
      <c r="B313" s="2079"/>
      <c r="C313" s="2324" t="s">
        <v>1054</v>
      </c>
      <c r="D313" s="2515">
        <v>2100000</v>
      </c>
      <c r="E313" s="2515">
        <v>2100000</v>
      </c>
      <c r="F313" s="2516">
        <v>2065820.71</v>
      </c>
      <c r="G313" s="128">
        <f t="shared" si="15"/>
        <v>0.9837241476190476</v>
      </c>
    </row>
    <row r="314" spans="1:7" ht="18.75" customHeight="1" thickBot="1">
      <c r="A314" s="2121">
        <v>710</v>
      </c>
      <c r="B314" s="2122"/>
      <c r="C314" s="2123" t="s">
        <v>175</v>
      </c>
      <c r="D314" s="2517">
        <f>D315</f>
        <v>65</v>
      </c>
      <c r="E314" s="2517">
        <f>E315</f>
        <v>65</v>
      </c>
      <c r="F314" s="2125">
        <f>F315</f>
        <v>7984.25</v>
      </c>
      <c r="G314" s="2126">
        <f t="shared" si="15"/>
        <v>122.83461538461539</v>
      </c>
    </row>
    <row r="315" spans="1:7" ht="18" customHeight="1">
      <c r="A315" s="2518"/>
      <c r="B315" s="2399">
        <v>71015</v>
      </c>
      <c r="C315" s="2345" t="s">
        <v>1055</v>
      </c>
      <c r="D315" s="2372">
        <f>SUM(D316:D317)</f>
        <v>65</v>
      </c>
      <c r="E315" s="2372">
        <f>SUM(E316:E317)</f>
        <v>65</v>
      </c>
      <c r="F315" s="2237">
        <f>SUM(F316:F317)</f>
        <v>7984.25</v>
      </c>
      <c r="G315" s="2238">
        <f t="shared" si="15"/>
        <v>122.83461538461539</v>
      </c>
    </row>
    <row r="316" spans="1:7" ht="26.25" customHeight="1">
      <c r="A316" s="2519"/>
      <c r="B316" s="326"/>
      <c r="C316" s="2178" t="s">
        <v>1056</v>
      </c>
      <c r="D316" s="2520">
        <v>65</v>
      </c>
      <c r="E316" s="2520">
        <v>65</v>
      </c>
      <c r="F316" s="2310">
        <v>70.1</v>
      </c>
      <c r="G316" s="131">
        <f t="shared" si="15"/>
        <v>1.0784615384615384</v>
      </c>
    </row>
    <row r="317" spans="1:7" ht="17.25" customHeight="1">
      <c r="A317" s="2521"/>
      <c r="B317" s="325"/>
      <c r="C317" s="2231" t="s">
        <v>1057</v>
      </c>
      <c r="D317" s="2232"/>
      <c r="E317" s="2232"/>
      <c r="F317" s="2233">
        <v>7914.15</v>
      </c>
      <c r="G317" s="2234"/>
    </row>
    <row r="318" spans="1:7" ht="18.75" customHeight="1" thickBot="1">
      <c r="A318" s="2522">
        <v>750</v>
      </c>
      <c r="B318" s="203"/>
      <c r="C318" s="2523" t="s">
        <v>184</v>
      </c>
      <c r="D318" s="2392">
        <f aca="true" t="shared" si="17" ref="D318:F319">D319</f>
        <v>3500</v>
      </c>
      <c r="E318" s="2392">
        <f t="shared" si="17"/>
        <v>3500</v>
      </c>
      <c r="F318" s="2348">
        <f t="shared" si="17"/>
        <v>2920</v>
      </c>
      <c r="G318" s="2349">
        <f aca="true" t="shared" si="18" ref="G318:G324">F318/E318</f>
        <v>0.8342857142857143</v>
      </c>
    </row>
    <row r="319" spans="1:7" ht="18.75" customHeight="1">
      <c r="A319" s="2139"/>
      <c r="B319" s="312">
        <v>75095</v>
      </c>
      <c r="C319" s="2200" t="s">
        <v>13</v>
      </c>
      <c r="D319" s="2141">
        <f t="shared" si="17"/>
        <v>3500</v>
      </c>
      <c r="E319" s="2141">
        <f t="shared" si="17"/>
        <v>3500</v>
      </c>
      <c r="F319" s="2142">
        <f t="shared" si="17"/>
        <v>2920</v>
      </c>
      <c r="G319" s="2143">
        <f t="shared" si="18"/>
        <v>0.8342857142857143</v>
      </c>
    </row>
    <row r="320" spans="1:7" ht="19.5" customHeight="1">
      <c r="A320" s="2078"/>
      <c r="B320" s="2079"/>
      <c r="C320" s="2231" t="s">
        <v>1058</v>
      </c>
      <c r="D320" s="2316">
        <v>3500</v>
      </c>
      <c r="E320" s="2316">
        <v>3500</v>
      </c>
      <c r="F320" s="2321">
        <v>2920</v>
      </c>
      <c r="G320" s="2322">
        <f t="shared" si="18"/>
        <v>0.8342857142857143</v>
      </c>
    </row>
    <row r="321" spans="1:7" ht="18.75" customHeight="1" thickBot="1">
      <c r="A321" s="2121">
        <v>754</v>
      </c>
      <c r="B321" s="2122"/>
      <c r="C321" s="2307" t="s">
        <v>200</v>
      </c>
      <c r="D321" s="2124">
        <f>D322</f>
        <v>9000</v>
      </c>
      <c r="E321" s="2124">
        <f>E322</f>
        <v>9000</v>
      </c>
      <c r="F321" s="2125">
        <f>F322</f>
        <v>10346.72</v>
      </c>
      <c r="G321" s="2126">
        <f t="shared" si="18"/>
        <v>1.1496355555555555</v>
      </c>
    </row>
    <row r="322" spans="1:7" ht="18.75" customHeight="1">
      <c r="A322" s="2524"/>
      <c r="B322" s="2128">
        <v>75411</v>
      </c>
      <c r="C322" s="2525" t="s">
        <v>1059</v>
      </c>
      <c r="D322" s="2372">
        <f>SUM(D323:D325)</f>
        <v>9000</v>
      </c>
      <c r="E322" s="2372">
        <f>SUM(E323:E325)</f>
        <v>9000</v>
      </c>
      <c r="F322" s="2237">
        <f>SUM(F323:F325)</f>
        <v>10346.72</v>
      </c>
      <c r="G322" s="2238">
        <f t="shared" si="18"/>
        <v>1.1496355555555555</v>
      </c>
    </row>
    <row r="323" spans="2:7" ht="26.25" customHeight="1">
      <c r="B323" s="2067"/>
      <c r="C323" s="2152" t="s">
        <v>1061</v>
      </c>
      <c r="D323" s="2312">
        <v>4000</v>
      </c>
      <c r="E323" s="2312">
        <v>4000</v>
      </c>
      <c r="F323" s="2313">
        <v>3356.7</v>
      </c>
      <c r="G323" s="2314">
        <f t="shared" si="18"/>
        <v>0.839175</v>
      </c>
    </row>
    <row r="324" spans="2:7" ht="16.5" customHeight="1">
      <c r="B324" s="2067"/>
      <c r="C324" s="2289" t="s">
        <v>1062</v>
      </c>
      <c r="D324" s="2527">
        <v>5000</v>
      </c>
      <c r="E324" s="2527">
        <v>5000</v>
      </c>
      <c r="F324" s="2313">
        <v>6453.72</v>
      </c>
      <c r="G324" s="2314">
        <f t="shared" si="18"/>
        <v>1.2907440000000001</v>
      </c>
    </row>
    <row r="325" spans="1:7" ht="17.25" customHeight="1">
      <c r="A325" s="2528"/>
      <c r="B325" s="312"/>
      <c r="C325" s="287" t="s">
        <v>954</v>
      </c>
      <c r="D325" s="2316"/>
      <c r="E325" s="2316"/>
      <c r="F325" s="2321">
        <v>536.3</v>
      </c>
      <c r="G325" s="2322"/>
    </row>
    <row r="326" spans="1:7" ht="29.25" customHeight="1" thickBot="1">
      <c r="A326" s="2522">
        <v>756</v>
      </c>
      <c r="B326" s="203"/>
      <c r="C326" s="2523" t="s">
        <v>1063</v>
      </c>
      <c r="D326" s="2529">
        <f>D327+D333</f>
        <v>62609031</v>
      </c>
      <c r="E326" s="2529">
        <f>E327+E333</f>
        <v>63156605</v>
      </c>
      <c r="F326" s="2228">
        <f>F327+F333</f>
        <v>63511514.15</v>
      </c>
      <c r="G326" s="2229">
        <f aca="true" t="shared" si="19" ref="G326:G331">F326/E326</f>
        <v>1.0056195096300695</v>
      </c>
    </row>
    <row r="327" spans="1:7" ht="27" customHeight="1">
      <c r="A327" s="2139"/>
      <c r="B327" s="312">
        <v>75618</v>
      </c>
      <c r="C327" s="2200" t="s">
        <v>1064</v>
      </c>
      <c r="D327" s="2141">
        <f>SUM(D328:D331)</f>
        <v>9080000</v>
      </c>
      <c r="E327" s="2141">
        <f>SUM(E328:E331)</f>
        <v>9080000</v>
      </c>
      <c r="F327" s="2142">
        <f>SUM(F328:F332)</f>
        <v>7038356.9799999995</v>
      </c>
      <c r="G327" s="2143">
        <f t="shared" si="19"/>
        <v>0.7751494471365639</v>
      </c>
    </row>
    <row r="328" spans="1:7" ht="18.75" customHeight="1">
      <c r="A328" s="2066"/>
      <c r="B328" s="2295"/>
      <c r="C328" s="2178" t="s">
        <v>1065</v>
      </c>
      <c r="D328" s="2520">
        <v>9000000</v>
      </c>
      <c r="E328" s="2309">
        <v>9000000</v>
      </c>
      <c r="F328" s="2310">
        <v>6893034.52</v>
      </c>
      <c r="G328" s="131">
        <f t="shared" si="19"/>
        <v>0.7658927244444443</v>
      </c>
    </row>
    <row r="329" spans="1:7" ht="38.25" customHeight="1">
      <c r="A329" s="2066"/>
      <c r="B329" s="2067"/>
      <c r="C329" s="2158" t="s">
        <v>1066</v>
      </c>
      <c r="D329" s="2266">
        <v>35000</v>
      </c>
      <c r="E329" s="2266">
        <v>35000</v>
      </c>
      <c r="F329" s="2267">
        <v>77126</v>
      </c>
      <c r="G329" s="2268">
        <f t="shared" si="19"/>
        <v>2.2036</v>
      </c>
    </row>
    <row r="330" spans="1:7" ht="15.75" customHeight="1">
      <c r="A330" s="2066"/>
      <c r="B330" s="2067"/>
      <c r="C330" s="2289" t="s">
        <v>1067</v>
      </c>
      <c r="D330" s="2527">
        <v>20000</v>
      </c>
      <c r="E330" s="2527">
        <v>20000</v>
      </c>
      <c r="F330" s="2313">
        <v>35824.94</v>
      </c>
      <c r="G330" s="2314">
        <f t="shared" si="19"/>
        <v>1.791247</v>
      </c>
    </row>
    <row r="331" spans="1:7" ht="18.75" customHeight="1">
      <c r="A331" s="2066"/>
      <c r="B331" s="2067"/>
      <c r="C331" s="2152" t="s">
        <v>1068</v>
      </c>
      <c r="D331" s="2312">
        <v>25000</v>
      </c>
      <c r="E331" s="2312">
        <v>25000</v>
      </c>
      <c r="F331" s="2313">
        <v>29048</v>
      </c>
      <c r="G331" s="2314">
        <f t="shared" si="19"/>
        <v>1.16192</v>
      </c>
    </row>
    <row r="332" spans="1:7" ht="18.75" customHeight="1">
      <c r="A332" s="2066"/>
      <c r="B332" s="2067"/>
      <c r="C332" s="2298" t="s">
        <v>1069</v>
      </c>
      <c r="D332" s="2316"/>
      <c r="E332" s="2316"/>
      <c r="F332" s="2321">
        <v>3323.52</v>
      </c>
      <c r="G332" s="2322"/>
    </row>
    <row r="333" spans="1:7" ht="18" customHeight="1">
      <c r="A333" s="2139"/>
      <c r="B333" s="462">
        <v>75622</v>
      </c>
      <c r="C333" s="2140" t="s">
        <v>1070</v>
      </c>
      <c r="D333" s="2220">
        <f>SUM(D334:D335)</f>
        <v>53529031</v>
      </c>
      <c r="E333" s="2220">
        <f>SUM(E334:E335)</f>
        <v>54076605</v>
      </c>
      <c r="F333" s="2202">
        <f>SUM(F334:F336)</f>
        <v>56473157.17</v>
      </c>
      <c r="G333" s="2203">
        <f>F333/E333</f>
        <v>1.0443177261220449</v>
      </c>
    </row>
    <row r="334" spans="1:7" ht="17.25" customHeight="1">
      <c r="A334" s="2066"/>
      <c r="B334" s="2067"/>
      <c r="C334" s="2296" t="s">
        <v>951</v>
      </c>
      <c r="D334" s="2520">
        <v>50429031</v>
      </c>
      <c r="E334" s="2520">
        <v>50976605</v>
      </c>
      <c r="F334" s="2310">
        <v>52754707</v>
      </c>
      <c r="G334" s="131">
        <f>F334/E334</f>
        <v>1.034880745785248</v>
      </c>
    </row>
    <row r="335" spans="1:7" ht="18" customHeight="1">
      <c r="A335" s="2078"/>
      <c r="B335" s="2079"/>
      <c r="C335" s="2530" t="s">
        <v>1071</v>
      </c>
      <c r="D335" s="2531">
        <v>3100000</v>
      </c>
      <c r="E335" s="2531">
        <v>3100000</v>
      </c>
      <c r="F335" s="2532">
        <v>3718441.45</v>
      </c>
      <c r="G335" s="2533">
        <f>F335/E335</f>
        <v>1.199497241935484</v>
      </c>
    </row>
    <row r="336" spans="1:7" ht="18" customHeight="1">
      <c r="A336" s="2078"/>
      <c r="B336" s="2079"/>
      <c r="C336" s="2273" t="s">
        <v>953</v>
      </c>
      <c r="D336" s="2316"/>
      <c r="E336" s="2316"/>
      <c r="F336" s="2321">
        <v>8.72</v>
      </c>
      <c r="G336" s="2322"/>
    </row>
    <row r="337" spans="1:7" s="364" customFormat="1" ht="19.5" customHeight="1" thickBot="1">
      <c r="A337" s="2139">
        <v>758</v>
      </c>
      <c r="B337" s="2085"/>
      <c r="C337" s="2086" t="s">
        <v>225</v>
      </c>
      <c r="D337" s="2534"/>
      <c r="E337" s="2534"/>
      <c r="F337" s="2277">
        <f>F338</f>
        <v>2156.98</v>
      </c>
      <c r="G337" s="2278"/>
    </row>
    <row r="338" spans="1:7" ht="19.5" customHeight="1">
      <c r="A338" s="2279"/>
      <c r="B338" s="2128">
        <v>75814</v>
      </c>
      <c r="C338" s="2345" t="s">
        <v>226</v>
      </c>
      <c r="D338" s="2372"/>
      <c r="E338" s="2372"/>
      <c r="F338" s="2237">
        <f>F339</f>
        <v>2156.98</v>
      </c>
      <c r="G338" s="2238"/>
    </row>
    <row r="339" spans="1:7" ht="19.5" customHeight="1">
      <c r="A339" s="2078"/>
      <c r="B339" s="2079"/>
      <c r="C339" s="2324" t="s">
        <v>1072</v>
      </c>
      <c r="D339" s="2325"/>
      <c r="E339" s="2325"/>
      <c r="F339" s="2137">
        <f>1625.24+531.74</f>
        <v>2156.98</v>
      </c>
      <c r="G339" s="2138"/>
    </row>
    <row r="340" spans="1:7" s="364" customFormat="1" ht="19.5" customHeight="1" thickBot="1">
      <c r="A340" s="2224">
        <v>801</v>
      </c>
      <c r="B340" s="2102"/>
      <c r="C340" s="2103" t="s">
        <v>42</v>
      </c>
      <c r="D340" s="2535">
        <f>D341+D344+D346+D349+D352+D355+D357+D360+D363+D366+D369</f>
        <v>19790</v>
      </c>
      <c r="E340" s="2535">
        <f>E341+E344+E346+E349+E352+E355+E357+E360+E363+E366+E369</f>
        <v>19790</v>
      </c>
      <c r="F340" s="2536">
        <f>F341+F344+F346+F349+F352+F355+F357+F360+F363+F366+F369</f>
        <v>186712.54</v>
      </c>
      <c r="G340" s="2537">
        <f>F340/E340</f>
        <v>9.434691258211219</v>
      </c>
    </row>
    <row r="341" spans="1:7" ht="19.5" customHeight="1">
      <c r="A341" s="2139"/>
      <c r="B341" s="312">
        <v>80102</v>
      </c>
      <c r="C341" s="2284" t="s">
        <v>243</v>
      </c>
      <c r="D341" s="2220">
        <f>D342</f>
        <v>1150</v>
      </c>
      <c r="E341" s="2220">
        <f>E342</f>
        <v>1150</v>
      </c>
      <c r="F341" s="2202">
        <f>SUM(F342:F343)</f>
        <v>1749.8300000000002</v>
      </c>
      <c r="G341" s="2203">
        <f>F341/E341</f>
        <v>1.5215913043478262</v>
      </c>
    </row>
    <row r="342" spans="1:7" ht="26.25" customHeight="1">
      <c r="A342" s="2066"/>
      <c r="B342" s="2067"/>
      <c r="C342" s="2296" t="s">
        <v>922</v>
      </c>
      <c r="D342" s="2248">
        <v>1150</v>
      </c>
      <c r="E342" s="2248">
        <v>1150</v>
      </c>
      <c r="F342" s="2249">
        <v>1298.67</v>
      </c>
      <c r="G342" s="2250">
        <f>F342/E342</f>
        <v>1.1292782608695653</v>
      </c>
    </row>
    <row r="343" spans="1:7" ht="16.5" customHeight="1">
      <c r="A343" s="2066"/>
      <c r="B343" s="2079"/>
      <c r="C343" s="2306" t="s">
        <v>916</v>
      </c>
      <c r="D343" s="2274"/>
      <c r="E343" s="2274"/>
      <c r="F343" s="2242">
        <v>451.16</v>
      </c>
      <c r="G343" s="2243"/>
    </row>
    <row r="344" spans="1:7" ht="19.5" customHeight="1">
      <c r="A344" s="2139"/>
      <c r="B344" s="312">
        <v>80111</v>
      </c>
      <c r="C344" s="2284" t="s">
        <v>251</v>
      </c>
      <c r="D344" s="2220">
        <f>D345</f>
        <v>850</v>
      </c>
      <c r="E344" s="2220">
        <f>E345</f>
        <v>850</v>
      </c>
      <c r="F344" s="2202">
        <f>F345</f>
        <v>924.23</v>
      </c>
      <c r="G344" s="2203">
        <f>F344/E344</f>
        <v>1.0873294117647059</v>
      </c>
    </row>
    <row r="345" spans="1:7" ht="26.25" customHeight="1">
      <c r="A345" s="2066"/>
      <c r="B345" s="2079"/>
      <c r="C345" s="2324" t="s">
        <v>922</v>
      </c>
      <c r="D345" s="2098">
        <v>850</v>
      </c>
      <c r="E345" s="2098">
        <v>850</v>
      </c>
      <c r="F345" s="2099">
        <v>924.23</v>
      </c>
      <c r="G345" s="2100">
        <f>F345/E345</f>
        <v>1.0873294117647059</v>
      </c>
    </row>
    <row r="346" spans="1:7" ht="17.25" customHeight="1">
      <c r="A346" s="2139"/>
      <c r="B346" s="312">
        <v>80120</v>
      </c>
      <c r="C346" s="2175" t="s">
        <v>47</v>
      </c>
      <c r="D346" s="2220">
        <f>SUM(D347:D348)</f>
        <v>7200</v>
      </c>
      <c r="E346" s="2220">
        <f>SUM(E347:E348)</f>
        <v>7200</v>
      </c>
      <c r="F346" s="2202">
        <f>SUM(F347:F348)</f>
        <v>22988.73</v>
      </c>
      <c r="G346" s="2203">
        <f>F346/E346</f>
        <v>3.1928791666666667</v>
      </c>
    </row>
    <row r="347" spans="1:7" ht="26.25" customHeight="1">
      <c r="A347" s="2066"/>
      <c r="B347" s="2067"/>
      <c r="C347" s="2158" t="s">
        <v>1061</v>
      </c>
      <c r="D347" s="2315">
        <v>7200</v>
      </c>
      <c r="E347" s="2315">
        <v>7200</v>
      </c>
      <c r="F347" s="2210">
        <v>7708.2</v>
      </c>
      <c r="G347" s="2211">
        <f>F347/E347</f>
        <v>1.0705833333333332</v>
      </c>
    </row>
    <row r="348" spans="1:7" ht="19.5" customHeight="1">
      <c r="A348" s="2066"/>
      <c r="B348" s="2067"/>
      <c r="C348" s="2158" t="s">
        <v>916</v>
      </c>
      <c r="D348" s="2315"/>
      <c r="E348" s="2315"/>
      <c r="F348" s="2210">
        <v>15280.53</v>
      </c>
      <c r="G348" s="2211"/>
    </row>
    <row r="349" spans="1:7" ht="19.5" customHeight="1">
      <c r="A349" s="2139"/>
      <c r="B349" s="462">
        <v>80121</v>
      </c>
      <c r="C349" s="2251" t="s">
        <v>254</v>
      </c>
      <c r="D349" s="2417">
        <f>SUM(D350:D351)</f>
        <v>250</v>
      </c>
      <c r="E349" s="2417">
        <f>SUM(E350:E351)</f>
        <v>250</v>
      </c>
      <c r="F349" s="2246">
        <f>SUM(F350:F351)</f>
        <v>685.3299999999999</v>
      </c>
      <c r="G349" s="2247">
        <f>F349/E349</f>
        <v>2.7413199999999995</v>
      </c>
    </row>
    <row r="350" spans="1:7" ht="26.25" customHeight="1">
      <c r="A350" s="2066"/>
      <c r="B350" s="2067"/>
      <c r="C350" s="2152" t="s">
        <v>1061</v>
      </c>
      <c r="D350" s="2160">
        <v>250</v>
      </c>
      <c r="E350" s="2160">
        <v>250</v>
      </c>
      <c r="F350" s="2161">
        <v>174.01</v>
      </c>
      <c r="G350" s="2162">
        <f>F350/E350</f>
        <v>0.69604</v>
      </c>
    </row>
    <row r="351" spans="1:7" ht="18.75" customHeight="1">
      <c r="A351" s="2066"/>
      <c r="B351" s="2079"/>
      <c r="C351" s="2231" t="s">
        <v>916</v>
      </c>
      <c r="D351" s="2274"/>
      <c r="E351" s="2274"/>
      <c r="F351" s="2242">
        <v>511.32</v>
      </c>
      <c r="G351" s="2243"/>
    </row>
    <row r="352" spans="1:7" s="2221" customFormat="1" ht="19.5" customHeight="1">
      <c r="A352" s="2139"/>
      <c r="B352" s="312">
        <v>80123</v>
      </c>
      <c r="C352" s="2284" t="s">
        <v>1073</v>
      </c>
      <c r="D352" s="2220">
        <f>SUM(D353:D353)</f>
        <v>1300</v>
      </c>
      <c r="E352" s="2220">
        <f>SUM(E353:E353)</f>
        <v>1300</v>
      </c>
      <c r="F352" s="2202">
        <f>SUM(F353:F354)</f>
        <v>2731.69</v>
      </c>
      <c r="G352" s="2203">
        <f>F352/E352</f>
        <v>2.1013</v>
      </c>
    </row>
    <row r="353" spans="1:7" ht="26.25" customHeight="1">
      <c r="A353" s="2066"/>
      <c r="B353" s="2295"/>
      <c r="C353" s="2296" t="s">
        <v>1061</v>
      </c>
      <c r="D353" s="2265">
        <v>1300</v>
      </c>
      <c r="E353" s="2265">
        <v>1300</v>
      </c>
      <c r="F353" s="2249">
        <v>1402.72</v>
      </c>
      <c r="G353" s="2250">
        <f>F353/E353</f>
        <v>1.0790153846153847</v>
      </c>
    </row>
    <row r="354" spans="1:7" ht="18.75" customHeight="1">
      <c r="A354" s="2066"/>
      <c r="B354" s="2079"/>
      <c r="C354" s="2306" t="s">
        <v>916</v>
      </c>
      <c r="D354" s="2274"/>
      <c r="E354" s="2274"/>
      <c r="F354" s="2242">
        <v>1328.97</v>
      </c>
      <c r="G354" s="2243"/>
    </row>
    <row r="355" spans="1:7" ht="19.5" customHeight="1">
      <c r="A355" s="2139"/>
      <c r="B355" s="312">
        <v>80124</v>
      </c>
      <c r="C355" s="2284" t="s">
        <v>255</v>
      </c>
      <c r="D355" s="2417">
        <f>D356</f>
        <v>120</v>
      </c>
      <c r="E355" s="2417">
        <f>E356</f>
        <v>120</v>
      </c>
      <c r="F355" s="2246">
        <f>F356</f>
        <v>102.42</v>
      </c>
      <c r="G355" s="2247">
        <f>F355/E355</f>
        <v>0.8535</v>
      </c>
    </row>
    <row r="356" spans="1:7" ht="26.25" customHeight="1">
      <c r="A356" s="2066"/>
      <c r="B356" s="2079"/>
      <c r="C356" s="2306" t="s">
        <v>1061</v>
      </c>
      <c r="D356" s="2241">
        <v>120</v>
      </c>
      <c r="E356" s="2241">
        <v>120</v>
      </c>
      <c r="F356" s="2242">
        <v>102.42</v>
      </c>
      <c r="G356" s="2243">
        <f>F356/E356</f>
        <v>0.8535</v>
      </c>
    </row>
    <row r="357" spans="1:7" ht="19.5" customHeight="1">
      <c r="A357" s="2139"/>
      <c r="B357" s="312">
        <v>80130</v>
      </c>
      <c r="C357" s="2284" t="s">
        <v>51</v>
      </c>
      <c r="D357" s="2220">
        <f>SUM(D358:D359)</f>
        <v>5600</v>
      </c>
      <c r="E357" s="2220">
        <f>SUM(E358:E359)</f>
        <v>5600</v>
      </c>
      <c r="F357" s="2202">
        <f>SUM(F358:F359)</f>
        <v>39973.16</v>
      </c>
      <c r="G357" s="2203">
        <f>F357/E357</f>
        <v>7.138064285714286</v>
      </c>
    </row>
    <row r="358" spans="1:7" ht="26.25" customHeight="1">
      <c r="A358" s="2066"/>
      <c r="B358" s="2067"/>
      <c r="C358" s="2289" t="s">
        <v>1061</v>
      </c>
      <c r="D358" s="2160">
        <v>5600</v>
      </c>
      <c r="E358" s="2160">
        <v>5600</v>
      </c>
      <c r="F358" s="2161">
        <v>6004.34</v>
      </c>
      <c r="G358" s="2162">
        <f>F358/E358</f>
        <v>1.0722035714285714</v>
      </c>
    </row>
    <row r="359" spans="1:7" ht="18.75" customHeight="1">
      <c r="A359" s="2066"/>
      <c r="B359" s="2067"/>
      <c r="C359" s="2306" t="s">
        <v>904</v>
      </c>
      <c r="D359" s="2241"/>
      <c r="E359" s="2241"/>
      <c r="F359" s="2242">
        <v>33968.82</v>
      </c>
      <c r="G359" s="2243"/>
    </row>
    <row r="360" spans="1:7" ht="19.5" customHeight="1">
      <c r="A360" s="2139"/>
      <c r="B360" s="462">
        <v>80132</v>
      </c>
      <c r="C360" s="2140" t="s">
        <v>259</v>
      </c>
      <c r="D360" s="2538">
        <f>SUM(D361:D362)</f>
        <v>720</v>
      </c>
      <c r="E360" s="2538">
        <f>SUM(E361:E362)</f>
        <v>720</v>
      </c>
      <c r="F360" s="2539">
        <f>SUM(F361:F362)</f>
        <v>2039.1599999999999</v>
      </c>
      <c r="G360" s="129">
        <f>F360/E360</f>
        <v>2.8321666666666663</v>
      </c>
    </row>
    <row r="361" spans="1:7" s="2221" customFormat="1" ht="26.25" customHeight="1">
      <c r="A361" s="2066"/>
      <c r="B361" s="2295"/>
      <c r="C361" s="2178" t="s">
        <v>1061</v>
      </c>
      <c r="D361" s="2265">
        <v>720</v>
      </c>
      <c r="E361" s="2265">
        <v>720</v>
      </c>
      <c r="F361" s="2249">
        <v>693.17</v>
      </c>
      <c r="G361" s="2250">
        <f>F361/E361</f>
        <v>0.962736111111111</v>
      </c>
    </row>
    <row r="362" spans="1:7" ht="17.25" customHeight="1">
      <c r="A362" s="2078"/>
      <c r="B362" s="2079"/>
      <c r="C362" s="2306" t="s">
        <v>904</v>
      </c>
      <c r="D362" s="2241"/>
      <c r="E362" s="2241"/>
      <c r="F362" s="2242">
        <v>1345.99</v>
      </c>
      <c r="G362" s="2243"/>
    </row>
    <row r="363" spans="1:7" ht="21.75" customHeight="1">
      <c r="A363" s="2139"/>
      <c r="B363" s="312">
        <v>80134</v>
      </c>
      <c r="C363" s="2284" t="s">
        <v>261</v>
      </c>
      <c r="D363" s="2220">
        <f>D364</f>
        <v>800</v>
      </c>
      <c r="E363" s="2220">
        <f>E364</f>
        <v>800</v>
      </c>
      <c r="F363" s="2202">
        <f>F364+F365</f>
        <v>1052.17</v>
      </c>
      <c r="G363" s="2203">
        <f>F363/E363</f>
        <v>1.3152125000000001</v>
      </c>
    </row>
    <row r="364" spans="1:7" s="2221" customFormat="1" ht="26.25" customHeight="1">
      <c r="A364" s="2066"/>
      <c r="B364" s="2067"/>
      <c r="C364" s="2298" t="s">
        <v>1074</v>
      </c>
      <c r="D364" s="2258">
        <v>800</v>
      </c>
      <c r="E364" s="2258">
        <v>800</v>
      </c>
      <c r="F364" s="2259">
        <v>955.48</v>
      </c>
      <c r="G364" s="2260">
        <f>F364/E364</f>
        <v>1.19435</v>
      </c>
    </row>
    <row r="365" spans="1:7" s="2221" customFormat="1" ht="18" customHeight="1">
      <c r="A365" s="2066"/>
      <c r="B365" s="2079"/>
      <c r="C365" s="2530" t="s">
        <v>916</v>
      </c>
      <c r="D365" s="2164"/>
      <c r="E365" s="2164"/>
      <c r="F365" s="2165">
        <v>96.69</v>
      </c>
      <c r="G365" s="2166"/>
    </row>
    <row r="366" spans="1:7" ht="18.75" customHeight="1">
      <c r="A366" s="2139"/>
      <c r="B366" s="2540">
        <v>80140</v>
      </c>
      <c r="C366" s="2284" t="s">
        <v>262</v>
      </c>
      <c r="D366" s="2220">
        <f>SUM(D367:D367)</f>
        <v>1800</v>
      </c>
      <c r="E366" s="2220">
        <f>SUM(E367:E367)</f>
        <v>1800</v>
      </c>
      <c r="F366" s="2202">
        <f>SUM(F367:F368)</f>
        <v>112557.3</v>
      </c>
      <c r="G366" s="2203">
        <f>F366/E366</f>
        <v>62.53183333333334</v>
      </c>
    </row>
    <row r="367" spans="1:7" s="2221" customFormat="1" ht="26.25" customHeight="1">
      <c r="A367" s="2066"/>
      <c r="B367" s="2116"/>
      <c r="C367" s="2154" t="s">
        <v>1061</v>
      </c>
      <c r="D367" s="2265">
        <v>1800</v>
      </c>
      <c r="E367" s="2265">
        <v>1800</v>
      </c>
      <c r="F367" s="2249">
        <v>2092.95</v>
      </c>
      <c r="G367" s="2250">
        <f>F367/E367</f>
        <v>1.16275</v>
      </c>
    </row>
    <row r="368" spans="1:7" s="2221" customFormat="1" ht="17.25" customHeight="1">
      <c r="A368" s="2066"/>
      <c r="B368" s="2541"/>
      <c r="C368" s="2231" t="s">
        <v>916</v>
      </c>
      <c r="D368" s="2241"/>
      <c r="E368" s="2241"/>
      <c r="F368" s="2242">
        <v>110464.35</v>
      </c>
      <c r="G368" s="2243"/>
    </row>
    <row r="369" spans="1:7" s="364" customFormat="1" ht="18.75" customHeight="1">
      <c r="A369" s="2139"/>
      <c r="B369" s="312">
        <v>80197</v>
      </c>
      <c r="C369" s="2175" t="s">
        <v>273</v>
      </c>
      <c r="D369" s="2220"/>
      <c r="E369" s="2220"/>
      <c r="F369" s="2202">
        <f>F370</f>
        <v>1908.52</v>
      </c>
      <c r="G369" s="2203"/>
    </row>
    <row r="370" spans="1:7" ht="18.75" customHeight="1">
      <c r="A370" s="2066"/>
      <c r="B370" s="2116"/>
      <c r="C370" s="2542" t="s">
        <v>1075</v>
      </c>
      <c r="D370" s="2258"/>
      <c r="E370" s="2258"/>
      <c r="F370" s="2259">
        <v>1908.52</v>
      </c>
      <c r="G370" s="2260"/>
    </row>
    <row r="371" spans="1:7" ht="18" customHeight="1" thickBot="1">
      <c r="A371" s="2183">
        <v>852</v>
      </c>
      <c r="B371" s="2184"/>
      <c r="C371" s="2543" t="s">
        <v>54</v>
      </c>
      <c r="D371" s="2544">
        <f>D372+D376+D380+D383+D386+D390</f>
        <v>3126360</v>
      </c>
      <c r="E371" s="2544">
        <f>E372+E376+E380+E383+E386+E390</f>
        <v>3126360</v>
      </c>
      <c r="F371" s="2186">
        <f>F372+F376+F380+F383+F386+F390</f>
        <v>3213400.44</v>
      </c>
      <c r="G371" s="2187">
        <f>F371/E371</f>
        <v>1.0278408244731891</v>
      </c>
    </row>
    <row r="372" spans="1:7" ht="18" customHeight="1">
      <c r="A372" s="2279"/>
      <c r="B372" s="2128">
        <v>85201</v>
      </c>
      <c r="C372" s="2092" t="s">
        <v>837</v>
      </c>
      <c r="D372" s="2236">
        <f>D373+D374+D375</f>
        <v>17350</v>
      </c>
      <c r="E372" s="2236">
        <f>E373+E374+E375</f>
        <v>17350</v>
      </c>
      <c r="F372" s="2237">
        <f>F373+F374+F375</f>
        <v>21283.670000000002</v>
      </c>
      <c r="G372" s="2238">
        <f>F372/E372</f>
        <v>1.2267244956772336</v>
      </c>
    </row>
    <row r="373" spans="1:7" ht="20.25" customHeight="1">
      <c r="A373" s="2066"/>
      <c r="B373" s="2067"/>
      <c r="C373" s="2112" t="s">
        <v>1076</v>
      </c>
      <c r="D373" s="2309">
        <v>16200</v>
      </c>
      <c r="E373" s="2309">
        <v>16200</v>
      </c>
      <c r="F373" s="2310">
        <v>17522.54</v>
      </c>
      <c r="G373" s="131">
        <f>F373/E373</f>
        <v>1.0816382716049384</v>
      </c>
    </row>
    <row r="374" spans="1:7" ht="26.25" customHeight="1">
      <c r="A374" s="2066"/>
      <c r="B374" s="2067"/>
      <c r="C374" s="2154" t="s">
        <v>1077</v>
      </c>
      <c r="D374" s="2266">
        <v>1150</v>
      </c>
      <c r="E374" s="2266">
        <v>1150</v>
      </c>
      <c r="F374" s="2267">
        <v>1021.72</v>
      </c>
      <c r="G374" s="2268">
        <f>F374/E374</f>
        <v>0.8884521739130435</v>
      </c>
    </row>
    <row r="375" spans="1:7" ht="17.25" customHeight="1">
      <c r="A375" s="2066"/>
      <c r="B375" s="2079"/>
      <c r="C375" s="2545" t="s">
        <v>904</v>
      </c>
      <c r="D375" s="2164"/>
      <c r="E375" s="2164"/>
      <c r="F375" s="2165">
        <v>2739.41</v>
      </c>
      <c r="G375" s="2166"/>
    </row>
    <row r="376" spans="1:7" ht="19.5" customHeight="1">
      <c r="A376" s="2139"/>
      <c r="B376" s="312">
        <v>85202</v>
      </c>
      <c r="C376" s="2107" t="s">
        <v>57</v>
      </c>
      <c r="D376" s="2468">
        <f>D377+D378+D379</f>
        <v>3091950</v>
      </c>
      <c r="E376" s="2468">
        <f>E377+E378+E379</f>
        <v>3091950</v>
      </c>
      <c r="F376" s="2546">
        <f>F377+F378+F379</f>
        <v>3164784.06</v>
      </c>
      <c r="G376" s="2319">
        <f aca="true" t="shared" si="20" ref="G376:G381">F376/E376</f>
        <v>1.0235560277494784</v>
      </c>
    </row>
    <row r="377" spans="1:7" ht="20.25" customHeight="1">
      <c r="A377" s="2066"/>
      <c r="B377" s="2067"/>
      <c r="C377" s="2296" t="s">
        <v>1078</v>
      </c>
      <c r="D377" s="2309">
        <v>3081000</v>
      </c>
      <c r="E377" s="2309">
        <v>3081000</v>
      </c>
      <c r="F377" s="2310">
        <f>3128888.56+28901.17</f>
        <v>3157789.73</v>
      </c>
      <c r="G377" s="131">
        <f t="shared" si="20"/>
        <v>1.0249236384290814</v>
      </c>
    </row>
    <row r="378" spans="1:7" ht="26.25" customHeight="1">
      <c r="A378" s="2066"/>
      <c r="B378" s="2067"/>
      <c r="C378" s="2154" t="s">
        <v>1061</v>
      </c>
      <c r="D378" s="2266">
        <v>2000</v>
      </c>
      <c r="E378" s="2266">
        <v>2000</v>
      </c>
      <c r="F378" s="2267">
        <v>2036.11</v>
      </c>
      <c r="G378" s="2268">
        <f t="shared" si="20"/>
        <v>1.018055</v>
      </c>
    </row>
    <row r="379" spans="1:7" ht="19.5" customHeight="1">
      <c r="A379" s="2066"/>
      <c r="B379" s="2079"/>
      <c r="C379" s="2547" t="s">
        <v>916</v>
      </c>
      <c r="D379" s="2548">
        <v>8950</v>
      </c>
      <c r="E379" s="2548">
        <v>8950</v>
      </c>
      <c r="F379" s="2532">
        <f>4660.04+298.18</f>
        <v>4958.22</v>
      </c>
      <c r="G379" s="2533">
        <f t="shared" si="20"/>
        <v>0.553991061452514</v>
      </c>
    </row>
    <row r="380" spans="1:7" s="2221" customFormat="1" ht="19.5" customHeight="1">
      <c r="A380" s="2139"/>
      <c r="B380" s="462">
        <v>85203</v>
      </c>
      <c r="C380" s="53" t="s">
        <v>59</v>
      </c>
      <c r="D380" s="2538">
        <f>D381</f>
        <v>5000</v>
      </c>
      <c r="E380" s="2538">
        <f>E381</f>
        <v>5000</v>
      </c>
      <c r="F380" s="2539">
        <f>F381+F382</f>
        <v>4691.52</v>
      </c>
      <c r="G380" s="129">
        <f t="shared" si="20"/>
        <v>0.9383040000000001</v>
      </c>
    </row>
    <row r="381" spans="1:7" s="2221" customFormat="1" ht="27.75" customHeight="1">
      <c r="A381" s="2204"/>
      <c r="B381" s="2205"/>
      <c r="C381" s="2112" t="s">
        <v>1079</v>
      </c>
      <c r="D381" s="2309">
        <v>5000</v>
      </c>
      <c r="E381" s="2309">
        <v>5000</v>
      </c>
      <c r="F381" s="2310">
        <v>4678.52</v>
      </c>
      <c r="G381" s="131">
        <f t="shared" si="20"/>
        <v>0.9357040000000001</v>
      </c>
    </row>
    <row r="382" spans="1:7" s="2221" customFormat="1" ht="26.25" customHeight="1">
      <c r="A382" s="2139"/>
      <c r="B382" s="312"/>
      <c r="C382" s="2306" t="s">
        <v>1061</v>
      </c>
      <c r="D382" s="2468"/>
      <c r="E382" s="2468"/>
      <c r="F382" s="2321">
        <v>13</v>
      </c>
      <c r="G382" s="2549"/>
    </row>
    <row r="383" spans="1:7" ht="18.75" customHeight="1">
      <c r="A383" s="2139"/>
      <c r="B383" s="462">
        <v>85204</v>
      </c>
      <c r="C383" s="2251" t="s">
        <v>640</v>
      </c>
      <c r="D383" s="2417">
        <f>SUM(D384:D385)</f>
        <v>7000</v>
      </c>
      <c r="E383" s="2417">
        <f>SUM(E384:E385)</f>
        <v>7000</v>
      </c>
      <c r="F383" s="2246">
        <f>SUM(F384:F385)</f>
        <v>14621.529999999999</v>
      </c>
      <c r="G383" s="2247">
        <f>F383/E383</f>
        <v>2.08879</v>
      </c>
    </row>
    <row r="384" spans="1:7" s="2221" customFormat="1" ht="19.5" customHeight="1">
      <c r="A384" s="2066"/>
      <c r="B384" s="2184"/>
      <c r="C384" s="2296" t="s">
        <v>1080</v>
      </c>
      <c r="D384" s="2265">
        <v>7000</v>
      </c>
      <c r="E384" s="2265">
        <v>7000</v>
      </c>
      <c r="F384" s="2249">
        <v>854.72</v>
      </c>
      <c r="G384" s="2250">
        <f>F384/E384</f>
        <v>0.12210285714285715</v>
      </c>
    </row>
    <row r="385" spans="1:7" ht="17.25" customHeight="1">
      <c r="A385" s="2066"/>
      <c r="B385" s="2079"/>
      <c r="C385" s="2306" t="s">
        <v>916</v>
      </c>
      <c r="D385" s="2241"/>
      <c r="E385" s="2241"/>
      <c r="F385" s="2242">
        <v>13766.81</v>
      </c>
      <c r="G385" s="2243"/>
    </row>
    <row r="386" spans="1:7" ht="29.25" customHeight="1">
      <c r="A386" s="2139"/>
      <c r="B386" s="312">
        <v>85220</v>
      </c>
      <c r="C386" s="2284" t="s">
        <v>650</v>
      </c>
      <c r="D386" s="2417">
        <f>SUM(D387:D388)</f>
        <v>5000</v>
      </c>
      <c r="E386" s="2417">
        <f>SUM(E387:E388)</f>
        <v>5000</v>
      </c>
      <c r="F386" s="2246">
        <f>F387+F388</f>
        <v>7972.16</v>
      </c>
      <c r="G386" s="2247">
        <f>F386/E386</f>
        <v>1.594432</v>
      </c>
    </row>
    <row r="387" spans="1:7" s="2221" customFormat="1" ht="20.25" customHeight="1">
      <c r="A387" s="2066"/>
      <c r="B387" s="2275"/>
      <c r="C387" s="2296" t="s">
        <v>1081</v>
      </c>
      <c r="D387" s="2265">
        <v>4850</v>
      </c>
      <c r="E387" s="2265">
        <v>4850</v>
      </c>
      <c r="F387" s="2249">
        <v>7880.5</v>
      </c>
      <c r="G387" s="2250">
        <f>F387/E387</f>
        <v>1.6248453608247422</v>
      </c>
    </row>
    <row r="388" spans="1:7" s="2221" customFormat="1" ht="25.5" customHeight="1">
      <c r="A388" s="2066"/>
      <c r="B388" s="2275"/>
      <c r="C388" s="2542" t="s">
        <v>1061</v>
      </c>
      <c r="D388" s="2258">
        <v>150</v>
      </c>
      <c r="E388" s="2258">
        <v>150</v>
      </c>
      <c r="F388" s="2259">
        <v>91.66</v>
      </c>
      <c r="G388" s="2260">
        <f>F388/E388</f>
        <v>0.6110666666666666</v>
      </c>
    </row>
    <row r="389" spans="1:7" s="2221" customFormat="1" ht="25.5" customHeight="1">
      <c r="A389" s="2300"/>
      <c r="B389" s="2550"/>
      <c r="C389" s="2302"/>
      <c r="D389" s="2356"/>
      <c r="E389" s="2356"/>
      <c r="F389" s="2357"/>
      <c r="G389" s="2358"/>
    </row>
    <row r="390" spans="1:7" ht="21" customHeight="1">
      <c r="A390" s="2139"/>
      <c r="B390" s="312">
        <v>85226</v>
      </c>
      <c r="C390" s="2175" t="s">
        <v>654</v>
      </c>
      <c r="D390" s="2468">
        <f>SUM(D391:D391)</f>
        <v>60</v>
      </c>
      <c r="E390" s="2468">
        <f>SUM(E391:E391)</f>
        <v>60</v>
      </c>
      <c r="F390" s="2318">
        <f>SUM(F391:F391)</f>
        <v>47.5</v>
      </c>
      <c r="G390" s="2319">
        <f aca="true" t="shared" si="21" ref="G390:G398">F390/E390</f>
        <v>0.7916666666666666</v>
      </c>
    </row>
    <row r="391" spans="1:7" ht="26.25" customHeight="1">
      <c r="A391" s="2078"/>
      <c r="B391" s="2323"/>
      <c r="C391" s="2326" t="s">
        <v>1061</v>
      </c>
      <c r="D391" s="2136">
        <v>60</v>
      </c>
      <c r="E391" s="2136">
        <v>60</v>
      </c>
      <c r="F391" s="2137">
        <v>47.5</v>
      </c>
      <c r="G391" s="2138">
        <f t="shared" si="21"/>
        <v>0.7916666666666666</v>
      </c>
    </row>
    <row r="392" spans="1:7" s="2221" customFormat="1" ht="19.5" customHeight="1" thickBot="1">
      <c r="A392" s="2224">
        <v>853</v>
      </c>
      <c r="B392" s="2225"/>
      <c r="C392" s="2523" t="s">
        <v>737</v>
      </c>
      <c r="D392" s="2347">
        <f>D393</f>
        <v>600</v>
      </c>
      <c r="E392" s="2347">
        <f>E393</f>
        <v>600</v>
      </c>
      <c r="F392" s="2348">
        <f>F393</f>
        <v>658.89</v>
      </c>
      <c r="G392" s="2349">
        <f t="shared" si="21"/>
        <v>1.09815</v>
      </c>
    </row>
    <row r="393" spans="1:7" ht="19.5" customHeight="1">
      <c r="A393" s="2139"/>
      <c r="B393" s="312">
        <v>85333</v>
      </c>
      <c r="C393" s="2284" t="s">
        <v>667</v>
      </c>
      <c r="D393" s="2141">
        <f>SUM(D394:D394)</f>
        <v>600</v>
      </c>
      <c r="E393" s="2141">
        <f>SUM(E394:E394)</f>
        <v>600</v>
      </c>
      <c r="F393" s="2142">
        <f>SUM(F394:F394)</f>
        <v>658.89</v>
      </c>
      <c r="G393" s="2143">
        <f t="shared" si="21"/>
        <v>1.09815</v>
      </c>
    </row>
    <row r="394" spans="1:7" ht="26.25" customHeight="1">
      <c r="A394" s="2078"/>
      <c r="B394" s="312"/>
      <c r="C394" s="2545" t="s">
        <v>1061</v>
      </c>
      <c r="D394" s="2548">
        <v>600</v>
      </c>
      <c r="E394" s="2548">
        <v>600</v>
      </c>
      <c r="F394" s="2532">
        <v>658.89</v>
      </c>
      <c r="G394" s="2533">
        <f t="shared" si="21"/>
        <v>1.09815</v>
      </c>
    </row>
    <row r="395" spans="1:7" ht="20.25" customHeight="1" thickBot="1">
      <c r="A395" s="2551">
        <v>854</v>
      </c>
      <c r="B395" s="216"/>
      <c r="C395" s="2280" t="s">
        <v>27</v>
      </c>
      <c r="D395" s="2281">
        <f>D396+D400+D403+D406+D410+D413+D416</f>
        <v>924090</v>
      </c>
      <c r="E395" s="2281">
        <f>E396+E400+E403+E406+E410+E413+E416</f>
        <v>924090</v>
      </c>
      <c r="F395" s="2282">
        <f>F396+F400+F403+F406+F410+F413+F416+F418</f>
        <v>902221.28</v>
      </c>
      <c r="G395" s="2283">
        <f t="shared" si="21"/>
        <v>0.97633485915874</v>
      </c>
    </row>
    <row r="396" spans="1:7" ht="19.5" customHeight="1">
      <c r="A396" s="2552"/>
      <c r="B396" s="312">
        <v>85403</v>
      </c>
      <c r="C396" s="2200" t="s">
        <v>61</v>
      </c>
      <c r="D396" s="2468">
        <f>SUM(D397:D399)</f>
        <v>311500</v>
      </c>
      <c r="E396" s="2468">
        <f>SUM(E397:E399)</f>
        <v>311500</v>
      </c>
      <c r="F396" s="2318">
        <f>SUM(F397:F399)</f>
        <v>445978.64</v>
      </c>
      <c r="G396" s="2319">
        <f t="shared" si="21"/>
        <v>1.4317131300160515</v>
      </c>
    </row>
    <row r="397" spans="1:7" ht="21.75" customHeight="1">
      <c r="A397" s="2553"/>
      <c r="B397" s="2116"/>
      <c r="C397" s="273" t="s">
        <v>1082</v>
      </c>
      <c r="D397" s="2309">
        <v>310000</v>
      </c>
      <c r="E397" s="2309">
        <v>310000</v>
      </c>
      <c r="F397" s="2310">
        <v>434666.57</v>
      </c>
      <c r="G397" s="131">
        <f t="shared" si="21"/>
        <v>1.4021502258064515</v>
      </c>
    </row>
    <row r="398" spans="1:7" ht="26.25" customHeight="1">
      <c r="A398" s="2553"/>
      <c r="B398" s="2067"/>
      <c r="C398" s="2158" t="s">
        <v>1061</v>
      </c>
      <c r="D398" s="2266">
        <v>1500</v>
      </c>
      <c r="E398" s="2266">
        <v>1500</v>
      </c>
      <c r="F398" s="2267">
        <v>1527.56</v>
      </c>
      <c r="G398" s="2268">
        <f t="shared" si="21"/>
        <v>1.0183733333333334</v>
      </c>
    </row>
    <row r="399" spans="1:7" ht="18.75" customHeight="1">
      <c r="A399" s="2553"/>
      <c r="B399" s="2079"/>
      <c r="C399" s="2231" t="s">
        <v>916</v>
      </c>
      <c r="D399" s="2554"/>
      <c r="E399" s="2554"/>
      <c r="F399" s="2321">
        <v>9784.51</v>
      </c>
      <c r="G399" s="2322"/>
    </row>
    <row r="400" spans="1:7" ht="19.5" customHeight="1">
      <c r="A400" s="2552"/>
      <c r="B400" s="312">
        <v>85406</v>
      </c>
      <c r="C400" s="2200" t="s">
        <v>1083</v>
      </c>
      <c r="D400" s="2317">
        <f>SUM(D401:D401)</f>
        <v>830</v>
      </c>
      <c r="E400" s="2317">
        <f>SUM(E401:E401)</f>
        <v>830</v>
      </c>
      <c r="F400" s="2318">
        <f>SUM(F401:F402)</f>
        <v>1006.9399999999999</v>
      </c>
      <c r="G400" s="2319">
        <f>F400/E400</f>
        <v>1.213180722891566</v>
      </c>
    </row>
    <row r="401" spans="1:7" ht="26.25" customHeight="1">
      <c r="A401" s="2553"/>
      <c r="B401" s="2111"/>
      <c r="C401" s="2178" t="s">
        <v>1061</v>
      </c>
      <c r="D401" s="2520">
        <v>830</v>
      </c>
      <c r="E401" s="2520">
        <v>830</v>
      </c>
      <c r="F401" s="2310">
        <v>945.17</v>
      </c>
      <c r="G401" s="131">
        <f>F401/E401</f>
        <v>1.1387590361445783</v>
      </c>
    </row>
    <row r="402" spans="1:7" ht="19.5" customHeight="1">
      <c r="A402" s="2553"/>
      <c r="B402" s="2541"/>
      <c r="C402" s="2231" t="s">
        <v>916</v>
      </c>
      <c r="D402" s="2316"/>
      <c r="E402" s="2316"/>
      <c r="F402" s="2321">
        <v>61.77</v>
      </c>
      <c r="G402" s="2322"/>
    </row>
    <row r="403" spans="1:7" ht="21" customHeight="1">
      <c r="A403" s="2139"/>
      <c r="B403" s="312">
        <v>85407</v>
      </c>
      <c r="C403" s="2200" t="s">
        <v>680</v>
      </c>
      <c r="D403" s="2468">
        <f>SUM(D404:D405)</f>
        <v>370</v>
      </c>
      <c r="E403" s="2468">
        <f>SUM(E404:E405)</f>
        <v>370</v>
      </c>
      <c r="F403" s="2318">
        <f>SUM(F404:F405)</f>
        <v>906.2</v>
      </c>
      <c r="G403" s="2319">
        <f>F403/E403</f>
        <v>2.4491891891891893</v>
      </c>
    </row>
    <row r="404" spans="1:7" ht="26.25" customHeight="1">
      <c r="A404" s="2066"/>
      <c r="B404" s="2067"/>
      <c r="C404" s="2289" t="s">
        <v>1061</v>
      </c>
      <c r="D404" s="2527">
        <v>370</v>
      </c>
      <c r="E404" s="2527">
        <v>370</v>
      </c>
      <c r="F404" s="2313">
        <v>389.2</v>
      </c>
      <c r="G404" s="2314">
        <f>F404/E404</f>
        <v>1.0518918918918918</v>
      </c>
    </row>
    <row r="405" spans="1:7" ht="19.5" customHeight="1">
      <c r="A405" s="2066"/>
      <c r="B405" s="2067"/>
      <c r="C405" s="2298" t="s">
        <v>916</v>
      </c>
      <c r="D405" s="2555"/>
      <c r="E405" s="2555"/>
      <c r="F405" s="2556">
        <v>517</v>
      </c>
      <c r="G405" s="2557"/>
    </row>
    <row r="406" spans="1:7" ht="19.5" customHeight="1">
      <c r="A406" s="2139"/>
      <c r="B406" s="462">
        <v>85410</v>
      </c>
      <c r="C406" s="2140" t="s">
        <v>62</v>
      </c>
      <c r="D406" s="2538">
        <f>SUM(D407:D408)</f>
        <v>460900</v>
      </c>
      <c r="E406" s="2538">
        <f>SUM(E407:E408)</f>
        <v>460900</v>
      </c>
      <c r="F406" s="2539">
        <f>SUM(F407:F409)</f>
        <v>351388.79</v>
      </c>
      <c r="G406" s="129">
        <f>F406/E406</f>
        <v>0.7623970275547841</v>
      </c>
    </row>
    <row r="407" spans="1:7" ht="19.5" customHeight="1">
      <c r="A407" s="2066"/>
      <c r="B407" s="2116"/>
      <c r="C407" s="2112" t="s">
        <v>1084</v>
      </c>
      <c r="D407" s="2309">
        <v>460000</v>
      </c>
      <c r="E407" s="2309">
        <v>460000</v>
      </c>
      <c r="F407" s="2310">
        <v>349626.4</v>
      </c>
      <c r="G407" s="131">
        <f>F407/E407</f>
        <v>0.7600573913043479</v>
      </c>
    </row>
    <row r="408" spans="1:7" ht="26.25" customHeight="1">
      <c r="A408" s="2066"/>
      <c r="B408" s="2116"/>
      <c r="C408" s="2289" t="s">
        <v>1061</v>
      </c>
      <c r="D408" s="2555">
        <v>900</v>
      </c>
      <c r="E408" s="2555">
        <v>900</v>
      </c>
      <c r="F408" s="2556">
        <v>929.73</v>
      </c>
      <c r="G408" s="2557">
        <f>F408/E408</f>
        <v>1.0330333333333332</v>
      </c>
    </row>
    <row r="409" spans="1:7" ht="18.75" customHeight="1">
      <c r="A409" s="2066"/>
      <c r="B409" s="2116"/>
      <c r="C409" s="2298" t="s">
        <v>916</v>
      </c>
      <c r="D409" s="2531"/>
      <c r="E409" s="2531"/>
      <c r="F409" s="2532">
        <f>398.62+434.04</f>
        <v>832.6600000000001</v>
      </c>
      <c r="G409" s="2533"/>
    </row>
    <row r="410" spans="1:7" ht="19.5" customHeight="1">
      <c r="A410" s="2139"/>
      <c r="B410" s="462">
        <v>85417</v>
      </c>
      <c r="C410" s="2140" t="s">
        <v>686</v>
      </c>
      <c r="D410" s="2252">
        <f>SUM(D411:D412)</f>
        <v>150040</v>
      </c>
      <c r="E410" s="2252">
        <f>SUM(E411:E412)</f>
        <v>150040</v>
      </c>
      <c r="F410" s="2253">
        <f>SUM(F411:F412)</f>
        <v>102131.77</v>
      </c>
      <c r="G410" s="2254">
        <f>F410/E410</f>
        <v>0.6806969474806719</v>
      </c>
    </row>
    <row r="411" spans="1:7" ht="19.5" customHeight="1">
      <c r="A411" s="2066"/>
      <c r="B411" s="2067"/>
      <c r="C411" s="2296" t="s">
        <v>1085</v>
      </c>
      <c r="D411" s="2309">
        <v>150000</v>
      </c>
      <c r="E411" s="2309">
        <v>150000</v>
      </c>
      <c r="F411" s="2310">
        <v>102099.77</v>
      </c>
      <c r="G411" s="131">
        <f>F411/E411</f>
        <v>0.6806651333333333</v>
      </c>
    </row>
    <row r="412" spans="1:7" s="2221" customFormat="1" ht="25.5" customHeight="1">
      <c r="A412" s="2066"/>
      <c r="B412" s="2067"/>
      <c r="C412" s="2158" t="s">
        <v>1061</v>
      </c>
      <c r="D412" s="2266">
        <v>40</v>
      </c>
      <c r="E412" s="2266">
        <v>40</v>
      </c>
      <c r="F412" s="2267">
        <v>32</v>
      </c>
      <c r="G412" s="2268">
        <f>F412/E412</f>
        <v>0.8</v>
      </c>
    </row>
    <row r="413" spans="1:7" s="2221" customFormat="1" ht="19.5" customHeight="1">
      <c r="A413" s="2139"/>
      <c r="B413" s="462">
        <v>85421</v>
      </c>
      <c r="C413" s="2251" t="s">
        <v>687</v>
      </c>
      <c r="D413" s="2538">
        <f>SUM(D414:D414)</f>
        <v>100</v>
      </c>
      <c r="E413" s="2538">
        <f>SUM(E414:E414)</f>
        <v>100</v>
      </c>
      <c r="F413" s="2539">
        <f>SUM(F414:F414)</f>
        <v>104</v>
      </c>
      <c r="G413" s="129">
        <f>F413/E413</f>
        <v>1.04</v>
      </c>
    </row>
    <row r="414" spans="1:7" s="2221" customFormat="1" ht="26.25" customHeight="1">
      <c r="A414" s="2066"/>
      <c r="B414" s="2295"/>
      <c r="C414" s="2285" t="s">
        <v>1061</v>
      </c>
      <c r="D414" s="2558">
        <v>100</v>
      </c>
      <c r="E414" s="2558">
        <v>100</v>
      </c>
      <c r="F414" s="2559">
        <v>104</v>
      </c>
      <c r="G414" s="2560">
        <f>F414/E414</f>
        <v>1.04</v>
      </c>
    </row>
    <row r="415" spans="1:7" s="2221" customFormat="1" ht="26.25" customHeight="1">
      <c r="A415" s="2300"/>
      <c r="B415" s="2301"/>
      <c r="C415" s="2302"/>
      <c r="D415" s="2561"/>
      <c r="E415" s="2561"/>
      <c r="F415" s="2562"/>
      <c r="G415" s="2563"/>
    </row>
    <row r="416" spans="1:7" ht="19.5" customHeight="1">
      <c r="A416" s="2139"/>
      <c r="B416" s="312">
        <v>85495</v>
      </c>
      <c r="C416" s="2175" t="s">
        <v>13</v>
      </c>
      <c r="D416" s="2220">
        <f>SUM(D417:D417)</f>
        <v>350</v>
      </c>
      <c r="E416" s="2220">
        <f>SUM(E417:E417)</f>
        <v>350</v>
      </c>
      <c r="F416" s="2202">
        <f>SUM(F417:F417)</f>
        <v>275.33</v>
      </c>
      <c r="G416" s="2203">
        <f>F416/E416</f>
        <v>0.7866571428571428</v>
      </c>
    </row>
    <row r="417" spans="1:7" s="2221" customFormat="1" ht="26.25" customHeight="1">
      <c r="A417" s="2066"/>
      <c r="B417" s="2067"/>
      <c r="C417" s="2296" t="s">
        <v>1061</v>
      </c>
      <c r="D417" s="2309">
        <v>350</v>
      </c>
      <c r="E417" s="2309">
        <v>350</v>
      </c>
      <c r="F417" s="2310">
        <v>275.33</v>
      </c>
      <c r="G417" s="131">
        <f>F417/E417</f>
        <v>0.7866571428571428</v>
      </c>
    </row>
    <row r="418" spans="1:7" s="2221" customFormat="1" ht="17.25" customHeight="1">
      <c r="A418" s="2139"/>
      <c r="B418" s="462">
        <v>85497</v>
      </c>
      <c r="C418" s="2251" t="s">
        <v>273</v>
      </c>
      <c r="D418" s="2538"/>
      <c r="E418" s="2538"/>
      <c r="F418" s="2539">
        <f>F419</f>
        <v>429.61</v>
      </c>
      <c r="G418" s="129"/>
    </row>
    <row r="419" spans="1:7" s="2221" customFormat="1" ht="19.5" customHeight="1">
      <c r="A419" s="2066"/>
      <c r="B419" s="2067"/>
      <c r="C419" s="2324" t="s">
        <v>1075</v>
      </c>
      <c r="D419" s="2564"/>
      <c r="E419" s="2564"/>
      <c r="F419" s="2516">
        <v>429.61</v>
      </c>
      <c r="G419" s="128"/>
    </row>
    <row r="420" spans="1:7" ht="19.5" customHeight="1" thickBot="1">
      <c r="A420" s="2436"/>
      <c r="B420" s="312"/>
      <c r="C420" s="422" t="s">
        <v>1086</v>
      </c>
      <c r="D420" s="2464">
        <f>D421</f>
        <v>133840163</v>
      </c>
      <c r="E420" s="2464">
        <f>E421</f>
        <v>136481298</v>
      </c>
      <c r="F420" s="2465">
        <f>F421</f>
        <v>136481298</v>
      </c>
      <c r="G420" s="2466">
        <f aca="true" t="shared" si="22" ref="G420:G445">F420/E420</f>
        <v>1</v>
      </c>
    </row>
    <row r="421" spans="1:7" ht="20.25" customHeight="1" thickBot="1" thickTop="1">
      <c r="A421" s="2183">
        <v>758</v>
      </c>
      <c r="B421" s="2184"/>
      <c r="C421" s="2376" t="s">
        <v>225</v>
      </c>
      <c r="D421" s="2409">
        <f>D422+D424+D426</f>
        <v>133840163</v>
      </c>
      <c r="E421" s="2409">
        <f>E422+E424+E426</f>
        <v>136481298</v>
      </c>
      <c r="F421" s="2343">
        <f>F422+F424+F426</f>
        <v>136481298</v>
      </c>
      <c r="G421" s="2344">
        <f t="shared" si="22"/>
        <v>1</v>
      </c>
    </row>
    <row r="422" spans="1:7" ht="19.5" customHeight="1">
      <c r="A422" s="2279"/>
      <c r="B422" s="2128">
        <v>75801</v>
      </c>
      <c r="C422" s="2399" t="s">
        <v>982</v>
      </c>
      <c r="D422" s="2346">
        <f>D423</f>
        <v>129994703</v>
      </c>
      <c r="E422" s="2346">
        <f>E423</f>
        <v>131137129</v>
      </c>
      <c r="F422" s="2131">
        <f>F423</f>
        <v>131137129</v>
      </c>
      <c r="G422" s="2132">
        <f t="shared" si="22"/>
        <v>1</v>
      </c>
    </row>
    <row r="423" spans="1:7" ht="17.25" customHeight="1">
      <c r="A423" s="2066"/>
      <c r="B423" s="2067"/>
      <c r="C423" s="340" t="s">
        <v>983</v>
      </c>
      <c r="D423" s="2315">
        <v>129994703</v>
      </c>
      <c r="E423" s="2315">
        <v>131137129</v>
      </c>
      <c r="F423" s="2210">
        <v>131137129</v>
      </c>
      <c r="G423" s="2211">
        <f t="shared" si="22"/>
        <v>1</v>
      </c>
    </row>
    <row r="424" spans="1:7" s="2221" customFormat="1" ht="19.5" customHeight="1">
      <c r="A424" s="2139"/>
      <c r="B424" s="2184">
        <v>75802</v>
      </c>
      <c r="C424" s="2122" t="s">
        <v>1087</v>
      </c>
      <c r="D424" s="2185"/>
      <c r="E424" s="2185">
        <f>SUM(E425:E425)</f>
        <v>1500000</v>
      </c>
      <c r="F424" s="2186">
        <f>SUM(F425:F425)</f>
        <v>1500000</v>
      </c>
      <c r="G424" s="2187">
        <f t="shared" si="22"/>
        <v>1</v>
      </c>
    </row>
    <row r="425" spans="1:7" ht="16.5" customHeight="1">
      <c r="A425" s="2066"/>
      <c r="B425" s="2323"/>
      <c r="C425" s="120" t="s">
        <v>1088</v>
      </c>
      <c r="D425" s="2136"/>
      <c r="E425" s="2136">
        <v>1500000</v>
      </c>
      <c r="F425" s="2137">
        <v>1500000</v>
      </c>
      <c r="G425" s="2138">
        <f t="shared" si="22"/>
        <v>1</v>
      </c>
    </row>
    <row r="426" spans="1:7" ht="19.5" customHeight="1">
      <c r="A426" s="2139"/>
      <c r="B426" s="312">
        <v>75832</v>
      </c>
      <c r="C426" s="208" t="s">
        <v>1089</v>
      </c>
      <c r="D426" s="2565">
        <f>D427</f>
        <v>3845460</v>
      </c>
      <c r="E426" s="2565">
        <f>E427</f>
        <v>3844169</v>
      </c>
      <c r="F426" s="2271">
        <f>F427</f>
        <v>3844169</v>
      </c>
      <c r="G426" s="130">
        <f t="shared" si="22"/>
        <v>1</v>
      </c>
    </row>
    <row r="427" spans="1:7" ht="19.5" customHeight="1">
      <c r="A427" s="2066"/>
      <c r="B427" s="2295"/>
      <c r="C427" s="120" t="s">
        <v>985</v>
      </c>
      <c r="D427" s="2136">
        <v>3845460</v>
      </c>
      <c r="E427" s="2564">
        <v>3844169</v>
      </c>
      <c r="F427" s="2516">
        <v>3844169</v>
      </c>
      <c r="G427" s="128">
        <f t="shared" si="22"/>
        <v>1</v>
      </c>
    </row>
    <row r="428" spans="1:7" ht="23.25" customHeight="1" thickBot="1">
      <c r="A428" s="2566"/>
      <c r="B428" s="2567"/>
      <c r="C428" s="2568" t="s">
        <v>986</v>
      </c>
      <c r="D428" s="2569">
        <f>D429+D437+D453+D471+D485</f>
        <v>35251315</v>
      </c>
      <c r="E428" s="2569">
        <f>E429+E434+E437+E453+E471+E485</f>
        <v>63167793</v>
      </c>
      <c r="F428" s="2570">
        <f>F429+F434+F437+F453+F471+F485</f>
        <v>59394945.12</v>
      </c>
      <c r="G428" s="2571">
        <f t="shared" si="22"/>
        <v>0.9402726025270504</v>
      </c>
    </row>
    <row r="429" spans="1:7" s="2221" customFormat="1" ht="20.25" customHeight="1" thickBot="1" thickTop="1">
      <c r="A429" s="2572">
        <v>600</v>
      </c>
      <c r="B429" s="2573"/>
      <c r="C429" s="217" t="s">
        <v>147</v>
      </c>
      <c r="D429" s="2574">
        <f>D430</f>
        <v>25916879</v>
      </c>
      <c r="E429" s="2574">
        <f>E430+E432</f>
        <v>48679555</v>
      </c>
      <c r="F429" s="2105">
        <f>F430+F432</f>
        <v>45707124.33</v>
      </c>
      <c r="G429" s="2106">
        <f t="shared" si="22"/>
        <v>0.9389388282205948</v>
      </c>
    </row>
    <row r="430" spans="1:7" s="2221" customFormat="1" ht="20.25" customHeight="1">
      <c r="A430" s="2575"/>
      <c r="B430" s="2576">
        <v>60015</v>
      </c>
      <c r="C430" s="2577" t="s">
        <v>153</v>
      </c>
      <c r="D430" s="2565">
        <f>D431</f>
        <v>25916879</v>
      </c>
      <c r="E430" s="2565">
        <f>E431</f>
        <v>34679555</v>
      </c>
      <c r="F430" s="2271">
        <f>SUM(F431:F431)</f>
        <v>32849360.33</v>
      </c>
      <c r="G430" s="130">
        <f t="shared" si="22"/>
        <v>0.9472255434073475</v>
      </c>
    </row>
    <row r="431" spans="1:7" s="2406" customFormat="1" ht="26.25" customHeight="1">
      <c r="A431" s="2578"/>
      <c r="B431" s="2579"/>
      <c r="C431" s="2580" t="s">
        <v>1090</v>
      </c>
      <c r="D431" s="2581">
        <v>25916879</v>
      </c>
      <c r="E431" s="2581">
        <v>34679555</v>
      </c>
      <c r="F431" s="2582">
        <v>32849360.33</v>
      </c>
      <c r="G431" s="2583">
        <f t="shared" si="22"/>
        <v>0.9472255434073475</v>
      </c>
    </row>
    <row r="432" spans="1:7" s="2221" customFormat="1" ht="20.25" customHeight="1">
      <c r="A432" s="2575"/>
      <c r="B432" s="2584">
        <v>60095</v>
      </c>
      <c r="C432" s="52" t="s">
        <v>13</v>
      </c>
      <c r="D432" s="2585"/>
      <c r="E432" s="2585">
        <f>E433</f>
        <v>14000000</v>
      </c>
      <c r="F432" s="2262">
        <f>F433</f>
        <v>12857764</v>
      </c>
      <c r="G432" s="2586">
        <f t="shared" si="22"/>
        <v>0.9184117142857143</v>
      </c>
    </row>
    <row r="433" spans="1:7" s="2406" customFormat="1" ht="27.75" customHeight="1">
      <c r="A433" s="2587"/>
      <c r="B433" s="2579"/>
      <c r="C433" s="2470" t="s">
        <v>1091</v>
      </c>
      <c r="D433" s="2581"/>
      <c r="E433" s="2581">
        <v>14000000</v>
      </c>
      <c r="F433" s="2582">
        <v>12857764</v>
      </c>
      <c r="G433" s="2583">
        <f t="shared" si="22"/>
        <v>0.9184117142857143</v>
      </c>
    </row>
    <row r="434" spans="1:7" ht="20.25" customHeight="1" thickBot="1">
      <c r="A434" s="2588">
        <v>754</v>
      </c>
      <c r="B434" s="2589"/>
      <c r="C434" s="2590" t="s">
        <v>200</v>
      </c>
      <c r="D434" s="2591"/>
      <c r="E434" s="2591">
        <f>E435</f>
        <v>620659</v>
      </c>
      <c r="F434" s="2592">
        <f>F435</f>
        <v>620658.5</v>
      </c>
      <c r="G434" s="2593">
        <f t="shared" si="22"/>
        <v>0.999999194404657</v>
      </c>
    </row>
    <row r="435" spans="1:7" s="2221" customFormat="1" ht="20.25" customHeight="1">
      <c r="A435" s="2594"/>
      <c r="B435" s="2595">
        <v>75411</v>
      </c>
      <c r="C435" s="2596" t="s">
        <v>205</v>
      </c>
      <c r="D435" s="2597"/>
      <c r="E435" s="2597">
        <f>E436</f>
        <v>620659</v>
      </c>
      <c r="F435" s="2094">
        <f>F436</f>
        <v>620658.5</v>
      </c>
      <c r="G435" s="2095">
        <f t="shared" si="22"/>
        <v>0.999999194404657</v>
      </c>
    </row>
    <row r="436" spans="1:7" ht="51.75" customHeight="1">
      <c r="A436" s="2598"/>
      <c r="B436" s="2599"/>
      <c r="C436" s="2580" t="s">
        <v>1146</v>
      </c>
      <c r="D436" s="2600"/>
      <c r="E436" s="2600">
        <v>620659</v>
      </c>
      <c r="F436" s="2601">
        <v>620658.5</v>
      </c>
      <c r="G436" s="2602">
        <f t="shared" si="22"/>
        <v>0.999999194404657</v>
      </c>
    </row>
    <row r="437" spans="1:7" ht="19.5" customHeight="1" thickBot="1">
      <c r="A437" s="2603">
        <v>801</v>
      </c>
      <c r="B437" s="2604"/>
      <c r="C437" s="2605" t="s">
        <v>42</v>
      </c>
      <c r="D437" s="2606">
        <f>D440+D443+D449</f>
        <v>809060</v>
      </c>
      <c r="E437" s="2606">
        <f>E438+E440+E443+E447+E449+E451</f>
        <v>353014</v>
      </c>
      <c r="F437" s="2607">
        <f>F440+F443+F447+F449+F438+F451</f>
        <v>321108.2799999999</v>
      </c>
      <c r="G437" s="2608">
        <f t="shared" si="22"/>
        <v>0.9096191085905939</v>
      </c>
    </row>
    <row r="438" spans="1:7" s="2221" customFormat="1" ht="19.5" customHeight="1">
      <c r="A438" s="2575"/>
      <c r="B438" s="2576">
        <v>80102</v>
      </c>
      <c r="C438" s="2284" t="s">
        <v>243</v>
      </c>
      <c r="D438" s="2609"/>
      <c r="E438" s="2609">
        <f>E439</f>
        <v>1462</v>
      </c>
      <c r="F438" s="2109">
        <f>F439</f>
        <v>810.1</v>
      </c>
      <c r="G438" s="2110">
        <f t="shared" si="22"/>
        <v>0.5541039671682627</v>
      </c>
    </row>
    <row r="439" spans="1:7" ht="27.75" customHeight="1">
      <c r="A439" s="2610"/>
      <c r="B439" s="2599"/>
      <c r="C439" s="2324" t="s">
        <v>1000</v>
      </c>
      <c r="D439" s="2600"/>
      <c r="E439" s="2600">
        <v>1462</v>
      </c>
      <c r="F439" s="2601">
        <v>810.1</v>
      </c>
      <c r="G439" s="2611">
        <f t="shared" si="22"/>
        <v>0.5541039671682627</v>
      </c>
    </row>
    <row r="440" spans="1:7" s="2221" customFormat="1" ht="18.75" customHeight="1">
      <c r="A440" s="2575"/>
      <c r="B440" s="2576">
        <v>80120</v>
      </c>
      <c r="C440" s="2577" t="s">
        <v>47</v>
      </c>
      <c r="D440" s="2609">
        <f>D441+D442</f>
        <v>1120</v>
      </c>
      <c r="E440" s="2609">
        <f>E441+E442</f>
        <v>220100</v>
      </c>
      <c r="F440" s="2109">
        <f>F441+F442</f>
        <v>220217.24</v>
      </c>
      <c r="G440" s="2110">
        <f t="shared" si="22"/>
        <v>1.0005326669695593</v>
      </c>
    </row>
    <row r="441" spans="1:7" ht="27.75" customHeight="1">
      <c r="A441" s="2598"/>
      <c r="B441" s="2599"/>
      <c r="C441" s="2580" t="s">
        <v>996</v>
      </c>
      <c r="D441" s="2600">
        <v>1120</v>
      </c>
      <c r="E441" s="2600">
        <v>20100</v>
      </c>
      <c r="F441" s="2601">
        <f>20031.58+185.66</f>
        <v>20217.24</v>
      </c>
      <c r="G441" s="2602">
        <f t="shared" si="22"/>
        <v>1.0058328358208957</v>
      </c>
    </row>
    <row r="442" spans="1:7" ht="27.75" customHeight="1">
      <c r="A442" s="2610"/>
      <c r="B442" s="2612"/>
      <c r="C442" s="2613" t="s">
        <v>1092</v>
      </c>
      <c r="D442" s="2505"/>
      <c r="E442" s="2505">
        <v>200000</v>
      </c>
      <c r="F442" s="2506">
        <v>200000</v>
      </c>
      <c r="G442" s="2507">
        <f t="shared" si="22"/>
        <v>1</v>
      </c>
    </row>
    <row r="443" spans="1:7" s="2221" customFormat="1" ht="18.75" customHeight="1">
      <c r="A443" s="2575"/>
      <c r="B443" s="2576">
        <v>80130</v>
      </c>
      <c r="C443" s="2577" t="s">
        <v>51</v>
      </c>
      <c r="D443" s="2609">
        <f>SUM(D444:D446)</f>
        <v>803800</v>
      </c>
      <c r="E443" s="2609">
        <f>SUM(E444:E446)</f>
        <v>65709</v>
      </c>
      <c r="F443" s="2109">
        <f>F444+F445+F446</f>
        <v>65338.72</v>
      </c>
      <c r="G443" s="2110">
        <f t="shared" si="22"/>
        <v>0.9943648510858483</v>
      </c>
    </row>
    <row r="444" spans="1:7" ht="26.25" customHeight="1">
      <c r="A444" s="2610"/>
      <c r="B444" s="2614"/>
      <c r="C444" s="2615" t="s">
        <v>996</v>
      </c>
      <c r="D444" s="2616">
        <v>3800</v>
      </c>
      <c r="E444" s="2616">
        <v>19209</v>
      </c>
      <c r="F444" s="2617">
        <f>18970.79+127.48</f>
        <v>19098.27</v>
      </c>
      <c r="G444" s="2618">
        <f t="shared" si="22"/>
        <v>0.9942355146025301</v>
      </c>
    </row>
    <row r="445" spans="1:7" ht="26.25" customHeight="1">
      <c r="A445" s="2610"/>
      <c r="B445" s="2614"/>
      <c r="C445" s="2615" t="s">
        <v>1093</v>
      </c>
      <c r="D445" s="2616"/>
      <c r="E445" s="2616">
        <v>46500</v>
      </c>
      <c r="F445" s="2617">
        <v>46240.45</v>
      </c>
      <c r="G445" s="2618">
        <f t="shared" si="22"/>
        <v>0.9944182795698924</v>
      </c>
    </row>
    <row r="446" spans="1:7" ht="19.5" customHeight="1">
      <c r="A446" s="2610"/>
      <c r="B446" s="2612"/>
      <c r="C446" s="325" t="s">
        <v>1001</v>
      </c>
      <c r="D446" s="2505">
        <v>800000</v>
      </c>
      <c r="E446" s="2505"/>
      <c r="F446" s="2506"/>
      <c r="G446" s="2507"/>
    </row>
    <row r="447" spans="1:7" s="2221" customFormat="1" ht="19.5" customHeight="1">
      <c r="A447" s="2575"/>
      <c r="B447" s="2576">
        <v>80132</v>
      </c>
      <c r="C447" s="2577" t="s">
        <v>259</v>
      </c>
      <c r="D447" s="2609"/>
      <c r="E447" s="2609">
        <f>E448</f>
        <v>29100</v>
      </c>
      <c r="F447" s="2109"/>
      <c r="G447" s="2110"/>
    </row>
    <row r="448" spans="1:7" ht="26.25" customHeight="1">
      <c r="A448" s="2610"/>
      <c r="B448" s="2612"/>
      <c r="C448" s="2613" t="s">
        <v>1094</v>
      </c>
      <c r="D448" s="2505"/>
      <c r="E448" s="2505">
        <v>29100</v>
      </c>
      <c r="F448" s="2506"/>
      <c r="G448" s="2507"/>
    </row>
    <row r="449" spans="1:7" s="2221" customFormat="1" ht="18.75" customHeight="1">
      <c r="A449" s="2575"/>
      <c r="B449" s="2576">
        <v>80140</v>
      </c>
      <c r="C449" s="2577" t="s">
        <v>262</v>
      </c>
      <c r="D449" s="2609">
        <f>D450</f>
        <v>4140</v>
      </c>
      <c r="E449" s="2609">
        <f>E450</f>
        <v>25043</v>
      </c>
      <c r="F449" s="2109">
        <f>F450</f>
        <v>23142.22</v>
      </c>
      <c r="G449" s="2110">
        <f aca="true" t="shared" si="23" ref="G449:G468">F449/E449</f>
        <v>0.9240993491195145</v>
      </c>
    </row>
    <row r="450" spans="1:7" ht="27.75" customHeight="1">
      <c r="A450" s="2610"/>
      <c r="B450" s="2599"/>
      <c r="C450" s="2580" t="s">
        <v>996</v>
      </c>
      <c r="D450" s="2600">
        <v>4140</v>
      </c>
      <c r="E450" s="2600">
        <v>25043</v>
      </c>
      <c r="F450" s="2601">
        <f>22886.99+255.23</f>
        <v>23142.22</v>
      </c>
      <c r="G450" s="2602">
        <f t="shared" si="23"/>
        <v>0.9240993491195145</v>
      </c>
    </row>
    <row r="451" spans="1:7" s="2221" customFormat="1" ht="19.5" customHeight="1">
      <c r="A451" s="2575"/>
      <c r="B451" s="2576">
        <v>80195</v>
      </c>
      <c r="C451" s="2284" t="s">
        <v>13</v>
      </c>
      <c r="D451" s="2609"/>
      <c r="E451" s="2609">
        <f>E452</f>
        <v>11600</v>
      </c>
      <c r="F451" s="2109">
        <f>F452</f>
        <v>11600</v>
      </c>
      <c r="G451" s="2619">
        <f t="shared" si="23"/>
        <v>1</v>
      </c>
    </row>
    <row r="452" spans="1:7" ht="25.5">
      <c r="A452" s="2598"/>
      <c r="B452" s="2599"/>
      <c r="C452" s="2324" t="s">
        <v>1003</v>
      </c>
      <c r="D452" s="2600"/>
      <c r="E452" s="2600">
        <v>11600</v>
      </c>
      <c r="F452" s="2601">
        <v>11600</v>
      </c>
      <c r="G452" s="2602">
        <f t="shared" si="23"/>
        <v>1</v>
      </c>
    </row>
    <row r="453" spans="1:7" ht="19.5" customHeight="1" thickBot="1">
      <c r="A453" s="2588">
        <v>852</v>
      </c>
      <c r="B453" s="2620"/>
      <c r="C453" s="2621" t="s">
        <v>54</v>
      </c>
      <c r="D453" s="2591">
        <f>D454+D458</f>
        <v>7657000</v>
      </c>
      <c r="E453" s="2591">
        <f>E454+E458+E466+E469</f>
        <v>10197114</v>
      </c>
      <c r="F453" s="2592">
        <f>F454+F458+F466+F469</f>
        <v>9838319.009999998</v>
      </c>
      <c r="G453" s="2593">
        <f t="shared" si="23"/>
        <v>0.9648140650384018</v>
      </c>
    </row>
    <row r="454" spans="1:7" ht="19.5" customHeight="1">
      <c r="A454" s="2594"/>
      <c r="B454" s="2595">
        <v>85201</v>
      </c>
      <c r="C454" s="2622" t="s">
        <v>837</v>
      </c>
      <c r="D454" s="2597"/>
      <c r="E454" s="2597">
        <f>SUM(E455:E457)</f>
        <v>865554</v>
      </c>
      <c r="F454" s="2094">
        <f>SUM(F455:F457)</f>
        <v>730639.79</v>
      </c>
      <c r="G454" s="2095">
        <f t="shared" si="23"/>
        <v>0.8441296441354323</v>
      </c>
    </row>
    <row r="455" spans="1:7" ht="27" customHeight="1">
      <c r="A455" s="2610"/>
      <c r="B455" s="2623"/>
      <c r="C455" s="2624" t="s">
        <v>1007</v>
      </c>
      <c r="D455" s="2625"/>
      <c r="E455" s="2309">
        <v>15000</v>
      </c>
      <c r="F455" s="2310">
        <v>15000</v>
      </c>
      <c r="G455" s="131">
        <f t="shared" si="23"/>
        <v>1</v>
      </c>
    </row>
    <row r="456" spans="1:7" ht="27" customHeight="1">
      <c r="A456" s="2610"/>
      <c r="B456" s="2614"/>
      <c r="C456" s="2626" t="s">
        <v>1095</v>
      </c>
      <c r="D456" s="2627"/>
      <c r="E456" s="2527">
        <v>77680</v>
      </c>
      <c r="F456" s="2313">
        <v>29999.8</v>
      </c>
      <c r="G456" s="2314">
        <f t="shared" si="23"/>
        <v>0.386197219361483</v>
      </c>
    </row>
    <row r="457" spans="1:7" ht="26.25" customHeight="1">
      <c r="A457" s="2610"/>
      <c r="B457" s="2612"/>
      <c r="C457" s="2628" t="s">
        <v>1096</v>
      </c>
      <c r="D457" s="2629"/>
      <c r="E457" s="2629">
        <v>772874</v>
      </c>
      <c r="F457" s="2630">
        <v>685639.99</v>
      </c>
      <c r="G457" s="2631">
        <f t="shared" si="23"/>
        <v>0.8871303601880772</v>
      </c>
    </row>
    <row r="458" spans="1:7" ht="19.5" customHeight="1">
      <c r="A458" s="2575"/>
      <c r="B458" s="2576">
        <v>85202</v>
      </c>
      <c r="C458" s="2632" t="s">
        <v>57</v>
      </c>
      <c r="D458" s="2633">
        <f>SUM(D459:D460)</f>
        <v>7657000</v>
      </c>
      <c r="E458" s="2633">
        <f>SUM(E459:E465)</f>
        <v>9197810</v>
      </c>
      <c r="F458" s="2634">
        <f>SUM(F459:F465)</f>
        <v>8976929.219999999</v>
      </c>
      <c r="G458" s="2635">
        <f t="shared" si="23"/>
        <v>0.9759855030708395</v>
      </c>
    </row>
    <row r="459" spans="1:7" ht="19.5" customHeight="1">
      <c r="A459" s="2610"/>
      <c r="B459" s="2614"/>
      <c r="C459" s="2636" t="s">
        <v>1097</v>
      </c>
      <c r="D459" s="2637">
        <v>7657000</v>
      </c>
      <c r="E459" s="2637">
        <v>7506000</v>
      </c>
      <c r="F459" s="2638">
        <v>7506000</v>
      </c>
      <c r="G459" s="2639">
        <f t="shared" si="23"/>
        <v>1</v>
      </c>
    </row>
    <row r="460" spans="1:7" ht="19.5" customHeight="1">
      <c r="A460" s="2610"/>
      <c r="B460" s="2614"/>
      <c r="C460" s="2615" t="s">
        <v>1098</v>
      </c>
      <c r="D460" s="2627"/>
      <c r="E460" s="2627">
        <v>390000</v>
      </c>
      <c r="F460" s="2640">
        <v>258010.89</v>
      </c>
      <c r="G460" s="2639">
        <f t="shared" si="23"/>
        <v>0.6615663846153846</v>
      </c>
    </row>
    <row r="461" spans="1:7" ht="26.25" customHeight="1">
      <c r="A461" s="2610"/>
      <c r="B461" s="2614"/>
      <c r="C461" s="2615" t="s">
        <v>1099</v>
      </c>
      <c r="D461" s="2627"/>
      <c r="E461" s="2627">
        <v>263000</v>
      </c>
      <c r="F461" s="2640">
        <v>263000</v>
      </c>
      <c r="G461" s="2641">
        <f t="shared" si="23"/>
        <v>1</v>
      </c>
    </row>
    <row r="462" spans="1:7" ht="39" customHeight="1">
      <c r="A462" s="2610"/>
      <c r="B462" s="2614"/>
      <c r="C462" s="2636" t="s">
        <v>1100</v>
      </c>
      <c r="D462" s="2637"/>
      <c r="E462" s="2637">
        <v>97000</v>
      </c>
      <c r="F462" s="2638">
        <v>68496.1</v>
      </c>
      <c r="G462" s="2639">
        <f t="shared" si="23"/>
        <v>0.7061453608247423</v>
      </c>
    </row>
    <row r="463" spans="1:7" ht="26.25" customHeight="1">
      <c r="A463" s="2610"/>
      <c r="B463" s="2614"/>
      <c r="C463" s="2615" t="s">
        <v>1007</v>
      </c>
      <c r="D463" s="2627"/>
      <c r="E463" s="2627">
        <v>30000</v>
      </c>
      <c r="F463" s="2640">
        <v>30000</v>
      </c>
      <c r="G463" s="2641">
        <f t="shared" si="23"/>
        <v>1</v>
      </c>
    </row>
    <row r="464" spans="1:7" ht="19.5" customHeight="1">
      <c r="A464" s="2610"/>
      <c r="B464" s="2614"/>
      <c r="C464" s="2636" t="s">
        <v>1004</v>
      </c>
      <c r="D464" s="2637"/>
      <c r="E464" s="2637">
        <v>394100</v>
      </c>
      <c r="F464" s="2638">
        <v>336980</v>
      </c>
      <c r="G464" s="2639">
        <f t="shared" si="23"/>
        <v>0.8550621669626999</v>
      </c>
    </row>
    <row r="465" spans="1:7" ht="28.5" customHeight="1">
      <c r="A465" s="2598"/>
      <c r="B465" s="2612"/>
      <c r="C465" s="2613" t="s">
        <v>1096</v>
      </c>
      <c r="D465" s="2642"/>
      <c r="E465" s="2642">
        <v>517710</v>
      </c>
      <c r="F465" s="2643">
        <v>514442.23</v>
      </c>
      <c r="G465" s="2644">
        <f t="shared" si="23"/>
        <v>0.9936880299781731</v>
      </c>
    </row>
    <row r="466" spans="1:7" ht="25.5" customHeight="1">
      <c r="A466" s="2575"/>
      <c r="B466" s="2576">
        <v>85220</v>
      </c>
      <c r="C466" s="2577" t="s">
        <v>650</v>
      </c>
      <c r="D466" s="2609"/>
      <c r="E466" s="2609">
        <f>E467+E468</f>
        <v>130750</v>
      </c>
      <c r="F466" s="2109">
        <f>SUM(F467:F468)</f>
        <v>130750</v>
      </c>
      <c r="G466" s="2110">
        <f t="shared" si="23"/>
        <v>1</v>
      </c>
    </row>
    <row r="467" spans="1:7" ht="27.75" customHeight="1">
      <c r="A467" s="2610"/>
      <c r="B467" s="2623"/>
      <c r="C467" s="2624" t="s">
        <v>1007</v>
      </c>
      <c r="D467" s="2625"/>
      <c r="E467" s="2625">
        <v>4750</v>
      </c>
      <c r="F467" s="2114">
        <v>4750</v>
      </c>
      <c r="G467" s="2115">
        <f t="shared" si="23"/>
        <v>1</v>
      </c>
    </row>
    <row r="468" spans="1:7" ht="30" customHeight="1">
      <c r="A468" s="2610"/>
      <c r="B468" s="2612"/>
      <c r="C468" s="2613" t="s">
        <v>1101</v>
      </c>
      <c r="D468" s="2642"/>
      <c r="E468" s="2642">
        <v>126000</v>
      </c>
      <c r="F468" s="2643">
        <v>126000</v>
      </c>
      <c r="G468" s="2644">
        <f t="shared" si="23"/>
        <v>1</v>
      </c>
    </row>
    <row r="469" spans="1:7" ht="19.5" customHeight="1">
      <c r="A469" s="2575"/>
      <c r="B469" s="2576">
        <v>85226</v>
      </c>
      <c r="C469" s="2577" t="s">
        <v>1102</v>
      </c>
      <c r="D469" s="2609"/>
      <c r="E469" s="2609">
        <f>E470</f>
        <v>3000</v>
      </c>
      <c r="F469" s="2109"/>
      <c r="G469" s="2110"/>
    </row>
    <row r="470" spans="1:7" ht="26.25" customHeight="1">
      <c r="A470" s="2598"/>
      <c r="B470" s="2612"/>
      <c r="C470" s="2613" t="s">
        <v>1007</v>
      </c>
      <c r="D470" s="2642"/>
      <c r="E470" s="2642">
        <v>3000</v>
      </c>
      <c r="F470" s="2643"/>
      <c r="G470" s="2644"/>
    </row>
    <row r="471" spans="1:7" s="2221" customFormat="1" ht="19.5" customHeight="1" thickBot="1">
      <c r="A471" s="2603">
        <v>853</v>
      </c>
      <c r="B471" s="2604"/>
      <c r="C471" s="213" t="s">
        <v>737</v>
      </c>
      <c r="D471" s="2392">
        <f>D472+D474+D476</f>
        <v>863246</v>
      </c>
      <c r="E471" s="2392">
        <f>E472+E474+E476+E483</f>
        <v>1123607</v>
      </c>
      <c r="F471" s="2348">
        <f>F472+F474+F476+F483</f>
        <v>950237.08</v>
      </c>
      <c r="G471" s="2349">
        <f aca="true" t="shared" si="24" ref="G471:G481">F471/E471</f>
        <v>0.8457023496649629</v>
      </c>
    </row>
    <row r="472" spans="1:7" s="2221" customFormat="1" ht="19.5" customHeight="1">
      <c r="A472" s="2575"/>
      <c r="B472" s="2576">
        <v>85322</v>
      </c>
      <c r="C472" s="2577" t="s">
        <v>1103</v>
      </c>
      <c r="D472" s="2220">
        <f>D473</f>
        <v>550000</v>
      </c>
      <c r="E472" s="2220">
        <f>E473</f>
        <v>549400</v>
      </c>
      <c r="F472" s="2202">
        <f>F473</f>
        <v>549400</v>
      </c>
      <c r="G472" s="2203">
        <f t="shared" si="24"/>
        <v>1</v>
      </c>
    </row>
    <row r="473" spans="1:7" s="2221" customFormat="1" ht="29.25" customHeight="1">
      <c r="A473" s="2610"/>
      <c r="B473" s="2599"/>
      <c r="C473" s="2580" t="s">
        <v>1104</v>
      </c>
      <c r="D473" s="2136">
        <v>550000</v>
      </c>
      <c r="E473" s="2136">
        <v>549400</v>
      </c>
      <c r="F473" s="2137">
        <v>549400</v>
      </c>
      <c r="G473" s="2138">
        <f t="shared" si="24"/>
        <v>1</v>
      </c>
    </row>
    <row r="474" spans="1:7" s="2221" customFormat="1" ht="19.5" customHeight="1">
      <c r="A474" s="2575"/>
      <c r="B474" s="2576">
        <v>85324</v>
      </c>
      <c r="C474" s="2577" t="s">
        <v>1105</v>
      </c>
      <c r="D474" s="2220">
        <f>D475</f>
        <v>190000</v>
      </c>
      <c r="E474" s="2220">
        <f>E475</f>
        <v>190000</v>
      </c>
      <c r="F474" s="2202">
        <f>F475</f>
        <v>207299.6</v>
      </c>
      <c r="G474" s="2203">
        <f t="shared" si="24"/>
        <v>1.0910505263157895</v>
      </c>
    </row>
    <row r="475" spans="1:7" s="2221" customFormat="1" ht="26.25" customHeight="1">
      <c r="A475" s="2610"/>
      <c r="B475" s="2599"/>
      <c r="C475" s="2580" t="s">
        <v>1106</v>
      </c>
      <c r="D475" s="2136">
        <v>190000</v>
      </c>
      <c r="E475" s="2136">
        <v>190000</v>
      </c>
      <c r="F475" s="2137">
        <v>207299.6</v>
      </c>
      <c r="G475" s="2138">
        <f t="shared" si="24"/>
        <v>1.0910505263157895</v>
      </c>
    </row>
    <row r="476" spans="1:7" s="2221" customFormat="1" ht="19.5" customHeight="1">
      <c r="A476" s="2575"/>
      <c r="B476" s="2576">
        <v>85333</v>
      </c>
      <c r="C476" s="2577" t="s">
        <v>667</v>
      </c>
      <c r="D476" s="2220">
        <f>SUM(D477:D482)</f>
        <v>123246</v>
      </c>
      <c r="E476" s="2220">
        <f>SUM(E477:E482)</f>
        <v>318207</v>
      </c>
      <c r="F476" s="2202">
        <f>F477+F478+F479+F480+F481+F482</f>
        <v>193537.47999999998</v>
      </c>
      <c r="G476" s="2203">
        <f t="shared" si="24"/>
        <v>0.6082125157523247</v>
      </c>
    </row>
    <row r="477" spans="1:7" s="2649" customFormat="1" ht="19.5" customHeight="1">
      <c r="A477" s="2645"/>
      <c r="B477" s="2646"/>
      <c r="C477" s="2647" t="s">
        <v>1107</v>
      </c>
      <c r="D477" s="2648">
        <v>31358</v>
      </c>
      <c r="E477" s="2266">
        <v>31358</v>
      </c>
      <c r="F477" s="2267">
        <v>14979.68</v>
      </c>
      <c r="G477" s="2268">
        <f t="shared" si="24"/>
        <v>0.47769883283372666</v>
      </c>
    </row>
    <row r="478" spans="1:7" s="2649" customFormat="1" ht="19.5" customHeight="1">
      <c r="A478" s="2645"/>
      <c r="B478" s="2646"/>
      <c r="C478" s="2650" t="s">
        <v>1108</v>
      </c>
      <c r="D478" s="2651">
        <v>36257</v>
      </c>
      <c r="E478" s="2555">
        <v>36257</v>
      </c>
      <c r="F478" s="2556">
        <v>14589.58</v>
      </c>
      <c r="G478" s="2557">
        <f t="shared" si="24"/>
        <v>0.40239346884739496</v>
      </c>
    </row>
    <row r="479" spans="1:7" s="2649" customFormat="1" ht="19.5" customHeight="1">
      <c r="A479" s="2645"/>
      <c r="B479" s="2646"/>
      <c r="C479" s="2647" t="s">
        <v>1109</v>
      </c>
      <c r="D479" s="2652">
        <v>55631</v>
      </c>
      <c r="E479" s="2527">
        <v>55631</v>
      </c>
      <c r="F479" s="2313">
        <f>55290.38+94.83</f>
        <v>55385.21</v>
      </c>
      <c r="G479" s="2314">
        <f t="shared" si="24"/>
        <v>0.9955817799428376</v>
      </c>
    </row>
    <row r="480" spans="1:7" s="2649" customFormat="1" ht="19.5" customHeight="1">
      <c r="A480" s="2645"/>
      <c r="B480" s="2646"/>
      <c r="C480" s="2647" t="s">
        <v>1110</v>
      </c>
      <c r="D480" s="2652"/>
      <c r="E480" s="2527">
        <v>85452</v>
      </c>
      <c r="F480" s="2313">
        <f>76.37+39316.68</f>
        <v>39393.05</v>
      </c>
      <c r="G480" s="2314">
        <f t="shared" si="24"/>
        <v>0.4609962318026495</v>
      </c>
    </row>
    <row r="481" spans="1:7" s="2649" customFormat="1" ht="30.75" customHeight="1">
      <c r="A481" s="2645"/>
      <c r="B481" s="2646"/>
      <c r="C481" s="2615" t="s">
        <v>1111</v>
      </c>
      <c r="D481" s="2652"/>
      <c r="E481" s="2527">
        <v>109509</v>
      </c>
      <c r="F481" s="2313">
        <f>239.13+51199.21</f>
        <v>51438.34</v>
      </c>
      <c r="G481" s="2314">
        <f t="shared" si="24"/>
        <v>0.4697179227278123</v>
      </c>
    </row>
    <row r="482" spans="1:7" ht="19.5" customHeight="1">
      <c r="A482" s="2610"/>
      <c r="B482" s="2612"/>
      <c r="C482" s="2653" t="s">
        <v>1112</v>
      </c>
      <c r="D482" s="2241"/>
      <c r="E482" s="2241"/>
      <c r="F482" s="2242">
        <v>17751.62</v>
      </c>
      <c r="G482" s="2243"/>
    </row>
    <row r="483" spans="1:7" s="2221" customFormat="1" ht="19.5" customHeight="1">
      <c r="A483" s="2575"/>
      <c r="B483" s="2576">
        <v>85395</v>
      </c>
      <c r="C483" s="2577" t="s">
        <v>13</v>
      </c>
      <c r="D483" s="2220"/>
      <c r="E483" s="2220">
        <f>E484</f>
        <v>66000</v>
      </c>
      <c r="F483" s="2202"/>
      <c r="G483" s="2203"/>
    </row>
    <row r="484" spans="1:7" s="2221" customFormat="1" ht="19.5" customHeight="1">
      <c r="A484" s="2598"/>
      <c r="B484" s="2599"/>
      <c r="C484" s="2580" t="s">
        <v>1004</v>
      </c>
      <c r="D484" s="2136"/>
      <c r="E484" s="2136">
        <v>66000</v>
      </c>
      <c r="F484" s="2137"/>
      <c r="G484" s="2138"/>
    </row>
    <row r="485" spans="1:7" ht="19.5" customHeight="1" thickBot="1">
      <c r="A485" s="2575">
        <v>854</v>
      </c>
      <c r="B485" s="2654"/>
      <c r="C485" s="2655" t="s">
        <v>27</v>
      </c>
      <c r="D485" s="2409">
        <f>D486+D490</f>
        <v>5130</v>
      </c>
      <c r="E485" s="2409">
        <f>E486+E490</f>
        <v>2193844</v>
      </c>
      <c r="F485" s="2343">
        <f>F486+F490</f>
        <v>1957497.92</v>
      </c>
      <c r="G485" s="2344">
        <f aca="true" t="shared" si="25" ref="G485:G492">F485/E485</f>
        <v>0.8922685113435594</v>
      </c>
    </row>
    <row r="486" spans="1:7" s="2221" customFormat="1" ht="19.5" customHeight="1">
      <c r="A486" s="2594"/>
      <c r="B486" s="2595">
        <v>85403</v>
      </c>
      <c r="C486" s="2596" t="s">
        <v>61</v>
      </c>
      <c r="D486" s="2656">
        <f>D487</f>
        <v>5130</v>
      </c>
      <c r="E486" s="2657">
        <f>SUM(E487:E489)</f>
        <v>2094244</v>
      </c>
      <c r="F486" s="2658">
        <f>SUM(F487:F489)</f>
        <v>1857897.92</v>
      </c>
      <c r="G486" s="2659">
        <f t="shared" si="25"/>
        <v>0.8871449172111749</v>
      </c>
    </row>
    <row r="487" spans="1:7" s="2384" customFormat="1" ht="26.25" customHeight="1">
      <c r="A487" s="2578"/>
      <c r="B487" s="2623"/>
      <c r="C487" s="2624" t="s">
        <v>996</v>
      </c>
      <c r="D487" s="2660">
        <v>5130</v>
      </c>
      <c r="E487" s="2309">
        <v>5130</v>
      </c>
      <c r="F487" s="2310">
        <f>3856.62+286.85</f>
        <v>4143.47</v>
      </c>
      <c r="G487" s="2560">
        <f t="shared" si="25"/>
        <v>0.8076939571150098</v>
      </c>
    </row>
    <row r="488" spans="1:7" s="2384" customFormat="1" ht="18" customHeight="1">
      <c r="A488" s="2578"/>
      <c r="B488" s="2614"/>
      <c r="C488" s="2615" t="s">
        <v>1113</v>
      </c>
      <c r="D488" s="2652"/>
      <c r="E488" s="2527">
        <v>5700</v>
      </c>
      <c r="F488" s="2313">
        <v>5433.24</v>
      </c>
      <c r="G488" s="2314">
        <f t="shared" si="25"/>
        <v>0.9531999999999999</v>
      </c>
    </row>
    <row r="489" spans="1:7" s="2384" customFormat="1" ht="26.25" customHeight="1">
      <c r="A489" s="2578"/>
      <c r="B489" s="2612"/>
      <c r="C489" s="2613" t="s">
        <v>1114</v>
      </c>
      <c r="D489" s="2661"/>
      <c r="E489" s="2554">
        <v>2083414</v>
      </c>
      <c r="F489" s="2321">
        <v>1848321.21</v>
      </c>
      <c r="G489" s="2322">
        <f t="shared" si="25"/>
        <v>0.8871598299713835</v>
      </c>
    </row>
    <row r="490" spans="1:7" ht="16.5" customHeight="1">
      <c r="A490" s="2575"/>
      <c r="B490" s="2576">
        <v>85415</v>
      </c>
      <c r="C490" s="2577" t="s">
        <v>114</v>
      </c>
      <c r="D490" s="2468"/>
      <c r="E490" s="2468">
        <f>E491</f>
        <v>99600</v>
      </c>
      <c r="F490" s="2318">
        <f>F491</f>
        <v>99600</v>
      </c>
      <c r="G490" s="2319">
        <f t="shared" si="25"/>
        <v>1</v>
      </c>
    </row>
    <row r="491" spans="1:7" s="2221" customFormat="1" ht="27" customHeight="1">
      <c r="A491" s="2598"/>
      <c r="B491" s="2599"/>
      <c r="C491" s="2580" t="s">
        <v>1115</v>
      </c>
      <c r="D491" s="2662"/>
      <c r="E491" s="2564">
        <v>99600</v>
      </c>
      <c r="F491" s="2516">
        <v>99600</v>
      </c>
      <c r="G491" s="128">
        <f t="shared" si="25"/>
        <v>1</v>
      </c>
    </row>
    <row r="492" spans="1:7" s="2221" customFormat="1" ht="26.25" thickBot="1">
      <c r="A492" s="2436"/>
      <c r="B492" s="312"/>
      <c r="C492" s="422" t="s">
        <v>1022</v>
      </c>
      <c r="D492" s="2663">
        <f>D496+D499+D512</f>
        <v>3651150</v>
      </c>
      <c r="E492" s="2663">
        <f>E493+E496+E499+E512+E516</f>
        <v>6604798</v>
      </c>
      <c r="F492" s="2664">
        <f>F493+F496+F499+F512+F516</f>
        <v>4810457.48</v>
      </c>
      <c r="G492" s="2665">
        <f t="shared" si="25"/>
        <v>0.7283277217562143</v>
      </c>
    </row>
    <row r="493" spans="1:7" ht="19.5" customHeight="1" thickBot="1" thickTop="1">
      <c r="A493" s="2224">
        <v>600</v>
      </c>
      <c r="B493" s="2666"/>
      <c r="C493" s="203" t="s">
        <v>147</v>
      </c>
      <c r="D493" s="2667"/>
      <c r="E493" s="2421">
        <f>E494</f>
        <v>1544500</v>
      </c>
      <c r="F493" s="2422"/>
      <c r="G493" s="2423"/>
    </row>
    <row r="494" spans="1:7" ht="18" customHeight="1">
      <c r="A494" s="2139"/>
      <c r="B494" s="2668" t="s">
        <v>1116</v>
      </c>
      <c r="C494" s="208" t="s">
        <v>153</v>
      </c>
      <c r="D494" s="2565"/>
      <c r="E494" s="2565">
        <f>E495</f>
        <v>1544500</v>
      </c>
      <c r="F494" s="2271"/>
      <c r="G494" s="130"/>
    </row>
    <row r="495" spans="1:7" ht="24.75" customHeight="1">
      <c r="A495" s="2078"/>
      <c r="B495" s="2669"/>
      <c r="C495" s="120" t="s">
        <v>1117</v>
      </c>
      <c r="D495" s="2581"/>
      <c r="E495" s="2581">
        <v>1544500</v>
      </c>
      <c r="F495" s="2582"/>
      <c r="G495" s="2583"/>
    </row>
    <row r="496" spans="1:7" ht="18" customHeight="1" thickBot="1">
      <c r="A496" s="2139">
        <v>754</v>
      </c>
      <c r="B496" s="2067"/>
      <c r="C496" s="2376" t="s">
        <v>200</v>
      </c>
      <c r="D496" s="2670"/>
      <c r="E496" s="2418">
        <f>E497</f>
        <v>7000</v>
      </c>
      <c r="F496" s="2088">
        <f>F497</f>
        <v>7000</v>
      </c>
      <c r="G496" s="2278">
        <f aca="true" t="shared" si="26" ref="G496:G501">F496/E496</f>
        <v>1</v>
      </c>
    </row>
    <row r="497" spans="1:7" ht="19.5" customHeight="1">
      <c r="A497" s="2279"/>
      <c r="B497" s="2671" t="s">
        <v>1118</v>
      </c>
      <c r="C497" s="2399" t="s">
        <v>205</v>
      </c>
      <c r="D497" s="2672"/>
      <c r="E497" s="2672">
        <f>E498</f>
        <v>7000</v>
      </c>
      <c r="F497" s="2673">
        <f>F498</f>
        <v>7000</v>
      </c>
      <c r="G497" s="2674">
        <f t="shared" si="26"/>
        <v>1</v>
      </c>
    </row>
    <row r="498" spans="1:7" ht="26.25" customHeight="1">
      <c r="A498" s="2078"/>
      <c r="B498" s="2675"/>
      <c r="C498" s="325" t="s">
        <v>1119</v>
      </c>
      <c r="D498" s="2642"/>
      <c r="E498" s="2642">
        <v>7000</v>
      </c>
      <c r="F498" s="2643">
        <v>7000</v>
      </c>
      <c r="G498" s="427">
        <f t="shared" si="26"/>
        <v>1</v>
      </c>
    </row>
    <row r="499" spans="1:7" s="2221" customFormat="1" ht="16.5" customHeight="1" thickBot="1">
      <c r="A499" s="2603">
        <v>852</v>
      </c>
      <c r="B499" s="2604"/>
      <c r="C499" s="2605" t="s">
        <v>54</v>
      </c>
      <c r="D499" s="2421">
        <f>D500+D503+D506</f>
        <v>2460000</v>
      </c>
      <c r="E499" s="2421">
        <f>E500+E503+E506+E510</f>
        <v>3251000</v>
      </c>
      <c r="F499" s="2667">
        <f>F500+F503+F506+F508+F510</f>
        <v>3086797.61</v>
      </c>
      <c r="G499" s="2537">
        <f t="shared" si="26"/>
        <v>0.9494917286988619</v>
      </c>
    </row>
    <row r="500" spans="1:7" s="2683" customFormat="1" ht="18.75" customHeight="1">
      <c r="A500" s="2676"/>
      <c r="B500" s="2677">
        <v>85201</v>
      </c>
      <c r="C500" s="2678" t="s">
        <v>837</v>
      </c>
      <c r="D500" s="2679">
        <f>D501</f>
        <v>2160000</v>
      </c>
      <c r="E500" s="2680">
        <f>E501</f>
        <v>2231000</v>
      </c>
      <c r="F500" s="2681">
        <f>SUM(F501:F502)</f>
        <v>2146847.52</v>
      </c>
      <c r="G500" s="2682">
        <f t="shared" si="26"/>
        <v>0.9622803765127745</v>
      </c>
    </row>
    <row r="501" spans="1:7" s="2133" customFormat="1" ht="26.25" customHeight="1">
      <c r="A501" s="2684"/>
      <c r="B501" s="2685"/>
      <c r="C501" s="2624" t="s">
        <v>1120</v>
      </c>
      <c r="D501" s="2660">
        <v>2160000</v>
      </c>
      <c r="E501" s="2686">
        <v>2231000</v>
      </c>
      <c r="F501" s="2687">
        <v>2143652.56</v>
      </c>
      <c r="G501" s="2688">
        <f t="shared" si="26"/>
        <v>0.9608483012102197</v>
      </c>
    </row>
    <row r="502" spans="1:7" s="2133" customFormat="1" ht="19.5" customHeight="1">
      <c r="A502" s="2684"/>
      <c r="B502" s="2689"/>
      <c r="C502" s="2613" t="s">
        <v>629</v>
      </c>
      <c r="D502" s="2661"/>
      <c r="E502" s="2690"/>
      <c r="F502" s="2691">
        <v>3194.96</v>
      </c>
      <c r="G502" s="2692"/>
    </row>
    <row r="503" spans="1:11" s="2221" customFormat="1" ht="19.5" customHeight="1">
      <c r="A503" s="2575"/>
      <c r="B503" s="2620">
        <v>85203</v>
      </c>
      <c r="C503" s="2567" t="s">
        <v>59</v>
      </c>
      <c r="D503" s="2585"/>
      <c r="E503" s="2693">
        <f>SUM(E504:E505)</f>
        <v>520000</v>
      </c>
      <c r="F503" s="2694">
        <f>SUM(F504:F505)</f>
        <v>511300</v>
      </c>
      <c r="G503" s="129">
        <f>F503/E503</f>
        <v>0.9832692307692308</v>
      </c>
      <c r="K503" s="128"/>
    </row>
    <row r="504" spans="1:7" s="2221" customFormat="1" ht="18.75" customHeight="1">
      <c r="A504" s="2610"/>
      <c r="B504" s="2623"/>
      <c r="C504" s="2695" t="s">
        <v>1004</v>
      </c>
      <c r="D504" s="2696"/>
      <c r="E504" s="2697">
        <v>53000</v>
      </c>
      <c r="F504" s="2562">
        <v>44300</v>
      </c>
      <c r="G504" s="2560">
        <f>F504/E504</f>
        <v>0.8358490566037736</v>
      </c>
    </row>
    <row r="505" spans="1:7" s="2221" customFormat="1" ht="18.75" customHeight="1">
      <c r="A505" s="2610"/>
      <c r="B505" s="2612"/>
      <c r="C505" s="2698" t="s">
        <v>1121</v>
      </c>
      <c r="D505" s="2699"/>
      <c r="E505" s="2700">
        <v>467000</v>
      </c>
      <c r="F505" s="2701">
        <v>467000</v>
      </c>
      <c r="G505" s="2533">
        <f>F505/E505</f>
        <v>1</v>
      </c>
    </row>
    <row r="506" spans="1:7" s="2221" customFormat="1" ht="19.5" customHeight="1">
      <c r="A506" s="2575"/>
      <c r="B506" s="2576">
        <v>85204</v>
      </c>
      <c r="C506" s="2567" t="s">
        <v>640</v>
      </c>
      <c r="D506" s="2585">
        <f>D507</f>
        <v>300000</v>
      </c>
      <c r="E506" s="2693">
        <f>E507</f>
        <v>300000</v>
      </c>
      <c r="F506" s="2694">
        <f>F507</f>
        <v>239447.77</v>
      </c>
      <c r="G506" s="129">
        <f>F506/E506</f>
        <v>0.7981592333333333</v>
      </c>
    </row>
    <row r="507" spans="1:7" s="2221" customFormat="1" ht="26.25" customHeight="1">
      <c r="A507" s="2610"/>
      <c r="B507" s="2599"/>
      <c r="C507" s="2580" t="s">
        <v>1122</v>
      </c>
      <c r="D507" s="2581">
        <v>300000</v>
      </c>
      <c r="E507" s="2702">
        <v>300000</v>
      </c>
      <c r="F507" s="2703">
        <v>239447.77</v>
      </c>
      <c r="G507" s="128">
        <f>F507/E507</f>
        <v>0.7981592333333333</v>
      </c>
    </row>
    <row r="508" spans="1:7" s="2221" customFormat="1" ht="19.5" customHeight="1">
      <c r="A508" s="2575"/>
      <c r="B508" s="2576">
        <v>85226</v>
      </c>
      <c r="C508" s="2567" t="s">
        <v>654</v>
      </c>
      <c r="D508" s="2585"/>
      <c r="E508" s="2693"/>
      <c r="F508" s="2694">
        <f>F509</f>
        <v>747</v>
      </c>
      <c r="G508" s="129"/>
    </row>
    <row r="509" spans="1:7" s="2221" customFormat="1" ht="19.5" customHeight="1">
      <c r="A509" s="2610"/>
      <c r="B509" s="2599"/>
      <c r="C509" s="2097" t="s">
        <v>1123</v>
      </c>
      <c r="D509" s="2581"/>
      <c r="E509" s="2702"/>
      <c r="F509" s="2703">
        <v>747</v>
      </c>
      <c r="G509" s="128"/>
    </row>
    <row r="510" spans="1:7" s="2221" customFormat="1" ht="19.5" customHeight="1">
      <c r="A510" s="2575"/>
      <c r="B510" s="2576">
        <v>85295</v>
      </c>
      <c r="C510" s="2567" t="s">
        <v>13</v>
      </c>
      <c r="D510" s="2585"/>
      <c r="E510" s="2693">
        <f>E511</f>
        <v>200000</v>
      </c>
      <c r="F510" s="2694">
        <f>F511</f>
        <v>188455.32</v>
      </c>
      <c r="G510" s="129">
        <f aca="true" t="shared" si="27" ref="G510:G522">F510/E510</f>
        <v>0.9422766</v>
      </c>
    </row>
    <row r="511" spans="1:7" s="2221" customFormat="1" ht="26.25" customHeight="1">
      <c r="A511" s="2598"/>
      <c r="B511" s="2599"/>
      <c r="C511" s="2580" t="s">
        <v>1124</v>
      </c>
      <c r="D511" s="2581"/>
      <c r="E511" s="2702">
        <v>200000</v>
      </c>
      <c r="F511" s="2703">
        <v>188455.32</v>
      </c>
      <c r="G511" s="128">
        <f t="shared" si="27"/>
        <v>0.9422766</v>
      </c>
    </row>
    <row r="512" spans="1:7" s="2221" customFormat="1" ht="18.75" customHeight="1" thickBot="1">
      <c r="A512" s="2588">
        <v>854</v>
      </c>
      <c r="B512" s="2620"/>
      <c r="C512" s="2621" t="s">
        <v>27</v>
      </c>
      <c r="D512" s="2704">
        <f>D513</f>
        <v>1191150</v>
      </c>
      <c r="E512" s="2704">
        <f>E513</f>
        <v>1777298</v>
      </c>
      <c r="F512" s="2705">
        <f>F513</f>
        <v>1691659.87</v>
      </c>
      <c r="G512" s="2706">
        <f t="shared" si="27"/>
        <v>0.9518155480960425</v>
      </c>
    </row>
    <row r="513" spans="1:7" s="2683" customFormat="1" ht="18.75" customHeight="1">
      <c r="A513" s="2707"/>
      <c r="B513" s="2708">
        <v>85415</v>
      </c>
      <c r="C513" s="2709" t="s">
        <v>114</v>
      </c>
      <c r="D513" s="2710">
        <f>SUM(D514:D514)</f>
        <v>1191150</v>
      </c>
      <c r="E513" s="2710">
        <f>SUM(E514:E515)</f>
        <v>1777298</v>
      </c>
      <c r="F513" s="2711">
        <f>SUM(F514:F515)</f>
        <v>1691659.87</v>
      </c>
      <c r="G513" s="2659">
        <f t="shared" si="27"/>
        <v>0.9518155480960425</v>
      </c>
    </row>
    <row r="514" spans="1:7" s="2133" customFormat="1" ht="27.75" customHeight="1">
      <c r="A514" s="2684"/>
      <c r="B514" s="2685"/>
      <c r="C514" s="2712" t="s">
        <v>1125</v>
      </c>
      <c r="D514" s="2713">
        <v>1191150</v>
      </c>
      <c r="E514" s="2714">
        <v>1239025</v>
      </c>
      <c r="F514" s="2715">
        <v>1166856.32</v>
      </c>
      <c r="G514" s="2716">
        <f t="shared" si="27"/>
        <v>0.9417536530739897</v>
      </c>
    </row>
    <row r="515" spans="1:7" s="2133" customFormat="1" ht="29.25" customHeight="1">
      <c r="A515" s="2684"/>
      <c r="B515" s="2717"/>
      <c r="C515" s="2718" t="s">
        <v>1126</v>
      </c>
      <c r="D515" s="2719"/>
      <c r="E515" s="2720">
        <v>538273</v>
      </c>
      <c r="F515" s="2721">
        <v>524803.55</v>
      </c>
      <c r="G515" s="2722">
        <f t="shared" si="27"/>
        <v>0.9749765453589536</v>
      </c>
    </row>
    <row r="516" spans="1:7" s="2221" customFormat="1" ht="20.25" customHeight="1" thickBot="1">
      <c r="A516" s="2572">
        <v>921</v>
      </c>
      <c r="B516" s="2573"/>
      <c r="C516" s="2723" t="s">
        <v>16</v>
      </c>
      <c r="D516" s="2724"/>
      <c r="E516" s="2724">
        <f>E517</f>
        <v>25000</v>
      </c>
      <c r="F516" s="2725">
        <f>F517</f>
        <v>25000</v>
      </c>
      <c r="G516" s="2726">
        <f t="shared" si="27"/>
        <v>1</v>
      </c>
    </row>
    <row r="517" spans="1:7" s="2683" customFormat="1" ht="19.5" customHeight="1">
      <c r="A517" s="2676"/>
      <c r="B517" s="2677">
        <v>92109</v>
      </c>
      <c r="C517" s="2678" t="s">
        <v>752</v>
      </c>
      <c r="D517" s="2680"/>
      <c r="E517" s="2680">
        <f>E518</f>
        <v>25000</v>
      </c>
      <c r="F517" s="2727">
        <f>F518</f>
        <v>25000</v>
      </c>
      <c r="G517" s="2319">
        <f t="shared" si="27"/>
        <v>1</v>
      </c>
    </row>
    <row r="518" spans="1:7" s="2133" customFormat="1" ht="26.25" customHeight="1">
      <c r="A518" s="2728"/>
      <c r="B518" s="2729"/>
      <c r="C518" s="2730" t="s">
        <v>1127</v>
      </c>
      <c r="D518" s="2662"/>
      <c r="E518" s="2731">
        <v>25000</v>
      </c>
      <c r="F518" s="2732">
        <v>25000</v>
      </c>
      <c r="G518" s="2733">
        <f t="shared" si="27"/>
        <v>1</v>
      </c>
    </row>
    <row r="519" spans="1:7" ht="23.25" customHeight="1" thickBot="1">
      <c r="A519" s="2436"/>
      <c r="B519" s="312"/>
      <c r="C519" s="422" t="s">
        <v>1128</v>
      </c>
      <c r="D519" s="2663">
        <f>D520+D523+D528+D533+D536+D539+D546+D556</f>
        <v>21238237</v>
      </c>
      <c r="E519" s="2663">
        <f>E520+E523+E528+E533+E536+E539+E546+E556</f>
        <v>22731218</v>
      </c>
      <c r="F519" s="2664">
        <f>F520+F523+F528+F533+F536+F539+F546+F556</f>
        <v>22524391.17</v>
      </c>
      <c r="G519" s="2665">
        <f t="shared" si="27"/>
        <v>0.9909011989590704</v>
      </c>
    </row>
    <row r="520" spans="1:7" ht="19.5" customHeight="1" thickBot="1" thickTop="1">
      <c r="A520" s="2183">
        <v>700</v>
      </c>
      <c r="B520" s="2184"/>
      <c r="C520" s="2122" t="s">
        <v>499</v>
      </c>
      <c r="D520" s="2734">
        <f aca="true" t="shared" si="28" ref="D520:F521">D521</f>
        <v>600000</v>
      </c>
      <c r="E520" s="2734">
        <f t="shared" si="28"/>
        <v>709251</v>
      </c>
      <c r="F520" s="2735">
        <f t="shared" si="28"/>
        <v>709251</v>
      </c>
      <c r="G520" s="2736">
        <f t="shared" si="27"/>
        <v>1</v>
      </c>
    </row>
    <row r="521" spans="1:7" ht="19.5" customHeight="1">
      <c r="A521" s="2090"/>
      <c r="B521" s="2128">
        <v>70005</v>
      </c>
      <c r="C521" s="2399" t="s">
        <v>172</v>
      </c>
      <c r="D521" s="2672">
        <f t="shared" si="28"/>
        <v>600000</v>
      </c>
      <c r="E521" s="2672">
        <f t="shared" si="28"/>
        <v>709251</v>
      </c>
      <c r="F521" s="2673">
        <f t="shared" si="28"/>
        <v>709251</v>
      </c>
      <c r="G521" s="2737">
        <f t="shared" si="27"/>
        <v>1</v>
      </c>
    </row>
    <row r="522" spans="1:7" ht="27" customHeight="1">
      <c r="A522" s="2078"/>
      <c r="B522" s="2079"/>
      <c r="C522" s="2326" t="s">
        <v>1129</v>
      </c>
      <c r="D522" s="2600">
        <v>600000</v>
      </c>
      <c r="E522" s="2564">
        <v>709251</v>
      </c>
      <c r="F522" s="2516">
        <v>709251</v>
      </c>
      <c r="G522" s="128">
        <f t="shared" si="27"/>
        <v>1</v>
      </c>
    </row>
    <row r="523" spans="1:7" ht="18.75" customHeight="1" thickBot="1">
      <c r="A523" s="259">
        <v>710</v>
      </c>
      <c r="B523" s="353"/>
      <c r="C523" s="216" t="s">
        <v>175</v>
      </c>
      <c r="D523" s="2574">
        <f>D524+D526</f>
        <v>551168</v>
      </c>
      <c r="E523" s="2574">
        <f>E524+E526</f>
        <v>617235</v>
      </c>
      <c r="F523" s="2105">
        <f>F524+F526</f>
        <v>617231.2</v>
      </c>
      <c r="G523" s="2106">
        <v>0.9999</v>
      </c>
    </row>
    <row r="524" spans="1:7" ht="19.5" customHeight="1">
      <c r="A524" s="2066"/>
      <c r="B524" s="312">
        <v>71013</v>
      </c>
      <c r="C524" s="208" t="s">
        <v>807</v>
      </c>
      <c r="D524" s="2565">
        <f>D525</f>
        <v>100000</v>
      </c>
      <c r="E524" s="2565">
        <f>E525</f>
        <v>100000</v>
      </c>
      <c r="F524" s="2271">
        <f>F525</f>
        <v>100000</v>
      </c>
      <c r="G524" s="130">
        <f>F524/E524</f>
        <v>1</v>
      </c>
    </row>
    <row r="525" spans="1:7" s="2221" customFormat="1" ht="19.5" customHeight="1">
      <c r="A525" s="2066"/>
      <c r="B525" s="2323"/>
      <c r="C525" s="120" t="s">
        <v>1130</v>
      </c>
      <c r="D525" s="2600">
        <v>100000</v>
      </c>
      <c r="E525" s="2564">
        <v>100000</v>
      </c>
      <c r="F525" s="2516">
        <v>100000</v>
      </c>
      <c r="G525" s="128">
        <f>F525/E525</f>
        <v>1</v>
      </c>
    </row>
    <row r="526" spans="1:7" ht="19.5" customHeight="1">
      <c r="A526" s="2066"/>
      <c r="B526" s="462">
        <v>71015</v>
      </c>
      <c r="C526" s="53" t="s">
        <v>809</v>
      </c>
      <c r="D526" s="2585">
        <f>D527</f>
        <v>451168</v>
      </c>
      <c r="E526" s="2585">
        <f>E527</f>
        <v>517235</v>
      </c>
      <c r="F526" s="2262">
        <f>F527</f>
        <v>517231.2</v>
      </c>
      <c r="G526" s="2263">
        <v>0.9999</v>
      </c>
    </row>
    <row r="527" spans="1:7" s="2221" customFormat="1" ht="26.25" customHeight="1">
      <c r="A527" s="2078"/>
      <c r="B527" s="2323"/>
      <c r="C527" s="120" t="s">
        <v>1131</v>
      </c>
      <c r="D527" s="2600">
        <v>451168</v>
      </c>
      <c r="E527" s="2564">
        <v>517235</v>
      </c>
      <c r="F527" s="2516">
        <v>517231.2</v>
      </c>
      <c r="G527" s="128">
        <v>0.9999</v>
      </c>
    </row>
    <row r="528" spans="1:7" ht="19.5" customHeight="1" thickBot="1">
      <c r="A528" s="2139">
        <v>750</v>
      </c>
      <c r="B528" s="2275"/>
      <c r="C528" s="2376" t="s">
        <v>184</v>
      </c>
      <c r="D528" s="2418">
        <f>D529+D531</f>
        <v>952669</v>
      </c>
      <c r="E528" s="2418">
        <f>E529+E531</f>
        <v>916641</v>
      </c>
      <c r="F528" s="2088">
        <f>F529+F531</f>
        <v>916641</v>
      </c>
      <c r="G528" s="2089">
        <f aca="true" t="shared" si="29" ref="G528:G544">F528/E528</f>
        <v>1</v>
      </c>
    </row>
    <row r="529" spans="1:7" ht="18" customHeight="1">
      <c r="A529" s="2090"/>
      <c r="B529" s="2128">
        <v>75011</v>
      </c>
      <c r="C529" s="2399" t="s">
        <v>786</v>
      </c>
      <c r="D529" s="2672">
        <f>D530</f>
        <v>846669</v>
      </c>
      <c r="E529" s="2672">
        <f>E530</f>
        <v>825910</v>
      </c>
      <c r="F529" s="2673">
        <f>F530</f>
        <v>825910</v>
      </c>
      <c r="G529" s="2737">
        <f t="shared" si="29"/>
        <v>1</v>
      </c>
    </row>
    <row r="530" spans="1:7" s="2221" customFormat="1" ht="26.25" customHeight="1">
      <c r="A530" s="2066"/>
      <c r="B530" s="2323"/>
      <c r="C530" s="2326" t="s">
        <v>1033</v>
      </c>
      <c r="D530" s="2600">
        <v>846669</v>
      </c>
      <c r="E530" s="2564">
        <v>825910</v>
      </c>
      <c r="F530" s="2516">
        <v>825910</v>
      </c>
      <c r="G530" s="128">
        <f t="shared" si="29"/>
        <v>1</v>
      </c>
    </row>
    <row r="531" spans="1:7" ht="19.5" customHeight="1">
      <c r="A531" s="2139"/>
      <c r="B531" s="312">
        <v>75045</v>
      </c>
      <c r="C531" s="208" t="s">
        <v>810</v>
      </c>
      <c r="D531" s="2565">
        <f>D532</f>
        <v>106000</v>
      </c>
      <c r="E531" s="2565">
        <f>E532</f>
        <v>90731</v>
      </c>
      <c r="F531" s="2271">
        <f>F532</f>
        <v>90731</v>
      </c>
      <c r="G531" s="130">
        <f t="shared" si="29"/>
        <v>1</v>
      </c>
    </row>
    <row r="532" spans="1:7" ht="21.75" customHeight="1">
      <c r="A532" s="2078"/>
      <c r="B532" s="2323"/>
      <c r="C532" s="2326" t="s">
        <v>1132</v>
      </c>
      <c r="D532" s="2600">
        <v>106000</v>
      </c>
      <c r="E532" s="2564">
        <v>90731</v>
      </c>
      <c r="F532" s="2516">
        <v>90731</v>
      </c>
      <c r="G532" s="128">
        <f t="shared" si="29"/>
        <v>1</v>
      </c>
    </row>
    <row r="533" spans="1:7" ht="19.5" customHeight="1" thickBot="1">
      <c r="A533" s="259">
        <v>752</v>
      </c>
      <c r="B533" s="353"/>
      <c r="C533" s="216" t="s">
        <v>812</v>
      </c>
      <c r="D533" s="2574">
        <f aca="true" t="shared" si="30" ref="D533:F534">D534</f>
        <v>3400</v>
      </c>
      <c r="E533" s="2574">
        <f t="shared" si="30"/>
        <v>3400</v>
      </c>
      <c r="F533" s="2105">
        <f t="shared" si="30"/>
        <v>3400</v>
      </c>
      <c r="G533" s="2106">
        <f t="shared" si="29"/>
        <v>1</v>
      </c>
    </row>
    <row r="534" spans="1:7" ht="19.5" customHeight="1">
      <c r="A534" s="2139"/>
      <c r="B534" s="312">
        <v>75212</v>
      </c>
      <c r="C534" s="208" t="s">
        <v>813</v>
      </c>
      <c r="D534" s="2565">
        <f t="shared" si="30"/>
        <v>3400</v>
      </c>
      <c r="E534" s="2565">
        <f t="shared" si="30"/>
        <v>3400</v>
      </c>
      <c r="F534" s="2271">
        <f t="shared" si="30"/>
        <v>3400</v>
      </c>
      <c r="G534" s="130">
        <f t="shared" si="29"/>
        <v>1</v>
      </c>
    </row>
    <row r="535" spans="1:7" ht="19.5" customHeight="1">
      <c r="A535" s="2066"/>
      <c r="B535" s="2079"/>
      <c r="C535" s="325" t="s">
        <v>1133</v>
      </c>
      <c r="D535" s="2642">
        <v>3400</v>
      </c>
      <c r="E535" s="2642">
        <v>3400</v>
      </c>
      <c r="F535" s="2643">
        <v>3400</v>
      </c>
      <c r="G535" s="2644">
        <f t="shared" si="29"/>
        <v>1</v>
      </c>
    </row>
    <row r="536" spans="1:7" ht="19.5" customHeight="1" thickBot="1">
      <c r="A536" s="2183">
        <v>754</v>
      </c>
      <c r="B536" s="2184"/>
      <c r="C536" s="2122" t="s">
        <v>200</v>
      </c>
      <c r="D536" s="2734">
        <f>D537</f>
        <v>13276000</v>
      </c>
      <c r="E536" s="2734">
        <f>E537</f>
        <v>12980200</v>
      </c>
      <c r="F536" s="2738">
        <f>F537</f>
        <v>12962492</v>
      </c>
      <c r="G536" s="2736">
        <f t="shared" si="29"/>
        <v>0.9986357683240628</v>
      </c>
    </row>
    <row r="537" spans="1:7" ht="19.5" customHeight="1">
      <c r="A537" s="2279"/>
      <c r="B537" s="2128">
        <v>75411</v>
      </c>
      <c r="C537" s="2399" t="s">
        <v>205</v>
      </c>
      <c r="D537" s="2672">
        <f>SUM(D538:D538)</f>
        <v>13276000</v>
      </c>
      <c r="E537" s="2672">
        <f>SUM(E538:E538)</f>
        <v>12980200</v>
      </c>
      <c r="F537" s="2673">
        <f>SUM(F538:F538)</f>
        <v>12962492</v>
      </c>
      <c r="G537" s="2737">
        <f t="shared" si="29"/>
        <v>0.9986357683240628</v>
      </c>
    </row>
    <row r="538" spans="1:7" ht="18.75" customHeight="1">
      <c r="A538" s="2078"/>
      <c r="B538" s="462"/>
      <c r="C538" s="2326" t="s">
        <v>1134</v>
      </c>
      <c r="D538" s="2581">
        <v>13276000</v>
      </c>
      <c r="E538" s="2564">
        <v>12980200</v>
      </c>
      <c r="F538" s="2516">
        <v>12962492</v>
      </c>
      <c r="G538" s="128">
        <f t="shared" si="29"/>
        <v>0.9986357683240628</v>
      </c>
    </row>
    <row r="539" spans="1:7" ht="18.75" customHeight="1" thickBot="1">
      <c r="A539" s="259">
        <v>851</v>
      </c>
      <c r="B539" s="2225"/>
      <c r="C539" s="203" t="s">
        <v>19</v>
      </c>
      <c r="D539" s="2421">
        <f>D540+D542</f>
        <v>3187000</v>
      </c>
      <c r="E539" s="2421">
        <f>E540+E542</f>
        <v>3427000</v>
      </c>
      <c r="F539" s="2422">
        <f>F540+F542</f>
        <v>3402935.94</v>
      </c>
      <c r="G539" s="2423">
        <f t="shared" si="29"/>
        <v>0.9929780974613365</v>
      </c>
    </row>
    <row r="540" spans="1:7" s="2133" customFormat="1" ht="18.75" customHeight="1">
      <c r="A540" s="2385"/>
      <c r="B540" s="2386">
        <v>85141</v>
      </c>
      <c r="C540" s="2387" t="s">
        <v>815</v>
      </c>
      <c r="D540" s="2679"/>
      <c r="E540" s="2679">
        <f>E541</f>
        <v>240000</v>
      </c>
      <c r="F540" s="2739">
        <f>F541</f>
        <v>240000</v>
      </c>
      <c r="G540" s="2740">
        <f t="shared" si="29"/>
        <v>1</v>
      </c>
    </row>
    <row r="541" spans="1:7" s="2133" customFormat="1" ht="25.5" customHeight="1">
      <c r="A541" s="2194"/>
      <c r="B541" s="2195"/>
      <c r="C541" s="2196" t="s">
        <v>1135</v>
      </c>
      <c r="D541" s="2662"/>
      <c r="E541" s="2662">
        <v>240000</v>
      </c>
      <c r="F541" s="2741">
        <v>240000</v>
      </c>
      <c r="G541" s="2742">
        <f t="shared" si="29"/>
        <v>1</v>
      </c>
    </row>
    <row r="542" spans="1:7" ht="25.5" customHeight="1">
      <c r="A542" s="2139"/>
      <c r="B542" s="312">
        <v>85156</v>
      </c>
      <c r="C542" s="208" t="s">
        <v>817</v>
      </c>
      <c r="D542" s="2565">
        <f>SUM(D543:D544)</f>
        <v>3187000</v>
      </c>
      <c r="E542" s="2565">
        <f>SUM(E543:E544)</f>
        <v>3187000</v>
      </c>
      <c r="F542" s="2271">
        <f>SUM(F543:F544)</f>
        <v>3162935.94</v>
      </c>
      <c r="G542" s="130">
        <f t="shared" si="29"/>
        <v>0.9924493065578914</v>
      </c>
    </row>
    <row r="543" spans="1:7" ht="25.5" customHeight="1">
      <c r="A543" s="2066"/>
      <c r="B543" s="2067"/>
      <c r="C543" s="92" t="s">
        <v>1136</v>
      </c>
      <c r="D543" s="2696">
        <v>109000</v>
      </c>
      <c r="E543" s="2558">
        <v>109000</v>
      </c>
      <c r="F543" s="2559">
        <v>84935.94</v>
      </c>
      <c r="G543" s="2560">
        <f t="shared" si="29"/>
        <v>0.7792288073394495</v>
      </c>
    </row>
    <row r="544" spans="1:7" ht="25.5" customHeight="1">
      <c r="A544" s="2066"/>
      <c r="B544" s="2067"/>
      <c r="C544" s="313" t="s">
        <v>1137</v>
      </c>
      <c r="D544" s="2743">
        <v>3078000</v>
      </c>
      <c r="E544" s="2744">
        <v>3078000</v>
      </c>
      <c r="F544" s="2745">
        <v>3078000</v>
      </c>
      <c r="G544" s="2746">
        <f t="shared" si="29"/>
        <v>1</v>
      </c>
    </row>
    <row r="545" spans="1:7" ht="25.5" customHeight="1">
      <c r="A545" s="2300"/>
      <c r="B545" s="2301"/>
      <c r="C545" s="2335"/>
      <c r="D545" s="2747"/>
      <c r="E545" s="2561"/>
      <c r="F545" s="2562"/>
      <c r="G545" s="2563"/>
    </row>
    <row r="546" spans="1:7" ht="19.5" customHeight="1" thickBot="1">
      <c r="A546" s="2139">
        <v>852</v>
      </c>
      <c r="B546" s="2275"/>
      <c r="C546" s="2376" t="s">
        <v>54</v>
      </c>
      <c r="D546" s="2418">
        <f>D547+D552</f>
        <v>2148000</v>
      </c>
      <c r="E546" s="2418">
        <f>E547+E554+E552</f>
        <v>3414590</v>
      </c>
      <c r="F546" s="2670">
        <f>F547+F552+F554</f>
        <v>3251348</v>
      </c>
      <c r="G546" s="2089">
        <f aca="true" t="shared" si="31" ref="G546:G561">F546/E546</f>
        <v>0.9521927962068653</v>
      </c>
    </row>
    <row r="547" spans="1:7" ht="19.5" customHeight="1">
      <c r="A547" s="2279"/>
      <c r="B547" s="2128">
        <v>85203</v>
      </c>
      <c r="C547" s="2399" t="s">
        <v>59</v>
      </c>
      <c r="D547" s="2597">
        <f>SUM(D548:D550)</f>
        <v>1914000</v>
      </c>
      <c r="E547" s="2597">
        <f>SUM(E548:E551)</f>
        <v>3150590</v>
      </c>
      <c r="F547" s="2094">
        <f>SUM(F548:F551)</f>
        <v>3143282</v>
      </c>
      <c r="G547" s="2095">
        <f t="shared" si="31"/>
        <v>0.9976804344583078</v>
      </c>
    </row>
    <row r="548" spans="1:7" ht="25.5" customHeight="1">
      <c r="A548" s="2066"/>
      <c r="B548" s="2295"/>
      <c r="C548" s="92" t="s">
        <v>1138</v>
      </c>
      <c r="D548" s="2696">
        <v>1889000</v>
      </c>
      <c r="E548" s="2558">
        <v>2526590</v>
      </c>
      <c r="F548" s="2559">
        <v>2526590</v>
      </c>
      <c r="G548" s="2560">
        <f t="shared" si="31"/>
        <v>1</v>
      </c>
    </row>
    <row r="549" spans="1:7" s="2221" customFormat="1" ht="25.5" customHeight="1">
      <c r="A549" s="2066"/>
      <c r="B549" s="2275"/>
      <c r="C549" s="2289" t="s">
        <v>1139</v>
      </c>
      <c r="D549" s="2627">
        <v>25000</v>
      </c>
      <c r="E549" s="2527">
        <v>425000</v>
      </c>
      <c r="F549" s="2313">
        <v>425000</v>
      </c>
      <c r="G549" s="2314">
        <f t="shared" si="31"/>
        <v>1</v>
      </c>
    </row>
    <row r="550" spans="1:7" s="2221" customFormat="1" ht="25.5" customHeight="1">
      <c r="A550" s="2066"/>
      <c r="B550" s="2275"/>
      <c r="C550" s="2289" t="s">
        <v>1007</v>
      </c>
      <c r="D550" s="2627"/>
      <c r="E550" s="2527">
        <v>9000</v>
      </c>
      <c r="F550" s="2313">
        <v>1692</v>
      </c>
      <c r="G550" s="2314">
        <f t="shared" si="31"/>
        <v>0.188</v>
      </c>
    </row>
    <row r="551" spans="1:7" s="2221" customFormat="1" ht="25.5" customHeight="1">
      <c r="A551" s="2066"/>
      <c r="B551" s="312"/>
      <c r="C551" s="2306" t="s">
        <v>1140</v>
      </c>
      <c r="D551" s="2642"/>
      <c r="E551" s="2554">
        <v>190000</v>
      </c>
      <c r="F551" s="2321">
        <v>190000</v>
      </c>
      <c r="G551" s="2322">
        <f t="shared" si="31"/>
        <v>1</v>
      </c>
    </row>
    <row r="552" spans="1:7" ht="20.25" customHeight="1">
      <c r="A552" s="2066"/>
      <c r="B552" s="462">
        <v>85231</v>
      </c>
      <c r="C552" s="312" t="s">
        <v>824</v>
      </c>
      <c r="D552" s="2565">
        <f>D553</f>
        <v>234000</v>
      </c>
      <c r="E552" s="2565">
        <f>E553</f>
        <v>234000</v>
      </c>
      <c r="F552" s="2271">
        <f>F553</f>
        <v>78066</v>
      </c>
      <c r="G552" s="130">
        <f t="shared" si="31"/>
        <v>0.3336153846153846</v>
      </c>
    </row>
    <row r="553" spans="1:7" s="2221" customFormat="1" ht="21" customHeight="1">
      <c r="A553" s="2066"/>
      <c r="B553" s="462"/>
      <c r="C553" s="120" t="s">
        <v>1141</v>
      </c>
      <c r="D553" s="2581">
        <v>234000</v>
      </c>
      <c r="E553" s="2564">
        <v>234000</v>
      </c>
      <c r="F553" s="2516">
        <v>78066</v>
      </c>
      <c r="G553" s="128">
        <f t="shared" si="31"/>
        <v>0.3336153846153846</v>
      </c>
    </row>
    <row r="554" spans="1:7" ht="18.75" customHeight="1">
      <c r="A554" s="2066"/>
      <c r="B554" s="462">
        <v>85295</v>
      </c>
      <c r="C554" s="462" t="s">
        <v>13</v>
      </c>
      <c r="D554" s="2585"/>
      <c r="E554" s="2585">
        <f>E555</f>
        <v>30000</v>
      </c>
      <c r="F554" s="2262">
        <f>F555</f>
        <v>30000</v>
      </c>
      <c r="G554" s="2263">
        <f t="shared" si="31"/>
        <v>1</v>
      </c>
    </row>
    <row r="555" spans="1:7" s="2221" customFormat="1" ht="28.5" customHeight="1">
      <c r="A555" s="2078"/>
      <c r="B555" s="312"/>
      <c r="C555" s="325" t="s">
        <v>1142</v>
      </c>
      <c r="D555" s="2642"/>
      <c r="E555" s="2554">
        <v>30000</v>
      </c>
      <c r="F555" s="2321">
        <v>30000</v>
      </c>
      <c r="G555" s="2322">
        <f t="shared" si="31"/>
        <v>1</v>
      </c>
    </row>
    <row r="556" spans="1:7" ht="19.5" customHeight="1" thickBot="1">
      <c r="A556" s="259">
        <v>853</v>
      </c>
      <c r="B556" s="2225"/>
      <c r="C556" s="203" t="s">
        <v>737</v>
      </c>
      <c r="D556" s="2421">
        <f>D557+D560</f>
        <v>520000</v>
      </c>
      <c r="E556" s="2535">
        <f>E557+E560</f>
        <v>662901</v>
      </c>
      <c r="F556" s="2536">
        <f>F557+F560</f>
        <v>661092.03</v>
      </c>
      <c r="G556" s="2537">
        <f t="shared" si="31"/>
        <v>0.9972711309833595</v>
      </c>
    </row>
    <row r="557" spans="1:7" s="2221" customFormat="1" ht="19.5" customHeight="1">
      <c r="A557" s="2139"/>
      <c r="B557" s="312">
        <v>85321</v>
      </c>
      <c r="C557" s="208" t="s">
        <v>666</v>
      </c>
      <c r="D557" s="2565">
        <f>SUM(D558:D559)</f>
        <v>520000</v>
      </c>
      <c r="E557" s="2468">
        <f>SUM(E558:E559)</f>
        <v>569000</v>
      </c>
      <c r="F557" s="2318">
        <f>SUM(F558:F559)</f>
        <v>569000</v>
      </c>
      <c r="G557" s="2319">
        <f t="shared" si="31"/>
        <v>1</v>
      </c>
    </row>
    <row r="558" spans="1:7" ht="19.5" customHeight="1">
      <c r="A558" s="2066"/>
      <c r="B558" s="2275"/>
      <c r="C558" s="2285" t="s">
        <v>1143</v>
      </c>
      <c r="D558" s="2696">
        <v>496000</v>
      </c>
      <c r="E558" s="2558">
        <v>545000</v>
      </c>
      <c r="F558" s="2559">
        <v>545000</v>
      </c>
      <c r="G558" s="2560">
        <f t="shared" si="31"/>
        <v>1</v>
      </c>
    </row>
    <row r="559" spans="1:7" ht="26.25" customHeight="1">
      <c r="A559" s="2066"/>
      <c r="B559" s="312"/>
      <c r="C559" s="317" t="s">
        <v>1144</v>
      </c>
      <c r="D559" s="2699">
        <v>24000</v>
      </c>
      <c r="E559" s="2548">
        <v>24000</v>
      </c>
      <c r="F559" s="2532">
        <v>24000</v>
      </c>
      <c r="G559" s="2533">
        <f t="shared" si="31"/>
        <v>1</v>
      </c>
    </row>
    <row r="560" spans="1:7" ht="18.75" customHeight="1">
      <c r="A560" s="2139"/>
      <c r="B560" s="312">
        <v>85334</v>
      </c>
      <c r="C560" s="462" t="s">
        <v>673</v>
      </c>
      <c r="D560" s="2565"/>
      <c r="E560" s="2565">
        <f>E561</f>
        <v>93901</v>
      </c>
      <c r="F560" s="2271">
        <f>F561</f>
        <v>92092.03</v>
      </c>
      <c r="G560" s="130">
        <f t="shared" si="31"/>
        <v>0.9807353489313213</v>
      </c>
    </row>
    <row r="561" spans="1:7" ht="19.5" customHeight="1">
      <c r="A561" s="2078"/>
      <c r="B561" s="462"/>
      <c r="C561" s="120" t="s">
        <v>1145</v>
      </c>
      <c r="D561" s="2581"/>
      <c r="E561" s="2564">
        <v>93901</v>
      </c>
      <c r="F561" s="2516">
        <v>92092.03</v>
      </c>
      <c r="G561" s="128">
        <f t="shared" si="31"/>
        <v>0.9807353489313213</v>
      </c>
    </row>
    <row r="562" ht="12.75">
      <c r="A562" s="2300"/>
    </row>
    <row r="563" ht="12.75">
      <c r="A563" s="2336"/>
    </row>
    <row r="564" spans="1:5" ht="12.75">
      <c r="A564" s="2336"/>
      <c r="C564" s="417" t="s">
        <v>287</v>
      </c>
      <c r="E564" t="s">
        <v>289</v>
      </c>
    </row>
    <row r="565" spans="1:5" ht="12.75">
      <c r="A565" s="2336"/>
      <c r="C565" s="417" t="s">
        <v>288</v>
      </c>
      <c r="E565" t="s">
        <v>290</v>
      </c>
    </row>
    <row r="566" ht="12.75">
      <c r="A566" s="2336"/>
    </row>
    <row r="567" ht="12.75">
      <c r="A567" s="2336"/>
    </row>
    <row r="568" ht="12.75">
      <c r="A568" s="2336"/>
    </row>
    <row r="569" ht="12.75">
      <c r="A569" s="2336"/>
    </row>
  </sheetData>
  <mergeCells count="7">
    <mergeCell ref="A6:A7"/>
    <mergeCell ref="B6:B7"/>
    <mergeCell ref="C6:C7"/>
    <mergeCell ref="G6:G7"/>
    <mergeCell ref="E6:E7"/>
    <mergeCell ref="F6:F7"/>
    <mergeCell ref="D6:D7"/>
  </mergeCells>
  <printOptions horizontalCentered="1"/>
  <pageMargins left="0.52" right="0.1968503937007874" top="0.5905511811023623" bottom="0.69" header="0.5118110236220472" footer="0.5118110236220472"/>
  <pageSetup firstPageNumber="3" useFirstPageNumber="1" horizontalDpi="600" verticalDpi="600" orientation="landscape" paperSize="9" scale="8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65"/>
  <sheetViews>
    <sheetView zoomScale="75" zoomScaleNormal="75" workbookViewId="0" topLeftCell="A1">
      <selection activeCell="H5" sqref="H5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6.75390625" style="0" customWidth="1"/>
    <col min="4" max="5" width="19.75390625" style="0" customWidth="1"/>
    <col min="6" max="6" width="18.00390625" style="0" customWidth="1"/>
    <col min="7" max="7" width="9.00390625" style="0" customWidth="1"/>
    <col min="8" max="8" width="41.125" style="0" customWidth="1"/>
  </cols>
  <sheetData>
    <row r="1" ht="14.25">
      <c r="H1" s="41" t="s">
        <v>95</v>
      </c>
    </row>
    <row r="2" ht="14.25">
      <c r="H2" s="41" t="s">
        <v>293</v>
      </c>
    </row>
    <row r="3" spans="1:8" ht="15.75">
      <c r="A3" s="34" t="s">
        <v>726</v>
      </c>
      <c r="H3" s="41" t="s">
        <v>893</v>
      </c>
    </row>
    <row r="4" spans="1:37" s="35" customFormat="1" ht="17.25" customHeight="1">
      <c r="A4" s="34" t="s">
        <v>85</v>
      </c>
      <c r="H4" s="41" t="s">
        <v>294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5" customFormat="1" ht="17.25" customHeight="1">
      <c r="A5" s="34"/>
      <c r="H5" s="41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ht="13.5" thickBot="1">
      <c r="F6" s="153" t="s">
        <v>725</v>
      </c>
    </row>
    <row r="7" spans="1:37" s="6" customFormat="1" ht="52.5" thickBot="1" thickTop="1">
      <c r="A7" s="4" t="s">
        <v>11</v>
      </c>
      <c r="B7" s="5" t="s">
        <v>12</v>
      </c>
      <c r="C7" s="5" t="s">
        <v>14</v>
      </c>
      <c r="D7" s="3" t="s">
        <v>8</v>
      </c>
      <c r="E7" s="99" t="s">
        <v>9</v>
      </c>
      <c r="F7" s="118" t="s">
        <v>732</v>
      </c>
      <c r="G7" s="118" t="s">
        <v>10</v>
      </c>
      <c r="H7" s="3" t="s">
        <v>15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6" customFormat="1" ht="12" customHeight="1" thickBot="1" thickTop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59" customFormat="1" ht="19.5" customHeight="1" thickTop="1">
      <c r="A9" s="58"/>
      <c r="B9" s="58"/>
      <c r="C9" s="69" t="s">
        <v>65</v>
      </c>
      <c r="D9" s="70">
        <f>D10+D41+D70+D81+D75</f>
        <v>30816500</v>
      </c>
      <c r="E9" s="70">
        <f>E10+E41+E70+E81+E75</f>
        <v>33871048</v>
      </c>
      <c r="F9" s="197">
        <f>F10+F41+F70+F81+F75</f>
        <v>33649344.68</v>
      </c>
      <c r="G9" s="125">
        <f>F9/E9</f>
        <v>0.9934544889192681</v>
      </c>
      <c r="H9" s="7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59" customFormat="1" ht="24.75" customHeight="1" thickBot="1">
      <c r="A10" s="68"/>
      <c r="B10" s="68"/>
      <c r="C10" s="72" t="s">
        <v>104</v>
      </c>
      <c r="D10" s="73">
        <f>D11+D33</f>
        <v>19780500</v>
      </c>
      <c r="E10" s="73">
        <f>E11+E33</f>
        <v>22053428</v>
      </c>
      <c r="F10" s="198">
        <f>F11+F33</f>
        <v>21995916.86</v>
      </c>
      <c r="G10" s="126">
        <f aca="true" t="shared" si="0" ref="G10:G69">F10/E10</f>
        <v>0.9973921904567399</v>
      </c>
      <c r="H10" s="7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 s="75"/>
      <c r="AF10" s="75"/>
      <c r="AG10" s="75"/>
      <c r="AH10" s="75"/>
      <c r="AI10" s="75"/>
      <c r="AJ10" s="75"/>
      <c r="AK10" s="75"/>
    </row>
    <row r="11" spans="1:30" s="6" customFormat="1" ht="30.75" customHeight="1" thickBot="1">
      <c r="A11" s="11"/>
      <c r="B11" s="11"/>
      <c r="C11" s="81" t="s">
        <v>94</v>
      </c>
      <c r="D11" s="82">
        <f>D12+D28</f>
        <v>19403500</v>
      </c>
      <c r="E11" s="82">
        <f>E12+E28</f>
        <v>21542997</v>
      </c>
      <c r="F11" s="178">
        <f>F12+F28</f>
        <v>21489302</v>
      </c>
      <c r="G11" s="127">
        <f t="shared" si="0"/>
        <v>0.9975075427063375</v>
      </c>
      <c r="H11" s="8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7" s="6" customFormat="1" ht="19.5" customHeight="1" thickBot="1" thickTop="1">
      <c r="A12" s="202">
        <v>801</v>
      </c>
      <c r="B12" s="202"/>
      <c r="C12" s="203" t="s">
        <v>42</v>
      </c>
      <c r="D12" s="204">
        <f>D13+D15+D17+D19+D21+D23+D25</f>
        <v>18233500</v>
      </c>
      <c r="E12" s="204">
        <f>E13+E15+E17+E19+E21+E23+E25</f>
        <v>20304465</v>
      </c>
      <c r="F12" s="205">
        <f>F13+F15+F17+F19+F21+F23+F25</f>
        <v>20257480</v>
      </c>
      <c r="G12" s="206">
        <f t="shared" si="0"/>
        <v>0.997685976951375</v>
      </c>
      <c r="H12" s="20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36" customFormat="1" ht="19.5" customHeight="1">
      <c r="A13" s="18"/>
      <c r="B13" s="22">
        <v>80101</v>
      </c>
      <c r="C13" s="23" t="s">
        <v>43</v>
      </c>
      <c r="D13" s="25">
        <f>D14</f>
        <v>1200000</v>
      </c>
      <c r="E13" s="25">
        <f>E14</f>
        <v>1161787</v>
      </c>
      <c r="F13" s="176">
        <f>F14</f>
        <v>1159231</v>
      </c>
      <c r="G13" s="133">
        <f t="shared" si="0"/>
        <v>0.9977999409530318</v>
      </c>
      <c r="H13" s="2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" customFormat="1" ht="51">
      <c r="A14" s="1"/>
      <c r="B14" s="10"/>
      <c r="C14" s="9" t="s">
        <v>44</v>
      </c>
      <c r="D14" s="13">
        <v>1200000</v>
      </c>
      <c r="E14" s="95">
        <v>1161787</v>
      </c>
      <c r="F14" s="171">
        <v>1159231</v>
      </c>
      <c r="G14" s="128">
        <f t="shared" si="0"/>
        <v>0.9977999409530318</v>
      </c>
      <c r="H14" s="9" t="s">
        <v>729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6" customFormat="1" ht="19.5" customHeight="1">
      <c r="A15" s="18"/>
      <c r="B15" s="19">
        <v>80104</v>
      </c>
      <c r="C15" s="20" t="s">
        <v>45</v>
      </c>
      <c r="D15" s="21">
        <f>D16</f>
        <v>4400000</v>
      </c>
      <c r="E15" s="96">
        <f>E16</f>
        <v>4789543</v>
      </c>
      <c r="F15" s="172">
        <f>F16</f>
        <v>4777384</v>
      </c>
      <c r="G15" s="129">
        <f t="shared" si="0"/>
        <v>0.9974613444330701</v>
      </c>
      <c r="H15" s="1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" customFormat="1" ht="38.25">
      <c r="A16" s="1"/>
      <c r="B16" s="10"/>
      <c r="C16" s="9" t="s">
        <v>72</v>
      </c>
      <c r="D16" s="13">
        <v>4400000</v>
      </c>
      <c r="E16" s="95">
        <v>4789543</v>
      </c>
      <c r="F16" s="171">
        <v>4777384</v>
      </c>
      <c r="G16" s="128">
        <f t="shared" si="0"/>
        <v>0.9974613444330701</v>
      </c>
      <c r="H16" s="9" t="s">
        <v>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" customFormat="1" ht="19.5" customHeight="1">
      <c r="A17" s="1"/>
      <c r="B17" s="22">
        <v>80110</v>
      </c>
      <c r="C17" s="23" t="s">
        <v>46</v>
      </c>
      <c r="D17" s="24">
        <f>D18</f>
        <v>2886000</v>
      </c>
      <c r="E17" s="97">
        <f>E18</f>
        <v>3395561</v>
      </c>
      <c r="F17" s="173">
        <f>F18</f>
        <v>3391704</v>
      </c>
      <c r="G17" s="130">
        <f t="shared" si="0"/>
        <v>0.9988641052244386</v>
      </c>
      <c r="H17" s="2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6" customFormat="1" ht="38.25">
      <c r="A18" s="1"/>
      <c r="B18" s="1"/>
      <c r="C18" s="40" t="s">
        <v>73</v>
      </c>
      <c r="D18" s="43">
        <v>2886000</v>
      </c>
      <c r="E18" s="98">
        <v>3395561</v>
      </c>
      <c r="F18" s="174">
        <v>3391704</v>
      </c>
      <c r="G18" s="131">
        <f t="shared" si="0"/>
        <v>0.9988641052244386</v>
      </c>
      <c r="H18" s="40" t="s">
        <v>6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36" customFormat="1" ht="19.5" customHeight="1">
      <c r="A19" s="18"/>
      <c r="B19" s="19">
        <v>80120</v>
      </c>
      <c r="C19" s="19" t="s">
        <v>47</v>
      </c>
      <c r="D19" s="21">
        <f>D20</f>
        <v>4100000</v>
      </c>
      <c r="E19" s="96">
        <f>E20</f>
        <v>4477590</v>
      </c>
      <c r="F19" s="172">
        <f>F20</f>
        <v>4472669</v>
      </c>
      <c r="G19" s="129">
        <f t="shared" si="0"/>
        <v>0.998900971281426</v>
      </c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6" customFormat="1" ht="38.25">
      <c r="A20" s="1"/>
      <c r="B20" s="2"/>
      <c r="C20" s="9" t="s">
        <v>74</v>
      </c>
      <c r="D20" s="13">
        <v>4100000</v>
      </c>
      <c r="E20" s="95">
        <v>4477590</v>
      </c>
      <c r="F20" s="171">
        <v>4472669</v>
      </c>
      <c r="G20" s="128">
        <f t="shared" si="0"/>
        <v>0.998900971281426</v>
      </c>
      <c r="H20" s="40" t="s">
        <v>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36" customFormat="1" ht="19.5" customHeight="1">
      <c r="A21" s="18"/>
      <c r="B21" s="49">
        <v>80123</v>
      </c>
      <c r="C21" s="20" t="s">
        <v>48</v>
      </c>
      <c r="D21" s="21">
        <f>D22</f>
        <v>440000</v>
      </c>
      <c r="E21" s="96">
        <f>E22</f>
        <v>534072</v>
      </c>
      <c r="F21" s="172">
        <f>F22</f>
        <v>531216</v>
      </c>
      <c r="G21" s="129">
        <f t="shared" si="0"/>
        <v>0.9946524064171123</v>
      </c>
      <c r="H21" s="5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6" customFormat="1" ht="38.25">
      <c r="A22" s="1"/>
      <c r="B22" s="2"/>
      <c r="C22" s="9" t="s">
        <v>49</v>
      </c>
      <c r="D22" s="13">
        <v>440000</v>
      </c>
      <c r="E22" s="95">
        <v>534072</v>
      </c>
      <c r="F22" s="171">
        <v>531216</v>
      </c>
      <c r="G22" s="128">
        <f t="shared" si="0"/>
        <v>0.9946524064171123</v>
      </c>
      <c r="H22" s="40" t="s">
        <v>50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6" customFormat="1" ht="19.5" customHeight="1">
      <c r="A23" s="1"/>
      <c r="B23" s="19">
        <v>80130</v>
      </c>
      <c r="C23" s="19" t="s">
        <v>51</v>
      </c>
      <c r="D23" s="21">
        <f>D24</f>
        <v>5200000</v>
      </c>
      <c r="E23" s="96">
        <f>E24</f>
        <v>5938703</v>
      </c>
      <c r="F23" s="172">
        <f>F24</f>
        <v>5918067</v>
      </c>
      <c r="G23" s="129">
        <f t="shared" si="0"/>
        <v>0.9965251671955981</v>
      </c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6" customFormat="1" ht="38.25">
      <c r="A24" s="1"/>
      <c r="B24" s="10"/>
      <c r="C24" s="9" t="s">
        <v>52</v>
      </c>
      <c r="D24" s="13">
        <v>5200000</v>
      </c>
      <c r="E24" s="13">
        <v>5938703</v>
      </c>
      <c r="F24" s="175">
        <v>5918067</v>
      </c>
      <c r="G24" s="132">
        <f t="shared" si="0"/>
        <v>0.9965251671955981</v>
      </c>
      <c r="H24" s="9" t="s">
        <v>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6" customFormat="1" ht="19.5" customHeight="1">
      <c r="A25" s="1"/>
      <c r="B25" s="22">
        <v>80195</v>
      </c>
      <c r="C25" s="22" t="s">
        <v>13</v>
      </c>
      <c r="D25" s="25">
        <f>D26</f>
        <v>7500</v>
      </c>
      <c r="E25" s="25">
        <f>E26</f>
        <v>7209</v>
      </c>
      <c r="F25" s="176">
        <f>F26</f>
        <v>7209</v>
      </c>
      <c r="G25" s="133">
        <f>F25/E25</f>
        <v>1</v>
      </c>
      <c r="H25" s="2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47" customFormat="1" ht="25.5">
      <c r="A26" s="11"/>
      <c r="B26" s="10"/>
      <c r="C26" s="9" t="s">
        <v>53</v>
      </c>
      <c r="D26" s="13">
        <v>7500</v>
      </c>
      <c r="E26" s="13">
        <v>7209</v>
      </c>
      <c r="F26" s="175">
        <v>7209</v>
      </c>
      <c r="G26" s="132">
        <f>F26/E26</f>
        <v>1</v>
      </c>
      <c r="H26" s="9" t="s">
        <v>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48"/>
      <c r="AF26" s="48"/>
      <c r="AG26" s="48"/>
      <c r="AH26" s="48"/>
      <c r="AI26" s="48"/>
      <c r="AJ26" s="48"/>
      <c r="AK26" s="48"/>
    </row>
    <row r="27" spans="1:37" s="47" customFormat="1" ht="36" customHeight="1">
      <c r="A27" s="154"/>
      <c r="B27" s="154"/>
      <c r="C27" s="155"/>
      <c r="D27" s="156"/>
      <c r="E27" s="156"/>
      <c r="F27" s="167"/>
      <c r="G27" s="157"/>
      <c r="H27" s="15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48"/>
      <c r="AF27" s="48"/>
      <c r="AG27" s="48"/>
      <c r="AH27" s="48"/>
      <c r="AI27" s="48"/>
      <c r="AJ27" s="48"/>
      <c r="AK27" s="48"/>
    </row>
    <row r="28" spans="1:37" s="6" customFormat="1" ht="19.5" customHeight="1" thickBot="1">
      <c r="A28" s="202">
        <v>854</v>
      </c>
      <c r="B28" s="202"/>
      <c r="C28" s="203" t="s">
        <v>27</v>
      </c>
      <c r="D28" s="204">
        <f>D29+D31</f>
        <v>1170000</v>
      </c>
      <c r="E28" s="204">
        <f>E29+E31</f>
        <v>1238532</v>
      </c>
      <c r="F28" s="205">
        <f>F29+F31</f>
        <v>1231822</v>
      </c>
      <c r="G28" s="206">
        <f t="shared" si="0"/>
        <v>0.9945822958147226</v>
      </c>
      <c r="H28" s="20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6" customFormat="1" ht="19.5" customHeight="1">
      <c r="A29" s="51"/>
      <c r="B29" s="207">
        <v>85403</v>
      </c>
      <c r="C29" s="208" t="s">
        <v>61</v>
      </c>
      <c r="D29" s="209">
        <f>D30</f>
        <v>580000</v>
      </c>
      <c r="E29" s="209">
        <f>E30</f>
        <v>555540</v>
      </c>
      <c r="F29" s="210">
        <f>F30</f>
        <v>551310</v>
      </c>
      <c r="G29" s="211">
        <f t="shared" si="0"/>
        <v>0.9923857868020305</v>
      </c>
      <c r="H29" s="20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47" customFormat="1" ht="38.25">
      <c r="A30" s="62"/>
      <c r="B30" s="119"/>
      <c r="C30" s="120" t="s">
        <v>1</v>
      </c>
      <c r="D30" s="121">
        <v>580000</v>
      </c>
      <c r="E30" s="121">
        <v>555540</v>
      </c>
      <c r="F30" s="177">
        <v>551310</v>
      </c>
      <c r="G30" s="134">
        <f t="shared" si="0"/>
        <v>0.9923857868020305</v>
      </c>
      <c r="H30" s="120" t="s">
        <v>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36" customFormat="1" ht="19.5" customHeight="1">
      <c r="A31" s="18"/>
      <c r="B31" s="22">
        <v>85410</v>
      </c>
      <c r="C31" s="23" t="s">
        <v>62</v>
      </c>
      <c r="D31" s="25">
        <f>D32</f>
        <v>590000</v>
      </c>
      <c r="E31" s="25">
        <f>E32</f>
        <v>682992</v>
      </c>
      <c r="F31" s="176">
        <f>F32</f>
        <v>680512</v>
      </c>
      <c r="G31" s="133">
        <f t="shared" si="0"/>
        <v>0.9963689179375453</v>
      </c>
      <c r="H31" s="2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37" customFormat="1" ht="39.75" customHeight="1">
      <c r="A32" s="1"/>
      <c r="B32" s="10"/>
      <c r="C32" s="9" t="s">
        <v>63</v>
      </c>
      <c r="D32" s="13">
        <v>590000</v>
      </c>
      <c r="E32" s="13">
        <v>682992</v>
      </c>
      <c r="F32" s="175">
        <v>680512</v>
      </c>
      <c r="G32" s="132">
        <f t="shared" si="0"/>
        <v>0.9963689179375453</v>
      </c>
      <c r="H32" s="9" t="s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42"/>
      <c r="AF32" s="42"/>
      <c r="AG32" s="42"/>
      <c r="AH32" s="42"/>
      <c r="AI32" s="42"/>
      <c r="AJ32" s="42"/>
      <c r="AK32" s="42"/>
    </row>
    <row r="33" spans="1:37" s="36" customFormat="1" ht="21.75" customHeight="1" thickBot="1">
      <c r="A33" s="18"/>
      <c r="B33" s="22"/>
      <c r="C33" s="56" t="s">
        <v>89</v>
      </c>
      <c r="D33" s="57">
        <f>D34+D37</f>
        <v>377000</v>
      </c>
      <c r="E33" s="57">
        <f>E34+E37</f>
        <v>510431</v>
      </c>
      <c r="F33" s="179">
        <f>F34+F37</f>
        <v>506614.86</v>
      </c>
      <c r="G33" s="135">
        <f t="shared" si="0"/>
        <v>0.992523690763296</v>
      </c>
      <c r="H33" s="55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6" customFormat="1" ht="19.5" customHeight="1" thickBot="1" thickTop="1">
      <c r="A34" s="212">
        <v>801</v>
      </c>
      <c r="B34" s="212"/>
      <c r="C34" s="203" t="s">
        <v>42</v>
      </c>
      <c r="D34" s="213">
        <f aca="true" t="shared" si="1" ref="D34:F35">D35</f>
        <v>377000</v>
      </c>
      <c r="E34" s="213">
        <f t="shared" si="1"/>
        <v>413736</v>
      </c>
      <c r="F34" s="214">
        <f t="shared" si="1"/>
        <v>409920</v>
      </c>
      <c r="G34" s="215">
        <f t="shared" si="0"/>
        <v>0.990776727188352</v>
      </c>
      <c r="H34" s="21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36" customFormat="1" ht="19.5" customHeight="1">
      <c r="A35" s="18"/>
      <c r="B35" s="22">
        <v>80104</v>
      </c>
      <c r="C35" s="23" t="s">
        <v>45</v>
      </c>
      <c r="D35" s="25">
        <f t="shared" si="1"/>
        <v>377000</v>
      </c>
      <c r="E35" s="25">
        <f t="shared" si="1"/>
        <v>413736</v>
      </c>
      <c r="F35" s="176">
        <f t="shared" si="1"/>
        <v>409920</v>
      </c>
      <c r="G35" s="133">
        <f t="shared" si="0"/>
        <v>0.990776727188352</v>
      </c>
      <c r="H35" s="2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6" customFormat="1" ht="38.25">
      <c r="A36" s="1"/>
      <c r="B36" s="2"/>
      <c r="C36" s="9" t="s">
        <v>72</v>
      </c>
      <c r="D36" s="13">
        <v>377000</v>
      </c>
      <c r="E36" s="13">
        <v>413736</v>
      </c>
      <c r="F36" s="175">
        <v>409920</v>
      </c>
      <c r="G36" s="132">
        <f t="shared" si="0"/>
        <v>0.990776727188352</v>
      </c>
      <c r="H36" s="9" t="s">
        <v>1060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6" customFormat="1" ht="19.5" customHeight="1" thickBot="1">
      <c r="A37" s="212">
        <v>854</v>
      </c>
      <c r="B37" s="212"/>
      <c r="C37" s="216" t="s">
        <v>27</v>
      </c>
      <c r="D37" s="217"/>
      <c r="E37" s="217">
        <f>E38</f>
        <v>96695</v>
      </c>
      <c r="F37" s="218">
        <f>F38</f>
        <v>96694.86</v>
      </c>
      <c r="G37" s="219">
        <f>F37/E37</f>
        <v>0.9999985521485082</v>
      </c>
      <c r="H37" s="21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36" customFormat="1" ht="19.5" customHeight="1">
      <c r="A38" s="18"/>
      <c r="B38" s="22">
        <v>85415</v>
      </c>
      <c r="C38" s="23" t="s">
        <v>114</v>
      </c>
      <c r="D38" s="25"/>
      <c r="E38" s="25">
        <f>E39+E40</f>
        <v>96695</v>
      </c>
      <c r="F38" s="176">
        <f>F39+F40</f>
        <v>96694.86</v>
      </c>
      <c r="G38" s="133">
        <f>F38/E38</f>
        <v>0.9999985521485082</v>
      </c>
      <c r="H38" s="2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6" customFormat="1" ht="25.5">
      <c r="A39" s="1"/>
      <c r="B39" s="2"/>
      <c r="C39" s="67" t="s">
        <v>115</v>
      </c>
      <c r="D39" s="66"/>
      <c r="E39" s="66">
        <v>66725</v>
      </c>
      <c r="F39" s="180">
        <f>9921.69+4658.31+35484.58+16660.28</f>
        <v>66724.86</v>
      </c>
      <c r="G39" s="143">
        <f>F39/E39</f>
        <v>0.9999979018358937</v>
      </c>
      <c r="H39" s="67" t="s">
        <v>116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6" customFormat="1" ht="25.5" customHeight="1">
      <c r="A40" s="1"/>
      <c r="B40" s="1"/>
      <c r="C40" s="60" t="s">
        <v>740</v>
      </c>
      <c r="D40" s="61"/>
      <c r="E40" s="61">
        <v>29970</v>
      </c>
      <c r="F40" s="181">
        <f>5512.05+2587.95+14882.53+6987.47</f>
        <v>29970</v>
      </c>
      <c r="G40" s="142">
        <f>F40/E40</f>
        <v>1</v>
      </c>
      <c r="H40" s="60" t="s">
        <v>116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0" s="84" customFormat="1" ht="27.75" customHeight="1" thickBot="1">
      <c r="A41" s="77"/>
      <c r="B41" s="77"/>
      <c r="C41" s="72" t="s">
        <v>105</v>
      </c>
      <c r="D41" s="85">
        <f>D42+D55+D59+D64</f>
        <v>6041000</v>
      </c>
      <c r="E41" s="85">
        <f>E42+E55+E59+E64</f>
        <v>6675690</v>
      </c>
      <c r="F41" s="188">
        <f>F42+F55+F59+F64</f>
        <v>6654623.44</v>
      </c>
      <c r="G41" s="136">
        <f>F41/E41</f>
        <v>0.9968442872571974</v>
      </c>
      <c r="H41" s="86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36" customFormat="1" ht="27.75" customHeight="1" thickBot="1">
      <c r="A42" s="22"/>
      <c r="B42" s="22"/>
      <c r="C42" s="81" t="s">
        <v>94</v>
      </c>
      <c r="D42" s="90">
        <f>D43</f>
        <v>3396000</v>
      </c>
      <c r="E42" s="90">
        <f>E43</f>
        <v>3406000</v>
      </c>
      <c r="F42" s="186">
        <f>F43</f>
        <v>3394558.49</v>
      </c>
      <c r="G42" s="137">
        <f t="shared" si="0"/>
        <v>0.9966407780387552</v>
      </c>
      <c r="H42" s="8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7" s="6" customFormat="1" ht="19.5" customHeight="1" thickBot="1" thickTop="1">
      <c r="A43" s="202">
        <v>852</v>
      </c>
      <c r="B43" s="202"/>
      <c r="C43" s="203" t="s">
        <v>54</v>
      </c>
      <c r="D43" s="213">
        <f>D44+D46+D48+D50</f>
        <v>3396000</v>
      </c>
      <c r="E43" s="213">
        <f>E44+E46+E48+E50</f>
        <v>3406000</v>
      </c>
      <c r="F43" s="214">
        <f>F44+F46+F48+F50</f>
        <v>3394558.49</v>
      </c>
      <c r="G43" s="215">
        <f t="shared" si="0"/>
        <v>0.9966407780387552</v>
      </c>
      <c r="H43" s="21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36" customFormat="1" ht="19.5" customHeight="1">
      <c r="A44" s="18"/>
      <c r="B44" s="22">
        <v>85201</v>
      </c>
      <c r="C44" s="22" t="s">
        <v>837</v>
      </c>
      <c r="D44" s="25">
        <f>D45</f>
        <v>1400000</v>
      </c>
      <c r="E44" s="25">
        <f>E45</f>
        <v>1410000</v>
      </c>
      <c r="F44" s="176">
        <f>F45</f>
        <v>1398558.49</v>
      </c>
      <c r="G44" s="133">
        <f t="shared" si="0"/>
        <v>0.9918854539007093</v>
      </c>
      <c r="H44" s="2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36" customFormat="1" ht="38.25">
      <c r="A45" s="18"/>
      <c r="B45" s="19"/>
      <c r="C45" s="9" t="s">
        <v>56</v>
      </c>
      <c r="D45" s="13">
        <v>1400000</v>
      </c>
      <c r="E45" s="13">
        <v>1410000</v>
      </c>
      <c r="F45" s="175">
        <v>1398558.49</v>
      </c>
      <c r="G45" s="132">
        <f t="shared" si="0"/>
        <v>0.9918854539007093</v>
      </c>
      <c r="H45" s="9" t="s">
        <v>731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36" customFormat="1" ht="19.5" customHeight="1">
      <c r="A46" s="18"/>
      <c r="B46" s="22">
        <v>85202</v>
      </c>
      <c r="C46" s="23" t="s">
        <v>57</v>
      </c>
      <c r="D46" s="25">
        <f>D47</f>
        <v>340000</v>
      </c>
      <c r="E46" s="25">
        <f>E47</f>
        <v>340000</v>
      </c>
      <c r="F46" s="176">
        <f>F47</f>
        <v>340000</v>
      </c>
      <c r="G46" s="133">
        <f t="shared" si="0"/>
        <v>1</v>
      </c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36" customFormat="1" ht="25.5">
      <c r="A47" s="18"/>
      <c r="B47" s="22"/>
      <c r="C47" s="15" t="s">
        <v>84</v>
      </c>
      <c r="D47" s="14">
        <v>340000</v>
      </c>
      <c r="E47" s="14">
        <v>340000</v>
      </c>
      <c r="F47" s="182">
        <v>340000</v>
      </c>
      <c r="G47" s="138">
        <f t="shared" si="0"/>
        <v>1</v>
      </c>
      <c r="H47" s="9" t="s">
        <v>58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36" customFormat="1" ht="19.5" customHeight="1">
      <c r="A48" s="18"/>
      <c r="B48" s="22">
        <v>85203</v>
      </c>
      <c r="C48" s="23" t="s">
        <v>59</v>
      </c>
      <c r="D48" s="25">
        <f>D49</f>
        <v>450000</v>
      </c>
      <c r="E48" s="25">
        <f>E49</f>
        <v>450000</v>
      </c>
      <c r="F48" s="176">
        <f>F49</f>
        <v>450000</v>
      </c>
      <c r="G48" s="133">
        <f t="shared" si="0"/>
        <v>1</v>
      </c>
      <c r="H48" s="2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36" customFormat="1" ht="25.5">
      <c r="A49" s="18"/>
      <c r="B49" s="19"/>
      <c r="C49" s="9" t="s">
        <v>66</v>
      </c>
      <c r="D49" s="13">
        <v>450000</v>
      </c>
      <c r="E49" s="13">
        <v>450000</v>
      </c>
      <c r="F49" s="175">
        <v>450000</v>
      </c>
      <c r="G49" s="132">
        <f t="shared" si="0"/>
        <v>1</v>
      </c>
      <c r="H49" s="9" t="s">
        <v>60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36" customFormat="1" ht="19.5" customHeight="1">
      <c r="A50" s="18"/>
      <c r="B50" s="22">
        <v>85295</v>
      </c>
      <c r="C50" s="23" t="s">
        <v>13</v>
      </c>
      <c r="D50" s="25">
        <f>SUM(D51:D54)</f>
        <v>1206000</v>
      </c>
      <c r="E50" s="25">
        <f>SUM(E51:E54)</f>
        <v>1206000</v>
      </c>
      <c r="F50" s="176">
        <f>SUM(F51:F54)</f>
        <v>1206000</v>
      </c>
      <c r="G50" s="133">
        <f t="shared" si="0"/>
        <v>1</v>
      </c>
      <c r="H50" s="2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36" customFormat="1" ht="38.25">
      <c r="A51" s="18"/>
      <c r="B51" s="18"/>
      <c r="C51" s="40" t="s">
        <v>70</v>
      </c>
      <c r="D51" s="43">
        <v>1141000</v>
      </c>
      <c r="E51" s="43">
        <v>1154500</v>
      </c>
      <c r="F51" s="183">
        <v>1154500</v>
      </c>
      <c r="G51" s="139">
        <f t="shared" si="0"/>
        <v>1</v>
      </c>
      <c r="H51" s="40" t="s">
        <v>830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38" customFormat="1" ht="31.5" customHeight="1">
      <c r="A52" s="18"/>
      <c r="B52" s="18"/>
      <c r="C52" s="7" t="s">
        <v>78</v>
      </c>
      <c r="D52" s="8">
        <v>33000</v>
      </c>
      <c r="E52" s="8">
        <v>33000</v>
      </c>
      <c r="F52" s="184">
        <v>33000</v>
      </c>
      <c r="G52" s="140">
        <f t="shared" si="0"/>
        <v>1</v>
      </c>
      <c r="H52" s="7" t="s">
        <v>77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42"/>
      <c r="AF52" s="42"/>
      <c r="AG52" s="42"/>
      <c r="AH52" s="42"/>
      <c r="AI52" s="42"/>
      <c r="AJ52" s="42"/>
      <c r="AK52" s="42"/>
    </row>
    <row r="53" spans="1:37" s="36" customFormat="1" ht="18" customHeight="1">
      <c r="A53" s="18"/>
      <c r="B53" s="18"/>
      <c r="C53" s="44" t="s">
        <v>79</v>
      </c>
      <c r="D53" s="45">
        <v>18000</v>
      </c>
      <c r="E53" s="45">
        <v>4500</v>
      </c>
      <c r="F53" s="185">
        <v>4500</v>
      </c>
      <c r="G53" s="148">
        <f t="shared" si="0"/>
        <v>1</v>
      </c>
      <c r="H53" s="44" t="s">
        <v>83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36" customFormat="1" ht="25.5">
      <c r="A54" s="18"/>
      <c r="B54" s="18"/>
      <c r="C54" s="60" t="s">
        <v>109</v>
      </c>
      <c r="D54" s="61">
        <v>14000</v>
      </c>
      <c r="E54" s="61">
        <v>14000</v>
      </c>
      <c r="F54" s="181">
        <v>14000</v>
      </c>
      <c r="G54" s="142">
        <f t="shared" si="0"/>
        <v>1</v>
      </c>
      <c r="H54" s="60" t="s">
        <v>82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36" customFormat="1" ht="21.75" customHeight="1" thickBot="1">
      <c r="A55" s="18"/>
      <c r="B55" s="18"/>
      <c r="C55" s="56" t="s">
        <v>89</v>
      </c>
      <c r="D55" s="57">
        <f aca="true" t="shared" si="2" ref="D55:F57">D56</f>
        <v>560000</v>
      </c>
      <c r="E55" s="57">
        <f t="shared" si="2"/>
        <v>560000</v>
      </c>
      <c r="F55" s="179">
        <f t="shared" si="2"/>
        <v>550374.95</v>
      </c>
      <c r="G55" s="135">
        <f t="shared" si="0"/>
        <v>0.9828124107142856</v>
      </c>
      <c r="H55" s="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6" customFormat="1" ht="19.5" customHeight="1" thickBot="1" thickTop="1">
      <c r="A56" s="212">
        <v>852</v>
      </c>
      <c r="B56" s="212"/>
      <c r="C56" s="216" t="s">
        <v>54</v>
      </c>
      <c r="D56" s="217">
        <f t="shared" si="2"/>
        <v>560000</v>
      </c>
      <c r="E56" s="217">
        <f t="shared" si="2"/>
        <v>560000</v>
      </c>
      <c r="F56" s="218">
        <f t="shared" si="2"/>
        <v>550374.95</v>
      </c>
      <c r="G56" s="219">
        <f t="shared" si="0"/>
        <v>0.9828124107142856</v>
      </c>
      <c r="H56" s="217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6" customFormat="1" ht="19.5" customHeight="1">
      <c r="A57" s="18"/>
      <c r="B57" s="22">
        <v>85201</v>
      </c>
      <c r="C57" s="22" t="s">
        <v>837</v>
      </c>
      <c r="D57" s="25">
        <f t="shared" si="2"/>
        <v>560000</v>
      </c>
      <c r="E57" s="25">
        <f t="shared" si="2"/>
        <v>560000</v>
      </c>
      <c r="F57" s="176">
        <f t="shared" si="2"/>
        <v>550374.95</v>
      </c>
      <c r="G57" s="133">
        <f t="shared" si="0"/>
        <v>0.9828124107142856</v>
      </c>
      <c r="H57" s="2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6" customFormat="1" ht="51">
      <c r="A58" s="18"/>
      <c r="B58" s="49"/>
      <c r="C58" s="9" t="s">
        <v>56</v>
      </c>
      <c r="D58" s="13">
        <v>560000</v>
      </c>
      <c r="E58" s="13">
        <v>560000</v>
      </c>
      <c r="F58" s="175">
        <v>550374.95</v>
      </c>
      <c r="G58" s="132">
        <f t="shared" si="0"/>
        <v>0.9828124107142856</v>
      </c>
      <c r="H58" s="9" t="s">
        <v>836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36" customFormat="1" ht="24.75" customHeight="1" thickBot="1">
      <c r="A59" s="18"/>
      <c r="B59" s="18"/>
      <c r="C59" s="56" t="s">
        <v>64</v>
      </c>
      <c r="D59" s="57">
        <f aca="true" t="shared" si="3" ref="D59:F60">D60</f>
        <v>291000</v>
      </c>
      <c r="E59" s="57">
        <f t="shared" si="3"/>
        <v>291000</v>
      </c>
      <c r="F59" s="179">
        <f t="shared" si="3"/>
        <v>291000</v>
      </c>
      <c r="G59" s="135">
        <f t="shared" si="0"/>
        <v>1</v>
      </c>
      <c r="H59" s="55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6" customFormat="1" ht="19.5" customHeight="1" thickBot="1" thickTop="1">
      <c r="A60" s="212">
        <v>852</v>
      </c>
      <c r="B60" s="212"/>
      <c r="C60" s="203" t="s">
        <v>54</v>
      </c>
      <c r="D60" s="213">
        <f t="shared" si="3"/>
        <v>291000</v>
      </c>
      <c r="E60" s="213">
        <f t="shared" si="3"/>
        <v>291000</v>
      </c>
      <c r="F60" s="214">
        <f t="shared" si="3"/>
        <v>291000</v>
      </c>
      <c r="G60" s="215">
        <f t="shared" si="0"/>
        <v>1</v>
      </c>
      <c r="H60" s="21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36" customFormat="1" ht="19.5" customHeight="1">
      <c r="A61" s="18"/>
      <c r="B61" s="22">
        <v>85203</v>
      </c>
      <c r="C61" s="23" t="s">
        <v>59</v>
      </c>
      <c r="D61" s="25">
        <f>SUM(D62:D63)</f>
        <v>291000</v>
      </c>
      <c r="E61" s="25">
        <f>SUM(E62:E63)</f>
        <v>291000</v>
      </c>
      <c r="F61" s="176">
        <f>SUM(F62:F63)</f>
        <v>291000</v>
      </c>
      <c r="G61" s="133">
        <f t="shared" si="0"/>
        <v>1</v>
      </c>
      <c r="H61" s="2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6" customFormat="1" ht="30" customHeight="1">
      <c r="A62" s="1"/>
      <c r="B62" s="1"/>
      <c r="C62" s="67" t="s">
        <v>69</v>
      </c>
      <c r="D62" s="66">
        <v>271000</v>
      </c>
      <c r="E62" s="66">
        <v>271000</v>
      </c>
      <c r="F62" s="180">
        <v>271000</v>
      </c>
      <c r="G62" s="143">
        <f t="shared" si="0"/>
        <v>1</v>
      </c>
      <c r="H62" s="67" t="s">
        <v>68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6" customFormat="1" ht="30.75" customHeight="1">
      <c r="A63" s="1"/>
      <c r="B63" s="1"/>
      <c r="C63" s="60" t="s">
        <v>96</v>
      </c>
      <c r="D63" s="61">
        <v>20000</v>
      </c>
      <c r="E63" s="61">
        <v>20000</v>
      </c>
      <c r="F63" s="181">
        <v>20000</v>
      </c>
      <c r="G63" s="142">
        <f t="shared" si="0"/>
        <v>1</v>
      </c>
      <c r="H63" s="60" t="s">
        <v>742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36" customFormat="1" ht="27.75" customHeight="1" thickBot="1">
      <c r="A64" s="18"/>
      <c r="B64" s="22"/>
      <c r="C64" s="56" t="s">
        <v>88</v>
      </c>
      <c r="D64" s="57">
        <f aca="true" t="shared" si="4" ref="D64:F65">D65</f>
        <v>1794000</v>
      </c>
      <c r="E64" s="57">
        <f t="shared" si="4"/>
        <v>2418690</v>
      </c>
      <c r="F64" s="179">
        <f t="shared" si="4"/>
        <v>2418690</v>
      </c>
      <c r="G64" s="135">
        <f t="shared" si="0"/>
        <v>1</v>
      </c>
      <c r="H64" s="5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6" customFormat="1" ht="19.5" customHeight="1" thickBot="1" thickTop="1">
      <c r="A65" s="212">
        <v>852</v>
      </c>
      <c r="B65" s="212"/>
      <c r="C65" s="203" t="s">
        <v>54</v>
      </c>
      <c r="D65" s="213">
        <f t="shared" si="4"/>
        <v>1794000</v>
      </c>
      <c r="E65" s="213">
        <f t="shared" si="4"/>
        <v>2418690</v>
      </c>
      <c r="F65" s="214">
        <f t="shared" si="4"/>
        <v>2418690</v>
      </c>
      <c r="G65" s="215">
        <f t="shared" si="0"/>
        <v>1</v>
      </c>
      <c r="H65" s="216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36" customFormat="1" ht="19.5" customHeight="1">
      <c r="A66" s="18"/>
      <c r="B66" s="22">
        <v>85203</v>
      </c>
      <c r="C66" s="23" t="s">
        <v>59</v>
      </c>
      <c r="D66" s="25">
        <f>SUM(D67:D69)</f>
        <v>1794000</v>
      </c>
      <c r="E66" s="25">
        <f>SUM(E67:E69)</f>
        <v>2418690</v>
      </c>
      <c r="F66" s="176">
        <f>SUM(F67:F69)</f>
        <v>2418690</v>
      </c>
      <c r="G66" s="133">
        <f t="shared" si="0"/>
        <v>1</v>
      </c>
      <c r="H66" s="2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6" customFormat="1" ht="25.5">
      <c r="A67" s="1"/>
      <c r="B67" s="1"/>
      <c r="C67" s="67" t="s">
        <v>120</v>
      </c>
      <c r="D67" s="43">
        <v>1769000</v>
      </c>
      <c r="E67" s="43">
        <v>2203690</v>
      </c>
      <c r="F67" s="183">
        <v>2203690</v>
      </c>
      <c r="G67" s="143">
        <f t="shared" si="0"/>
        <v>1</v>
      </c>
      <c r="H67" s="40" t="s">
        <v>835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6" customFormat="1" ht="32.25" customHeight="1">
      <c r="A68" s="1"/>
      <c r="B68" s="1"/>
      <c r="C68" s="7" t="s">
        <v>733</v>
      </c>
      <c r="D68" s="17"/>
      <c r="E68" s="17">
        <v>190000</v>
      </c>
      <c r="F68" s="187">
        <v>190000</v>
      </c>
      <c r="G68" s="140">
        <f t="shared" si="0"/>
        <v>1</v>
      </c>
      <c r="H68" s="16" t="s">
        <v>734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6" customFormat="1" ht="38.25">
      <c r="A69" s="1"/>
      <c r="B69" s="1"/>
      <c r="C69" s="7" t="s">
        <v>100</v>
      </c>
      <c r="D69" s="8">
        <v>25000</v>
      </c>
      <c r="E69" s="8">
        <v>25000</v>
      </c>
      <c r="F69" s="184">
        <v>25000</v>
      </c>
      <c r="G69" s="140">
        <f t="shared" si="0"/>
        <v>1</v>
      </c>
      <c r="H69" s="7" t="s">
        <v>110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0" s="84" customFormat="1" ht="23.25" customHeight="1" thickBot="1">
      <c r="A70" s="77"/>
      <c r="B70" s="77"/>
      <c r="C70" s="89" t="s">
        <v>108</v>
      </c>
      <c r="D70" s="85">
        <f aca="true" t="shared" si="5" ref="D70:E78">D71</f>
        <v>700000</v>
      </c>
      <c r="E70" s="85">
        <f t="shared" si="5"/>
        <v>1025000</v>
      </c>
      <c r="F70" s="188">
        <f>F71</f>
        <v>1024961</v>
      </c>
      <c r="G70" s="136">
        <v>0.9999</v>
      </c>
      <c r="H70" s="86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4" customFormat="1" ht="29.25" customHeight="1" thickBot="1">
      <c r="A71" s="22"/>
      <c r="B71" s="22"/>
      <c r="C71" s="81" t="s">
        <v>94</v>
      </c>
      <c r="D71" s="87">
        <f t="shared" si="5"/>
        <v>700000</v>
      </c>
      <c r="E71" s="87">
        <f t="shared" si="5"/>
        <v>1025000</v>
      </c>
      <c r="F71" s="189">
        <f>F72</f>
        <v>1024961</v>
      </c>
      <c r="G71" s="144">
        <v>0.9999</v>
      </c>
      <c r="H71" s="88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7" s="6" customFormat="1" ht="19.5" customHeight="1" thickBot="1" thickTop="1">
      <c r="A72" s="202">
        <v>921</v>
      </c>
      <c r="B72" s="202"/>
      <c r="C72" s="203" t="s">
        <v>16</v>
      </c>
      <c r="D72" s="213">
        <f t="shared" si="5"/>
        <v>700000</v>
      </c>
      <c r="E72" s="213">
        <f t="shared" si="5"/>
        <v>1025000</v>
      </c>
      <c r="F72" s="214">
        <f>F73</f>
        <v>1024961</v>
      </c>
      <c r="G72" s="215">
        <v>0.9999</v>
      </c>
      <c r="H72" s="213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0" s="36" customFormat="1" ht="19.5" customHeight="1">
      <c r="A73" s="18"/>
      <c r="B73" s="22">
        <v>92120</v>
      </c>
      <c r="C73" s="23" t="s">
        <v>93</v>
      </c>
      <c r="D73" s="25">
        <f t="shared" si="5"/>
        <v>700000</v>
      </c>
      <c r="E73" s="25">
        <f t="shared" si="5"/>
        <v>1025000</v>
      </c>
      <c r="F73" s="176">
        <f>F74</f>
        <v>1024961</v>
      </c>
      <c r="G73" s="133">
        <v>0.9999</v>
      </c>
      <c r="H73" s="2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7" s="6" customFormat="1" ht="25.5">
      <c r="A74" s="1"/>
      <c r="B74" s="1"/>
      <c r="C74" s="9" t="s">
        <v>101</v>
      </c>
      <c r="D74" s="13">
        <v>700000</v>
      </c>
      <c r="E74" s="13">
        <v>1025000</v>
      </c>
      <c r="F74" s="175">
        <f>576242+398719+50000</f>
        <v>1024961</v>
      </c>
      <c r="G74" s="132">
        <v>0.9999</v>
      </c>
      <c r="H74" s="13" t="s">
        <v>106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0" s="84" customFormat="1" ht="37.5" customHeight="1" thickBot="1">
      <c r="A75" s="18"/>
      <c r="B75" s="18"/>
      <c r="C75" s="86" t="s">
        <v>735</v>
      </c>
      <c r="D75" s="162"/>
      <c r="E75" s="85">
        <f>E77</f>
        <v>66000</v>
      </c>
      <c r="F75" s="168"/>
      <c r="G75" s="136"/>
      <c r="H75" s="86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s="84" customFormat="1" ht="21.75" customHeight="1" thickBot="1">
      <c r="A76" s="22"/>
      <c r="B76" s="22"/>
      <c r="C76" s="56" t="s">
        <v>736</v>
      </c>
      <c r="D76" s="158"/>
      <c r="E76" s="158">
        <f t="shared" si="5"/>
        <v>66000</v>
      </c>
      <c r="F76" s="170"/>
      <c r="G76" s="159"/>
      <c r="H76" s="16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7" s="6" customFormat="1" ht="19.5" customHeight="1" thickBot="1" thickTop="1">
      <c r="A77" s="202">
        <v>853</v>
      </c>
      <c r="B77" s="202"/>
      <c r="C77" s="203" t="s">
        <v>737</v>
      </c>
      <c r="D77" s="213"/>
      <c r="E77" s="213">
        <f t="shared" si="5"/>
        <v>66000</v>
      </c>
      <c r="F77" s="220"/>
      <c r="G77" s="215"/>
      <c r="H77" s="213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0" s="36" customFormat="1" ht="19.5" customHeight="1">
      <c r="A78" s="18"/>
      <c r="B78" s="22">
        <v>85395</v>
      </c>
      <c r="C78" s="23" t="s">
        <v>13</v>
      </c>
      <c r="D78" s="25"/>
      <c r="E78" s="25">
        <f t="shared" si="5"/>
        <v>66000</v>
      </c>
      <c r="F78" s="166"/>
      <c r="G78" s="133"/>
      <c r="H78" s="2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7" s="6" customFormat="1" ht="28.5" customHeight="1">
      <c r="A79" s="11"/>
      <c r="B79" s="10"/>
      <c r="C79" s="15" t="s">
        <v>738</v>
      </c>
      <c r="D79" s="14"/>
      <c r="E79" s="14">
        <v>66000</v>
      </c>
      <c r="F79" s="169"/>
      <c r="G79" s="138"/>
      <c r="H79" s="161" t="s">
        <v>739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ht="28.5" customHeight="1"/>
    <row r="81" spans="1:30" s="80" customFormat="1" ht="32.25" customHeight="1" thickBot="1">
      <c r="A81" s="77"/>
      <c r="B81" s="77"/>
      <c r="C81" s="78" t="s">
        <v>107</v>
      </c>
      <c r="D81" s="79">
        <f>D82</f>
        <v>4295000</v>
      </c>
      <c r="E81" s="79">
        <f>E82</f>
        <v>4050930</v>
      </c>
      <c r="F81" s="196">
        <f>F82</f>
        <v>3973843.38</v>
      </c>
      <c r="G81" s="145">
        <f aca="true" t="shared" si="6" ref="G81:G121">F81/E81</f>
        <v>0.9809706363723886</v>
      </c>
      <c r="H81" s="78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s="76" customFormat="1" ht="29.25" customHeight="1" thickBot="1">
      <c r="A82" s="22"/>
      <c r="B82" s="22"/>
      <c r="C82" s="15" t="s">
        <v>94</v>
      </c>
      <c r="D82" s="25">
        <f>D83+D86+D105+D108+D115</f>
        <v>4295000</v>
      </c>
      <c r="E82" s="25">
        <f>E83+E86+E105+E108+E115</f>
        <v>4050930</v>
      </c>
      <c r="F82" s="176">
        <f>F83+F86+F105+F108+F115</f>
        <v>3973843.38</v>
      </c>
      <c r="G82" s="133">
        <f t="shared" si="6"/>
        <v>0.9809706363723886</v>
      </c>
      <c r="H82" s="2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7" s="6" customFormat="1" ht="19.5" customHeight="1" thickBot="1" thickTop="1">
      <c r="A83" s="212">
        <v>630</v>
      </c>
      <c r="B83" s="212"/>
      <c r="C83" s="221" t="s">
        <v>25</v>
      </c>
      <c r="D83" s="222">
        <f aca="true" t="shared" si="7" ref="D83:F84">D84</f>
        <v>26000</v>
      </c>
      <c r="E83" s="222">
        <f t="shared" si="7"/>
        <v>26000</v>
      </c>
      <c r="F83" s="223">
        <f>F84</f>
        <v>26000</v>
      </c>
      <c r="G83" s="224">
        <f t="shared" si="6"/>
        <v>1</v>
      </c>
      <c r="H83" s="221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36" customFormat="1" ht="19.5" customHeight="1">
      <c r="A84" s="18"/>
      <c r="B84" s="22">
        <v>63003</v>
      </c>
      <c r="C84" s="23" t="s">
        <v>26</v>
      </c>
      <c r="D84" s="25">
        <f t="shared" si="7"/>
        <v>26000</v>
      </c>
      <c r="E84" s="25">
        <f t="shared" si="7"/>
        <v>26000</v>
      </c>
      <c r="F84" s="176">
        <f t="shared" si="7"/>
        <v>26000</v>
      </c>
      <c r="G84" s="133">
        <f t="shared" si="6"/>
        <v>1</v>
      </c>
      <c r="H84" s="22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6" customFormat="1" ht="25.5">
      <c r="A85" s="11"/>
      <c r="B85" s="10"/>
      <c r="C85" s="9" t="s">
        <v>30</v>
      </c>
      <c r="D85" s="13">
        <v>26000</v>
      </c>
      <c r="E85" s="13">
        <v>26000</v>
      </c>
      <c r="F85" s="175">
        <v>26000</v>
      </c>
      <c r="G85" s="132">
        <f t="shared" si="6"/>
        <v>1</v>
      </c>
      <c r="H85" s="15" t="s">
        <v>743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6" customFormat="1" ht="19.5" customHeight="1" thickBot="1">
      <c r="A86" s="212">
        <v>851</v>
      </c>
      <c r="B86" s="212"/>
      <c r="C86" s="216" t="s">
        <v>19</v>
      </c>
      <c r="D86" s="217">
        <f>D87+D90+D95</f>
        <v>1695000</v>
      </c>
      <c r="E86" s="217">
        <f>E87+E90+E95</f>
        <v>1450930</v>
      </c>
      <c r="F86" s="218">
        <f>F87+F90+F95</f>
        <v>1435623.82</v>
      </c>
      <c r="G86" s="219">
        <f t="shared" si="6"/>
        <v>0.9894507798446514</v>
      </c>
      <c r="H86" s="21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36" customFormat="1" ht="19.5" customHeight="1">
      <c r="A87" s="18"/>
      <c r="B87" s="22">
        <v>85153</v>
      </c>
      <c r="C87" s="22" t="s">
        <v>21</v>
      </c>
      <c r="D87" s="25">
        <f>D88</f>
        <v>60000</v>
      </c>
      <c r="E87" s="25">
        <f>E88</f>
        <v>80000</v>
      </c>
      <c r="F87" s="176">
        <f>F88</f>
        <v>80000</v>
      </c>
      <c r="G87" s="133">
        <f t="shared" si="6"/>
        <v>1</v>
      </c>
      <c r="H87" s="22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6" customFormat="1" ht="25.5" customHeight="1">
      <c r="A88" s="1"/>
      <c r="B88" s="2"/>
      <c r="C88" s="27" t="s">
        <v>75</v>
      </c>
      <c r="D88" s="28">
        <f>SUM(D89:D89)</f>
        <v>60000</v>
      </c>
      <c r="E88" s="28">
        <v>80000</v>
      </c>
      <c r="F88" s="190">
        <f>F89</f>
        <v>80000</v>
      </c>
      <c r="G88" s="146">
        <f t="shared" si="6"/>
        <v>1</v>
      </c>
      <c r="H88" s="2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6" customFormat="1" ht="42" customHeight="1">
      <c r="A89" s="1"/>
      <c r="B89" s="11"/>
      <c r="C89" s="46" t="s">
        <v>91</v>
      </c>
      <c r="D89" s="14">
        <v>60000</v>
      </c>
      <c r="E89" s="14">
        <v>80000</v>
      </c>
      <c r="F89" s="182">
        <v>80000</v>
      </c>
      <c r="G89" s="138">
        <f t="shared" si="6"/>
        <v>1</v>
      </c>
      <c r="H89" s="46" t="s">
        <v>834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6" customFormat="1" ht="19.5" customHeight="1">
      <c r="A90" s="1"/>
      <c r="B90" s="22">
        <v>85154</v>
      </c>
      <c r="C90" s="23" t="s">
        <v>20</v>
      </c>
      <c r="D90" s="24">
        <f>D91</f>
        <v>1422500</v>
      </c>
      <c r="E90" s="24">
        <f>E91</f>
        <v>1187430</v>
      </c>
      <c r="F90" s="194">
        <f>F91</f>
        <v>1172152.31</v>
      </c>
      <c r="G90" s="147">
        <f t="shared" si="6"/>
        <v>0.9871338184145593</v>
      </c>
      <c r="H90" s="2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6" customFormat="1" ht="25.5" customHeight="1">
      <c r="A91" s="1"/>
      <c r="B91" s="1"/>
      <c r="C91" s="27" t="s">
        <v>76</v>
      </c>
      <c r="D91" s="28">
        <f>SUM(D92:D94)</f>
        <v>1422500</v>
      </c>
      <c r="E91" s="28">
        <v>1187430</v>
      </c>
      <c r="F91" s="190">
        <f>SUM(F92:F94)</f>
        <v>1172152.31</v>
      </c>
      <c r="G91" s="146">
        <f t="shared" si="6"/>
        <v>0.9871338184145593</v>
      </c>
      <c r="H91" s="27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6" customFormat="1" ht="38.25">
      <c r="A92" s="1"/>
      <c r="B92" s="1"/>
      <c r="C92" s="16" t="s">
        <v>833</v>
      </c>
      <c r="D92" s="17">
        <v>135000</v>
      </c>
      <c r="E92" s="17">
        <v>99600</v>
      </c>
      <c r="F92" s="187">
        <f>94460+5000</f>
        <v>99460</v>
      </c>
      <c r="G92" s="141">
        <f t="shared" si="6"/>
        <v>0.9985943775100402</v>
      </c>
      <c r="H92" s="12" t="s">
        <v>744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37" customFormat="1" ht="38.25">
      <c r="A93" s="1"/>
      <c r="B93" s="1"/>
      <c r="C93" s="7" t="s">
        <v>38</v>
      </c>
      <c r="D93" s="8">
        <v>593500</v>
      </c>
      <c r="E93" s="8">
        <v>468500</v>
      </c>
      <c r="F93" s="184">
        <f>94941.04+148000+225500</f>
        <v>468441.04</v>
      </c>
      <c r="G93" s="140">
        <f t="shared" si="6"/>
        <v>0.9998741515474919</v>
      </c>
      <c r="H93" s="7" t="s">
        <v>829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 s="42"/>
      <c r="AF93" s="42"/>
      <c r="AG93" s="42"/>
      <c r="AH93" s="42"/>
      <c r="AI93" s="42"/>
      <c r="AJ93" s="42"/>
      <c r="AK93" s="42"/>
    </row>
    <row r="94" spans="1:37" s="47" customFormat="1" ht="91.5" customHeight="1">
      <c r="A94" s="1"/>
      <c r="B94" s="11"/>
      <c r="C94" s="15" t="s">
        <v>97</v>
      </c>
      <c r="D94" s="14">
        <v>694000</v>
      </c>
      <c r="E94" s="14">
        <v>619330</v>
      </c>
      <c r="F94" s="182">
        <f>90271.22+370746.5+143233.55</f>
        <v>604251.27</v>
      </c>
      <c r="G94" s="138">
        <f t="shared" si="6"/>
        <v>0.975653157444335</v>
      </c>
      <c r="H94" s="15" t="s">
        <v>832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6" customFormat="1" ht="19.5" customHeight="1">
      <c r="A95" s="1"/>
      <c r="B95" s="22">
        <v>85195</v>
      </c>
      <c r="C95" s="22" t="s">
        <v>13</v>
      </c>
      <c r="D95" s="25">
        <f>D96</f>
        <v>212500</v>
      </c>
      <c r="E95" s="25">
        <f>E96</f>
        <v>183500</v>
      </c>
      <c r="F95" s="176">
        <f>F96</f>
        <v>183471.51</v>
      </c>
      <c r="G95" s="133">
        <f t="shared" si="6"/>
        <v>0.9998447411444142</v>
      </c>
      <c r="H95" s="22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6" customFormat="1" ht="25.5" customHeight="1">
      <c r="A96" s="1"/>
      <c r="B96" s="2"/>
      <c r="C96" s="27" t="s">
        <v>86</v>
      </c>
      <c r="D96" s="28">
        <f>SUM(D97:D104)</f>
        <v>212500</v>
      </c>
      <c r="E96" s="28">
        <v>183500</v>
      </c>
      <c r="F96" s="190">
        <f>SUM(F97:F104)</f>
        <v>183471.51</v>
      </c>
      <c r="G96" s="146">
        <f t="shared" si="6"/>
        <v>0.9998447411444142</v>
      </c>
      <c r="H96" s="2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6" customFormat="1" ht="54.75" customHeight="1">
      <c r="A97" s="1"/>
      <c r="B97" s="1"/>
      <c r="C97" s="32" t="s">
        <v>98</v>
      </c>
      <c r="D97" s="30">
        <v>25000</v>
      </c>
      <c r="E97" s="30">
        <v>25000</v>
      </c>
      <c r="F97" s="191">
        <f>9981.52+14999.99</f>
        <v>24981.510000000002</v>
      </c>
      <c r="G97" s="149">
        <f t="shared" si="6"/>
        <v>0.9992604</v>
      </c>
      <c r="H97" s="31" t="s">
        <v>31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s="37" customFormat="1" ht="25.5" customHeight="1">
      <c r="A98" s="1"/>
      <c r="B98" s="1"/>
      <c r="C98" s="26" t="s">
        <v>39</v>
      </c>
      <c r="D98" s="8">
        <v>84000</v>
      </c>
      <c r="E98" s="8">
        <v>71000</v>
      </c>
      <c r="F98" s="184">
        <v>71000</v>
      </c>
      <c r="G98" s="140">
        <f t="shared" si="6"/>
        <v>1</v>
      </c>
      <c r="H98" s="7" t="s">
        <v>31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s="37" customFormat="1" ht="25.5" customHeight="1">
      <c r="A99" s="1"/>
      <c r="B99" s="1"/>
      <c r="C99" s="33" t="s">
        <v>40</v>
      </c>
      <c r="D99" s="17">
        <v>36000</v>
      </c>
      <c r="E99" s="17">
        <v>31000</v>
      </c>
      <c r="F99" s="187">
        <f>5000+26000</f>
        <v>31000</v>
      </c>
      <c r="G99" s="141">
        <f t="shared" si="6"/>
        <v>1</v>
      </c>
      <c r="H99" s="16" t="s">
        <v>36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37" customFormat="1" ht="65.25" customHeight="1">
      <c r="A100" s="11"/>
      <c r="B100" s="11"/>
      <c r="C100" s="164" t="s">
        <v>831</v>
      </c>
      <c r="D100" s="61">
        <v>12000</v>
      </c>
      <c r="E100" s="61">
        <v>9000</v>
      </c>
      <c r="F100" s="181">
        <v>9000</v>
      </c>
      <c r="G100" s="142">
        <f t="shared" si="6"/>
        <v>1</v>
      </c>
      <c r="H100" s="60" t="s">
        <v>727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 s="42"/>
      <c r="AF100" s="42"/>
      <c r="AG100" s="42"/>
      <c r="AH100" s="42"/>
      <c r="AI100" s="42"/>
      <c r="AJ100" s="42"/>
      <c r="AK100" s="42"/>
    </row>
    <row r="101" spans="1:37" s="37" customFormat="1" ht="65.25" customHeight="1">
      <c r="A101" s="1"/>
      <c r="B101" s="1"/>
      <c r="C101" s="33" t="s">
        <v>99</v>
      </c>
      <c r="D101" s="17">
        <v>8500</v>
      </c>
      <c r="E101" s="17">
        <v>4500</v>
      </c>
      <c r="F101" s="187">
        <v>4500</v>
      </c>
      <c r="G101" s="141">
        <f t="shared" si="6"/>
        <v>1</v>
      </c>
      <c r="H101" s="16" t="s">
        <v>37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 s="42"/>
      <c r="AF101" s="42"/>
      <c r="AG101" s="42"/>
      <c r="AH101" s="42"/>
      <c r="AI101" s="42"/>
      <c r="AJ101" s="42"/>
      <c r="AK101" s="42"/>
    </row>
    <row r="102" spans="1:37" s="6" customFormat="1" ht="51" customHeight="1">
      <c r="A102" s="1"/>
      <c r="B102" s="1"/>
      <c r="C102" s="16" t="s">
        <v>32</v>
      </c>
      <c r="D102" s="17">
        <v>17000</v>
      </c>
      <c r="E102" s="17">
        <v>13000</v>
      </c>
      <c r="F102" s="187">
        <v>12990</v>
      </c>
      <c r="G102" s="141">
        <f t="shared" si="6"/>
        <v>0.9992307692307693</v>
      </c>
      <c r="H102" s="16" t="s">
        <v>728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s="6" customFormat="1" ht="22.5" customHeight="1">
      <c r="A103" s="1"/>
      <c r="B103" s="1"/>
      <c r="C103" s="163" t="s">
        <v>33</v>
      </c>
      <c r="D103" s="45">
        <v>20000</v>
      </c>
      <c r="E103" s="45">
        <v>20000</v>
      </c>
      <c r="F103" s="185">
        <v>20000</v>
      </c>
      <c r="G103" s="148">
        <f t="shared" si="6"/>
        <v>1</v>
      </c>
      <c r="H103" s="44" t="s">
        <v>35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s="6" customFormat="1" ht="29.25" customHeight="1">
      <c r="A104" s="11"/>
      <c r="B104" s="11"/>
      <c r="C104" s="164" t="s">
        <v>34</v>
      </c>
      <c r="D104" s="61">
        <v>10000</v>
      </c>
      <c r="E104" s="61">
        <v>10000</v>
      </c>
      <c r="F104" s="181">
        <v>10000</v>
      </c>
      <c r="G104" s="142">
        <f t="shared" si="6"/>
        <v>1</v>
      </c>
      <c r="H104" s="60" t="s">
        <v>35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s="6" customFormat="1" ht="19.5" customHeight="1" thickBot="1">
      <c r="A105" s="212">
        <v>854</v>
      </c>
      <c r="B105" s="212"/>
      <c r="C105" s="216" t="s">
        <v>27</v>
      </c>
      <c r="D105" s="225">
        <f aca="true" t="shared" si="8" ref="D105:F106">D106</f>
        <v>70000</v>
      </c>
      <c r="E105" s="225">
        <f t="shared" si="8"/>
        <v>70000</v>
      </c>
      <c r="F105" s="226">
        <f t="shared" si="8"/>
        <v>66750</v>
      </c>
      <c r="G105" s="227">
        <f t="shared" si="6"/>
        <v>0.9535714285714286</v>
      </c>
      <c r="H105" s="216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s="36" customFormat="1" ht="26.25" customHeight="1">
      <c r="A106" s="18"/>
      <c r="B106" s="63">
        <v>85412</v>
      </c>
      <c r="C106" s="23" t="s">
        <v>67</v>
      </c>
      <c r="D106" s="64">
        <f t="shared" si="8"/>
        <v>70000</v>
      </c>
      <c r="E106" s="64">
        <f t="shared" si="8"/>
        <v>70000</v>
      </c>
      <c r="F106" s="192">
        <f t="shared" si="8"/>
        <v>66750</v>
      </c>
      <c r="G106" s="150">
        <f t="shared" si="6"/>
        <v>0.9535714285714286</v>
      </c>
      <c r="H106" s="22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38" customFormat="1" ht="24" customHeight="1">
      <c r="A107" s="22"/>
      <c r="B107" s="63"/>
      <c r="C107" s="15" t="s">
        <v>71</v>
      </c>
      <c r="D107" s="65">
        <v>70000</v>
      </c>
      <c r="E107" s="65">
        <v>70000</v>
      </c>
      <c r="F107" s="193">
        <v>66750</v>
      </c>
      <c r="G107" s="151">
        <f t="shared" si="6"/>
        <v>0.9535714285714286</v>
      </c>
      <c r="H107" s="15" t="s">
        <v>102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6" customFormat="1" ht="19.5" customHeight="1" thickBot="1">
      <c r="A108" s="212">
        <v>921</v>
      </c>
      <c r="B108" s="212"/>
      <c r="C108" s="216" t="s">
        <v>16</v>
      </c>
      <c r="D108" s="217">
        <f aca="true" t="shared" si="9" ref="D108:F109">D109</f>
        <v>457000</v>
      </c>
      <c r="E108" s="217">
        <f t="shared" si="9"/>
        <v>457000</v>
      </c>
      <c r="F108" s="218">
        <f t="shared" si="9"/>
        <v>408469.56</v>
      </c>
      <c r="G108" s="219">
        <f t="shared" si="6"/>
        <v>0.89380647702407</v>
      </c>
      <c r="H108" s="217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6" customFormat="1" ht="19.5" customHeight="1">
      <c r="A109" s="1"/>
      <c r="B109" s="22">
        <v>92105</v>
      </c>
      <c r="C109" s="23" t="s">
        <v>17</v>
      </c>
      <c r="D109" s="24">
        <f t="shared" si="9"/>
        <v>457000</v>
      </c>
      <c r="E109" s="24">
        <f t="shared" si="9"/>
        <v>457000</v>
      </c>
      <c r="F109" s="194">
        <f t="shared" si="9"/>
        <v>408469.56</v>
      </c>
      <c r="G109" s="147">
        <f t="shared" si="6"/>
        <v>0.89380647702407</v>
      </c>
      <c r="H109" s="25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0" s="37" customFormat="1" ht="19.5" customHeight="1">
      <c r="A110" s="1"/>
      <c r="B110" s="1"/>
      <c r="C110" s="27" t="s">
        <v>80</v>
      </c>
      <c r="D110" s="94">
        <f>SUM(D111:D114)</f>
        <v>457000</v>
      </c>
      <c r="E110" s="94">
        <f>SUM(E111:E114)</f>
        <v>457000</v>
      </c>
      <c r="F110" s="195">
        <f>SUM(F111:F114)</f>
        <v>408469.56</v>
      </c>
      <c r="G110" s="152">
        <f t="shared" si="6"/>
        <v>0.89380647702407</v>
      </c>
      <c r="H110" s="28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7" s="37" customFormat="1" ht="25.5">
      <c r="A111" s="1"/>
      <c r="B111" s="1"/>
      <c r="C111" s="16" t="s">
        <v>18</v>
      </c>
      <c r="D111" s="17">
        <v>382000</v>
      </c>
      <c r="E111" s="17">
        <v>382000</v>
      </c>
      <c r="F111" s="187">
        <f>12000+296469.56+25000</f>
        <v>333469.56</v>
      </c>
      <c r="G111" s="141">
        <f t="shared" si="6"/>
        <v>0.8729569633507853</v>
      </c>
      <c r="H111" s="115" t="s">
        <v>28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37" customFormat="1" ht="25.5">
      <c r="A112" s="1"/>
      <c r="B112" s="1"/>
      <c r="C112" s="7" t="s">
        <v>81</v>
      </c>
      <c r="D112" s="8">
        <v>20000</v>
      </c>
      <c r="E112" s="8">
        <v>20000</v>
      </c>
      <c r="F112" s="184">
        <f>20000</f>
        <v>20000</v>
      </c>
      <c r="G112" s="140">
        <f t="shared" si="6"/>
        <v>1</v>
      </c>
      <c r="H112" s="110" t="s">
        <v>28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 s="42"/>
      <c r="AF112" s="42"/>
      <c r="AG112" s="42"/>
      <c r="AH112" s="42"/>
      <c r="AI112" s="42"/>
      <c r="AJ112" s="42"/>
      <c r="AK112" s="42"/>
    </row>
    <row r="113" spans="1:37" s="6" customFormat="1" ht="25.5">
      <c r="A113" s="1"/>
      <c r="B113" s="1"/>
      <c r="C113" s="44" t="s">
        <v>87</v>
      </c>
      <c r="D113" s="45">
        <v>20000</v>
      </c>
      <c r="E113" s="45">
        <v>20000</v>
      </c>
      <c r="F113" s="185">
        <f>20000</f>
        <v>20000</v>
      </c>
      <c r="G113" s="148">
        <f t="shared" si="6"/>
        <v>1</v>
      </c>
      <c r="H113" s="122" t="s">
        <v>28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s="6" customFormat="1" ht="25.5">
      <c r="A114" s="11"/>
      <c r="B114" s="11"/>
      <c r="C114" s="60" t="s">
        <v>41</v>
      </c>
      <c r="D114" s="61">
        <v>35000</v>
      </c>
      <c r="E114" s="61">
        <v>35000</v>
      </c>
      <c r="F114" s="181">
        <v>35000</v>
      </c>
      <c r="G114" s="142">
        <f t="shared" si="6"/>
        <v>1</v>
      </c>
      <c r="H114" s="123" t="s">
        <v>28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s="6" customFormat="1" ht="19.5" customHeight="1" thickBot="1">
      <c r="A115" s="212">
        <v>926</v>
      </c>
      <c r="B115" s="212"/>
      <c r="C115" s="216" t="s">
        <v>22</v>
      </c>
      <c r="D115" s="217">
        <f>D116+D118</f>
        <v>2047000</v>
      </c>
      <c r="E115" s="217">
        <f>E116+E118</f>
        <v>2047000</v>
      </c>
      <c r="F115" s="218">
        <f>F116+F118</f>
        <v>2037000</v>
      </c>
      <c r="G115" s="219">
        <f t="shared" si="6"/>
        <v>0.995114802149487</v>
      </c>
      <c r="H115" s="216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s="6" customFormat="1" ht="19.5" customHeight="1">
      <c r="A116" s="1"/>
      <c r="B116" s="22">
        <v>92601</v>
      </c>
      <c r="C116" s="22" t="s">
        <v>23</v>
      </c>
      <c r="D116" s="25">
        <f>D117</f>
        <v>206000</v>
      </c>
      <c r="E116" s="25">
        <f>E117</f>
        <v>206000</v>
      </c>
      <c r="F116" s="176">
        <f>F117</f>
        <v>206000</v>
      </c>
      <c r="G116" s="133">
        <f t="shared" si="6"/>
        <v>1</v>
      </c>
      <c r="H116" s="22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s="6" customFormat="1" ht="53.25" customHeight="1">
      <c r="A117" s="1"/>
      <c r="B117" s="10"/>
      <c r="C117" s="9" t="s">
        <v>103</v>
      </c>
      <c r="D117" s="199">
        <v>206000</v>
      </c>
      <c r="E117" s="199">
        <v>206000</v>
      </c>
      <c r="F117" s="200">
        <v>206000</v>
      </c>
      <c r="G117" s="201">
        <f t="shared" si="6"/>
        <v>1</v>
      </c>
      <c r="H117" s="124" t="s">
        <v>29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s="6" customFormat="1" ht="19.5" customHeight="1">
      <c r="A118" s="1"/>
      <c r="B118" s="22">
        <v>92605</v>
      </c>
      <c r="C118" s="23" t="s">
        <v>24</v>
      </c>
      <c r="D118" s="25">
        <f>SUM(D119:D121)</f>
        <v>1841000</v>
      </c>
      <c r="E118" s="25">
        <f>SUM(E119:E121)</f>
        <v>1841000</v>
      </c>
      <c r="F118" s="176">
        <f>SUM(F119:F121)</f>
        <v>1831000</v>
      </c>
      <c r="G118" s="133">
        <f t="shared" si="6"/>
        <v>0.9945681694731124</v>
      </c>
      <c r="H118" s="22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s="6" customFormat="1" ht="25.5">
      <c r="A119" s="1"/>
      <c r="B119" s="2"/>
      <c r="C119" s="2" t="s">
        <v>92</v>
      </c>
      <c r="D119" s="66">
        <v>921000</v>
      </c>
      <c r="E119" s="66">
        <v>921000</v>
      </c>
      <c r="F119" s="180">
        <v>911000</v>
      </c>
      <c r="G119" s="143">
        <f t="shared" si="6"/>
        <v>0.98914223669924</v>
      </c>
      <c r="H119" s="67" t="s">
        <v>112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s="6" customFormat="1" ht="25.5">
      <c r="A120" s="1"/>
      <c r="B120" s="1"/>
      <c r="C120" s="7" t="s">
        <v>90</v>
      </c>
      <c r="D120" s="8">
        <v>890000</v>
      </c>
      <c r="E120" s="8">
        <v>890000</v>
      </c>
      <c r="F120" s="184">
        <v>890000</v>
      </c>
      <c r="G120" s="140">
        <f t="shared" si="6"/>
        <v>1</v>
      </c>
      <c r="H120" s="7" t="s">
        <v>113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s="6" customFormat="1" ht="25.5">
      <c r="A121" s="11"/>
      <c r="B121" s="11"/>
      <c r="C121" s="15" t="s">
        <v>111</v>
      </c>
      <c r="D121" s="14">
        <v>30000</v>
      </c>
      <c r="E121" s="14">
        <v>30000</v>
      </c>
      <c r="F121" s="182">
        <v>30000</v>
      </c>
      <c r="G121" s="138">
        <f t="shared" si="6"/>
        <v>1</v>
      </c>
      <c r="H121" s="15" t="s">
        <v>112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6:7" ht="12.75">
      <c r="F122" s="117"/>
      <c r="G122" s="117"/>
    </row>
    <row r="123" spans="6:7" ht="12.75">
      <c r="F123" s="117"/>
      <c r="G123" s="117"/>
    </row>
    <row r="124" spans="3:7" ht="12.75">
      <c r="C124" s="417" t="s">
        <v>287</v>
      </c>
      <c r="F124" t="s">
        <v>289</v>
      </c>
      <c r="G124" s="117"/>
    </row>
    <row r="125" spans="3:7" ht="12.75">
      <c r="C125" s="417" t="s">
        <v>288</v>
      </c>
      <c r="F125" t="s">
        <v>290</v>
      </c>
      <c r="G125" s="117"/>
    </row>
    <row r="126" spans="6:7" ht="12.75">
      <c r="F126" s="117"/>
      <c r="G126" s="117"/>
    </row>
    <row r="127" spans="6:7" ht="12.75">
      <c r="F127" s="117"/>
      <c r="G127" s="117"/>
    </row>
    <row r="128" spans="6:7" ht="12.75">
      <c r="F128" s="117"/>
      <c r="G128" s="117"/>
    </row>
    <row r="129" spans="6:7" ht="12.75">
      <c r="F129" s="117"/>
      <c r="G129" s="117"/>
    </row>
    <row r="130" spans="6:7" ht="12.75">
      <c r="F130" s="117"/>
      <c r="G130" s="117"/>
    </row>
    <row r="131" spans="6:7" ht="12.75">
      <c r="F131" s="117"/>
      <c r="G131" s="117"/>
    </row>
    <row r="132" spans="6:7" ht="12.75">
      <c r="F132" s="117"/>
      <c r="G132" s="117"/>
    </row>
    <row r="133" spans="6:7" ht="12.75">
      <c r="F133" s="117"/>
      <c r="G133" s="117"/>
    </row>
    <row r="134" spans="6:7" ht="12.75">
      <c r="F134" s="117"/>
      <c r="G134" s="117"/>
    </row>
    <row r="135" spans="6:7" ht="12.75">
      <c r="F135" s="117"/>
      <c r="G135" s="117"/>
    </row>
    <row r="136" spans="6:7" ht="12.75">
      <c r="F136" s="117"/>
      <c r="G136" s="117"/>
    </row>
    <row r="137" spans="6:7" ht="12.75">
      <c r="F137" s="117"/>
      <c r="G137" s="117"/>
    </row>
    <row r="138" spans="6:7" ht="12.75">
      <c r="F138" s="117"/>
      <c r="G138" s="117"/>
    </row>
    <row r="139" spans="6:7" ht="12.75">
      <c r="F139" s="117"/>
      <c r="G139" s="117"/>
    </row>
    <row r="140" spans="6:7" ht="12.75">
      <c r="F140" s="117"/>
      <c r="G140" s="117"/>
    </row>
    <row r="141" spans="6:7" ht="12.75">
      <c r="F141" s="117"/>
      <c r="G141" s="117"/>
    </row>
    <row r="142" spans="6:7" ht="12.75">
      <c r="F142" s="117"/>
      <c r="G142" s="117"/>
    </row>
    <row r="143" spans="6:7" ht="12.75">
      <c r="F143" s="117"/>
      <c r="G143" s="117"/>
    </row>
    <row r="144" spans="6:7" ht="12.75">
      <c r="F144" s="117"/>
      <c r="G144" s="117"/>
    </row>
    <row r="145" spans="6:7" ht="12.75">
      <c r="F145" s="117"/>
      <c r="G145" s="117"/>
    </row>
    <row r="146" spans="6:7" ht="12.75">
      <c r="F146" s="117"/>
      <c r="G146" s="117"/>
    </row>
    <row r="147" spans="6:7" ht="12.75">
      <c r="F147" s="117"/>
      <c r="G147" s="117"/>
    </row>
    <row r="148" spans="6:7" ht="12.75">
      <c r="F148" s="117"/>
      <c r="G148" s="117"/>
    </row>
    <row r="149" spans="6:7" ht="12.75">
      <c r="F149" s="117"/>
      <c r="G149" s="117"/>
    </row>
    <row r="150" spans="6:7" ht="12.75">
      <c r="F150" s="117"/>
      <c r="G150" s="117"/>
    </row>
    <row r="151" spans="6:7" ht="12.75">
      <c r="F151" s="117"/>
      <c r="G151" s="117"/>
    </row>
    <row r="152" spans="6:7" ht="12.75">
      <c r="F152" s="117"/>
      <c r="G152" s="117"/>
    </row>
    <row r="153" spans="6:7" ht="12.75">
      <c r="F153" s="117"/>
      <c r="G153" s="117"/>
    </row>
    <row r="154" spans="6:7" ht="12.75">
      <c r="F154" s="117"/>
      <c r="G154" s="117"/>
    </row>
    <row r="155" spans="6:7" ht="12.75">
      <c r="F155" s="117"/>
      <c r="G155" s="117"/>
    </row>
    <row r="156" spans="6:7" ht="12.75">
      <c r="F156" s="117"/>
      <c r="G156" s="117"/>
    </row>
    <row r="157" spans="6:7" ht="12.75">
      <c r="F157" s="117"/>
      <c r="G157" s="117"/>
    </row>
    <row r="158" spans="6:7" ht="12.75">
      <c r="F158" s="117"/>
      <c r="G158" s="117"/>
    </row>
    <row r="159" spans="6:7" ht="12.75">
      <c r="F159" s="117"/>
      <c r="G159" s="117"/>
    </row>
    <row r="160" spans="6:7" ht="12.75">
      <c r="F160" s="117"/>
      <c r="G160" s="117"/>
    </row>
    <row r="161" spans="6:7" ht="12.75">
      <c r="F161" s="117"/>
      <c r="G161" s="117"/>
    </row>
    <row r="162" spans="6:7" ht="12.75">
      <c r="F162" s="117"/>
      <c r="G162" s="117"/>
    </row>
    <row r="163" spans="6:7" ht="12.75">
      <c r="F163" s="117"/>
      <c r="G163" s="117"/>
    </row>
    <row r="164" spans="6:7" ht="12.75">
      <c r="F164" s="117"/>
      <c r="G164" s="117"/>
    </row>
    <row r="165" spans="6:7" ht="12.75">
      <c r="F165" s="117"/>
      <c r="G165" s="117"/>
    </row>
  </sheetData>
  <printOptions horizontalCentered="1"/>
  <pageMargins left="0.52" right="0.42" top="0.59" bottom="0.56" header="0.5118110236220472" footer="0.43"/>
  <pageSetup firstPageNumber="74" useFirstPageNumber="1" horizontalDpi="600" verticalDpi="600" orientation="landscape" paperSize="9" scale="7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F5" sqref="F5"/>
    </sheetView>
  </sheetViews>
  <sheetFormatPr defaultColWidth="9.00390625" defaultRowHeight="12.75"/>
  <cols>
    <col min="1" max="1" width="10.625" style="1842" customWidth="1"/>
    <col min="2" max="2" width="13.625" style="1842" customWidth="1"/>
    <col min="3" max="3" width="65.875" style="1842" customWidth="1"/>
    <col min="4" max="4" width="25.00390625" style="1845" customWidth="1"/>
    <col min="5" max="5" width="23.25390625" style="1845" customWidth="1"/>
    <col min="6" max="6" width="22.00390625" style="1845" customWidth="1"/>
    <col min="7" max="7" width="17.875" style="1845" customWidth="1"/>
    <col min="8" max="8" width="19.125" style="1801" customWidth="1"/>
    <col min="9" max="13" width="12.125" style="1801" hidden="1" customWidth="1"/>
    <col min="14" max="14" width="12.125" style="1801" customWidth="1"/>
    <col min="15" max="16384" width="9.125" style="1801" customWidth="1"/>
  </cols>
  <sheetData>
    <row r="1" spans="1:7" ht="18.75" customHeight="1">
      <c r="A1" s="1797"/>
      <c r="B1" s="1797"/>
      <c r="C1" s="1798"/>
      <c r="D1" s="1799"/>
      <c r="E1" s="1799"/>
      <c r="F1" s="1799" t="s">
        <v>580</v>
      </c>
      <c r="G1" s="1800"/>
    </row>
    <row r="2" spans="1:7" ht="18.75" customHeight="1">
      <c r="A2" s="2787" t="s">
        <v>581</v>
      </c>
      <c r="B2" s="2788"/>
      <c r="C2" s="2788"/>
      <c r="D2" s="2788"/>
      <c r="E2" s="1804"/>
      <c r="F2" s="1799" t="s">
        <v>293</v>
      </c>
      <c r="G2" s="1805"/>
    </row>
    <row r="3" spans="1:7" ht="18.75" customHeight="1">
      <c r="A3" s="1802"/>
      <c r="B3" s="1803"/>
      <c r="C3" s="1803"/>
      <c r="D3" s="1804"/>
      <c r="E3" s="1804"/>
      <c r="F3" s="1799" t="s">
        <v>893</v>
      </c>
      <c r="G3" s="1805"/>
    </row>
    <row r="4" spans="1:7" ht="18.75" customHeight="1">
      <c r="A4" s="1802"/>
      <c r="B4" s="1803"/>
      <c r="C4" s="1803"/>
      <c r="D4" s="1804"/>
      <c r="E4" s="1804"/>
      <c r="F4" s="1799" t="s">
        <v>294</v>
      </c>
      <c r="G4" s="1805"/>
    </row>
    <row r="5" spans="1:7" ht="18.75" customHeight="1">
      <c r="A5" s="1802"/>
      <c r="B5" s="1803"/>
      <c r="C5" s="1803"/>
      <c r="D5" s="1804"/>
      <c r="E5" s="1804"/>
      <c r="F5" s="1804"/>
      <c r="G5" s="1805"/>
    </row>
    <row r="6" spans="1:7" ht="18" customHeight="1" thickBot="1">
      <c r="A6" s="1806"/>
      <c r="B6" s="1806"/>
      <c r="C6" s="1807"/>
      <c r="D6" s="1808"/>
      <c r="E6" s="1808"/>
      <c r="F6" s="1808" t="s">
        <v>725</v>
      </c>
      <c r="G6" s="1806"/>
    </row>
    <row r="7" spans="1:7" ht="53.25" customHeight="1" thickBot="1" thickTop="1">
      <c r="A7" s="1809" t="s">
        <v>11</v>
      </c>
      <c r="B7" s="1809" t="s">
        <v>12</v>
      </c>
      <c r="C7" s="1810" t="s">
        <v>582</v>
      </c>
      <c r="D7" s="1810" t="s">
        <v>583</v>
      </c>
      <c r="E7" s="1810" t="s">
        <v>539</v>
      </c>
      <c r="F7" s="1810" t="s">
        <v>126</v>
      </c>
      <c r="G7" s="1810" t="s">
        <v>570</v>
      </c>
    </row>
    <row r="8" spans="1:7" ht="16.5" customHeight="1" thickBot="1" thickTop="1">
      <c r="A8" s="1811">
        <v>1</v>
      </c>
      <c r="B8" s="1811">
        <v>2</v>
      </c>
      <c r="C8" s="1812">
        <v>3</v>
      </c>
      <c r="D8" s="1811">
        <v>4</v>
      </c>
      <c r="E8" s="1811">
        <v>5</v>
      </c>
      <c r="F8" s="1811">
        <v>6</v>
      </c>
      <c r="G8" s="1811">
        <v>7</v>
      </c>
    </row>
    <row r="9" spans="1:7" ht="21" customHeight="1" thickBot="1" thickTop="1">
      <c r="A9" s="1813">
        <v>750</v>
      </c>
      <c r="B9" s="1814"/>
      <c r="C9" s="1815" t="s">
        <v>184</v>
      </c>
      <c r="D9" s="1813">
        <f>D10</f>
        <v>417000</v>
      </c>
      <c r="E9" s="1813">
        <f>E10</f>
        <v>417000</v>
      </c>
      <c r="F9" s="1816">
        <f>F10</f>
        <v>329535.97</v>
      </c>
      <c r="G9" s="1817">
        <f aca="true" t="shared" si="0" ref="G9:G38">F9/E9</f>
        <v>0.7902541247002397</v>
      </c>
    </row>
    <row r="10" spans="1:7" ht="21" customHeight="1">
      <c r="A10" s="1818"/>
      <c r="B10" s="1819">
        <v>75022</v>
      </c>
      <c r="C10" s="1820" t="s">
        <v>185</v>
      </c>
      <c r="D10" s="1821">
        <f>SUM(D11:D38)</f>
        <v>417000</v>
      </c>
      <c r="E10" s="1821">
        <f>SUM(E11:E38)</f>
        <v>417000</v>
      </c>
      <c r="F10" s="1822">
        <f>SUM(F11:F38)</f>
        <v>329535.97</v>
      </c>
      <c r="G10" s="1823">
        <f t="shared" si="0"/>
        <v>0.7902541247002397</v>
      </c>
    </row>
    <row r="11" spans="1:7" ht="18" customHeight="1">
      <c r="A11" s="1824"/>
      <c r="B11" s="1825"/>
      <c r="C11" s="1826" t="s">
        <v>584</v>
      </c>
      <c r="D11" s="1827">
        <v>11600</v>
      </c>
      <c r="E11" s="1828">
        <v>11600</v>
      </c>
      <c r="F11" s="1829">
        <v>9733.7</v>
      </c>
      <c r="G11" s="1830">
        <f t="shared" si="0"/>
        <v>0.8391120689655173</v>
      </c>
    </row>
    <row r="12" spans="1:7" ht="18" customHeight="1">
      <c r="A12" s="1831"/>
      <c r="B12" s="1831"/>
      <c r="C12" s="1832" t="s">
        <v>585</v>
      </c>
      <c r="D12" s="1833">
        <v>15800</v>
      </c>
      <c r="E12" s="1834">
        <v>16200</v>
      </c>
      <c r="F12" s="1835">
        <v>13401.39</v>
      </c>
      <c r="G12" s="1836">
        <f t="shared" si="0"/>
        <v>0.8272462962962963</v>
      </c>
    </row>
    <row r="13" spans="1:7" ht="18" customHeight="1">
      <c r="A13" s="1831"/>
      <c r="B13" s="1831"/>
      <c r="C13" s="1832" t="s">
        <v>586</v>
      </c>
      <c r="D13" s="1833">
        <v>11400</v>
      </c>
      <c r="E13" s="1834">
        <v>11400</v>
      </c>
      <c r="F13" s="1835">
        <v>7263.5</v>
      </c>
      <c r="G13" s="1836">
        <f t="shared" si="0"/>
        <v>0.6371491228070175</v>
      </c>
    </row>
    <row r="14" spans="1:7" ht="18" customHeight="1">
      <c r="A14" s="1831"/>
      <c r="B14" s="1831"/>
      <c r="C14" s="1832" t="s">
        <v>587</v>
      </c>
      <c r="D14" s="1833">
        <v>11900</v>
      </c>
      <c r="E14" s="1834">
        <v>12000</v>
      </c>
      <c r="F14" s="1835">
        <v>11526.6</v>
      </c>
      <c r="G14" s="1836">
        <f t="shared" si="0"/>
        <v>0.96055</v>
      </c>
    </row>
    <row r="15" spans="1:7" ht="18" customHeight="1">
      <c r="A15" s="1828"/>
      <c r="B15" s="1828"/>
      <c r="C15" s="1832" t="s">
        <v>588</v>
      </c>
      <c r="D15" s="1833">
        <v>11500</v>
      </c>
      <c r="E15" s="1834">
        <v>11500</v>
      </c>
      <c r="F15" s="1835">
        <v>9639.62</v>
      </c>
      <c r="G15" s="1836">
        <f t="shared" si="0"/>
        <v>0.8382278260869566</v>
      </c>
    </row>
    <row r="16" spans="1:7" ht="18" customHeight="1">
      <c r="A16" s="1837"/>
      <c r="B16" s="1828"/>
      <c r="C16" s="1832" t="s">
        <v>589</v>
      </c>
      <c r="D16" s="1833">
        <v>18500</v>
      </c>
      <c r="E16" s="1834">
        <v>10200</v>
      </c>
      <c r="F16" s="1835">
        <v>810.55</v>
      </c>
      <c r="G16" s="1836">
        <f t="shared" si="0"/>
        <v>0.0794656862745098</v>
      </c>
    </row>
    <row r="17" spans="1:7" ht="18" customHeight="1">
      <c r="A17" s="1837"/>
      <c r="B17" s="1828"/>
      <c r="C17" s="1832" t="s">
        <v>590</v>
      </c>
      <c r="D17" s="1833">
        <v>11900</v>
      </c>
      <c r="E17" s="1834">
        <v>11900</v>
      </c>
      <c r="F17" s="1835">
        <v>9677.31</v>
      </c>
      <c r="G17" s="1836">
        <f t="shared" si="0"/>
        <v>0.8132193277310924</v>
      </c>
    </row>
    <row r="18" spans="1:7" ht="18" customHeight="1">
      <c r="A18" s="1837"/>
      <c r="B18" s="1828"/>
      <c r="C18" s="1832" t="s">
        <v>591</v>
      </c>
      <c r="D18" s="1833">
        <v>17500</v>
      </c>
      <c r="E18" s="1834">
        <v>17500</v>
      </c>
      <c r="F18" s="1835">
        <v>14716.66</v>
      </c>
      <c r="G18" s="1836">
        <f t="shared" si="0"/>
        <v>0.840952</v>
      </c>
    </row>
    <row r="19" spans="1:7" ht="18" customHeight="1">
      <c r="A19" s="1837"/>
      <c r="B19" s="1828"/>
      <c r="C19" s="1832" t="s">
        <v>592</v>
      </c>
      <c r="D19" s="1833">
        <v>13200</v>
      </c>
      <c r="E19" s="1834">
        <v>13200</v>
      </c>
      <c r="F19" s="1835">
        <v>9942.6</v>
      </c>
      <c r="G19" s="1836">
        <f t="shared" si="0"/>
        <v>0.7532272727272727</v>
      </c>
    </row>
    <row r="20" spans="1:7" ht="18" customHeight="1">
      <c r="A20" s="1837"/>
      <c r="B20" s="1828"/>
      <c r="C20" s="1832" t="s">
        <v>593</v>
      </c>
      <c r="D20" s="1833">
        <v>14700</v>
      </c>
      <c r="E20" s="1834">
        <v>14700</v>
      </c>
      <c r="F20" s="1835">
        <v>12493.23</v>
      </c>
      <c r="G20" s="1836">
        <f t="shared" si="0"/>
        <v>0.8498795918367347</v>
      </c>
    </row>
    <row r="21" spans="1:7" ht="18" customHeight="1">
      <c r="A21" s="1837"/>
      <c r="B21" s="1828"/>
      <c r="C21" s="1832" t="s">
        <v>594</v>
      </c>
      <c r="D21" s="1833">
        <v>17700</v>
      </c>
      <c r="E21" s="1834">
        <v>17700</v>
      </c>
      <c r="F21" s="1835">
        <v>15807.48</v>
      </c>
      <c r="G21" s="1836">
        <f t="shared" si="0"/>
        <v>0.8930779661016949</v>
      </c>
    </row>
    <row r="22" spans="1:7" ht="18" customHeight="1">
      <c r="A22" s="1837"/>
      <c r="B22" s="1828"/>
      <c r="C22" s="1832" t="s">
        <v>595</v>
      </c>
      <c r="D22" s="1833">
        <v>14700</v>
      </c>
      <c r="E22" s="1834">
        <v>14800</v>
      </c>
      <c r="F22" s="1835">
        <v>11526.56</v>
      </c>
      <c r="G22" s="1836">
        <f t="shared" si="0"/>
        <v>0.7788216216216216</v>
      </c>
    </row>
    <row r="23" spans="1:7" ht="18" customHeight="1">
      <c r="A23" s="1837"/>
      <c r="B23" s="1828"/>
      <c r="C23" s="1832" t="s">
        <v>596</v>
      </c>
      <c r="D23" s="1833">
        <v>16200</v>
      </c>
      <c r="E23" s="1834">
        <v>16200</v>
      </c>
      <c r="F23" s="1835">
        <v>13957.81</v>
      </c>
      <c r="G23" s="1836">
        <f t="shared" si="0"/>
        <v>0.8615932098765432</v>
      </c>
    </row>
    <row r="24" spans="1:7" ht="18" customHeight="1">
      <c r="A24" s="1837"/>
      <c r="B24" s="1828"/>
      <c r="C24" s="1832" t="s">
        <v>597</v>
      </c>
      <c r="D24" s="1833">
        <v>20100</v>
      </c>
      <c r="E24" s="1834">
        <v>23600</v>
      </c>
      <c r="F24" s="1835">
        <v>16419.93</v>
      </c>
      <c r="G24" s="1836">
        <f t="shared" si="0"/>
        <v>0.6957597457627118</v>
      </c>
    </row>
    <row r="25" spans="1:7" ht="18" customHeight="1">
      <c r="A25" s="1837"/>
      <c r="B25" s="1828"/>
      <c r="C25" s="1832" t="s">
        <v>598</v>
      </c>
      <c r="D25" s="1833">
        <v>11700</v>
      </c>
      <c r="E25" s="1834">
        <v>11700</v>
      </c>
      <c r="F25" s="1835">
        <v>10477.61</v>
      </c>
      <c r="G25" s="1836">
        <f t="shared" si="0"/>
        <v>0.8955222222222222</v>
      </c>
    </row>
    <row r="26" spans="1:7" ht="18" customHeight="1">
      <c r="A26" s="1837"/>
      <c r="B26" s="1828"/>
      <c r="C26" s="1832" t="s">
        <v>599</v>
      </c>
      <c r="D26" s="1833">
        <v>14900</v>
      </c>
      <c r="E26" s="1834">
        <v>14900</v>
      </c>
      <c r="F26" s="1835">
        <v>13151.23</v>
      </c>
      <c r="G26" s="1836">
        <f t="shared" si="0"/>
        <v>0.8826328859060403</v>
      </c>
    </row>
    <row r="27" spans="1:7" ht="18" customHeight="1">
      <c r="A27" s="1837"/>
      <c r="B27" s="1828"/>
      <c r="C27" s="1832" t="s">
        <v>600</v>
      </c>
      <c r="D27" s="1833">
        <v>16300</v>
      </c>
      <c r="E27" s="1834">
        <v>16300</v>
      </c>
      <c r="F27" s="1835">
        <v>14399.57</v>
      </c>
      <c r="G27" s="1836">
        <f t="shared" si="0"/>
        <v>0.8834092024539877</v>
      </c>
    </row>
    <row r="28" spans="1:7" ht="18" customHeight="1">
      <c r="A28" s="1837"/>
      <c r="B28" s="1828"/>
      <c r="C28" s="1832" t="s">
        <v>601</v>
      </c>
      <c r="D28" s="1833">
        <v>10700</v>
      </c>
      <c r="E28" s="1834">
        <v>10700</v>
      </c>
      <c r="F28" s="1835">
        <v>7980.76</v>
      </c>
      <c r="G28" s="1836">
        <f t="shared" si="0"/>
        <v>0.7458654205607477</v>
      </c>
    </row>
    <row r="29" spans="1:7" ht="18" customHeight="1">
      <c r="A29" s="1837"/>
      <c r="B29" s="1828"/>
      <c r="C29" s="1832" t="s">
        <v>602</v>
      </c>
      <c r="D29" s="1833">
        <v>14300</v>
      </c>
      <c r="E29" s="1834">
        <v>14300</v>
      </c>
      <c r="F29" s="1835">
        <v>12680.6</v>
      </c>
      <c r="G29" s="1836">
        <f t="shared" si="0"/>
        <v>0.8867552447552448</v>
      </c>
    </row>
    <row r="30" spans="1:7" ht="18" customHeight="1">
      <c r="A30" s="1837"/>
      <c r="B30" s="1828"/>
      <c r="C30" s="1832" t="s">
        <v>603</v>
      </c>
      <c r="D30" s="1833">
        <v>14000</v>
      </c>
      <c r="E30" s="1834">
        <v>14100</v>
      </c>
      <c r="F30" s="1835">
        <v>13190.54</v>
      </c>
      <c r="G30" s="1836">
        <f t="shared" si="0"/>
        <v>0.9354992907801419</v>
      </c>
    </row>
    <row r="31" spans="1:7" ht="18" customHeight="1">
      <c r="A31" s="1837"/>
      <c r="B31" s="1828"/>
      <c r="C31" s="1832" t="s">
        <v>604</v>
      </c>
      <c r="D31" s="1833">
        <v>19200</v>
      </c>
      <c r="E31" s="1834">
        <v>22300</v>
      </c>
      <c r="F31" s="1835">
        <v>17055.77</v>
      </c>
      <c r="G31" s="1836">
        <f t="shared" si="0"/>
        <v>0.7648327354260089</v>
      </c>
    </row>
    <row r="32" spans="1:7" ht="18" customHeight="1">
      <c r="A32" s="1837"/>
      <c r="B32" s="1828"/>
      <c r="C32" s="1832" t="s">
        <v>605</v>
      </c>
      <c r="D32" s="1833">
        <v>20700</v>
      </c>
      <c r="E32" s="1834">
        <v>21700</v>
      </c>
      <c r="F32" s="1835">
        <v>17788.11</v>
      </c>
      <c r="G32" s="1836">
        <f t="shared" si="0"/>
        <v>0.8197285714285715</v>
      </c>
    </row>
    <row r="33" spans="1:7" ht="18" customHeight="1">
      <c r="A33" s="1837"/>
      <c r="B33" s="1828"/>
      <c r="C33" s="1832" t="s">
        <v>606</v>
      </c>
      <c r="D33" s="1833">
        <v>14700</v>
      </c>
      <c r="E33" s="1834">
        <v>14700</v>
      </c>
      <c r="F33" s="1835">
        <v>12464.23</v>
      </c>
      <c r="G33" s="1836">
        <f t="shared" si="0"/>
        <v>0.8479068027210884</v>
      </c>
    </row>
    <row r="34" spans="1:7" ht="18" customHeight="1">
      <c r="A34" s="1837"/>
      <c r="B34" s="1828"/>
      <c r="C34" s="1832" t="s">
        <v>607</v>
      </c>
      <c r="D34" s="1833">
        <v>14000</v>
      </c>
      <c r="E34" s="1834">
        <v>14000</v>
      </c>
      <c r="F34" s="1835">
        <v>10524.03</v>
      </c>
      <c r="G34" s="1836">
        <f t="shared" si="0"/>
        <v>0.7517164285714286</v>
      </c>
    </row>
    <row r="35" spans="1:7" ht="18" customHeight="1">
      <c r="A35" s="1837"/>
      <c r="B35" s="1828"/>
      <c r="C35" s="1832" t="s">
        <v>608</v>
      </c>
      <c r="D35" s="1833">
        <v>16400</v>
      </c>
      <c r="E35" s="1834">
        <v>16400</v>
      </c>
      <c r="F35" s="1835">
        <v>14314.1</v>
      </c>
      <c r="G35" s="1836">
        <f t="shared" si="0"/>
        <v>0.8728109756097561</v>
      </c>
    </row>
    <row r="36" spans="1:7" ht="18" customHeight="1">
      <c r="A36" s="1837"/>
      <c r="B36" s="1828"/>
      <c r="C36" s="1832" t="s">
        <v>609</v>
      </c>
      <c r="D36" s="1833">
        <v>11700</v>
      </c>
      <c r="E36" s="1834">
        <v>11700</v>
      </c>
      <c r="F36" s="1835">
        <v>8502.49</v>
      </c>
      <c r="G36" s="1836">
        <f t="shared" si="0"/>
        <v>0.726708547008547</v>
      </c>
    </row>
    <row r="37" spans="1:7" ht="18" customHeight="1">
      <c r="A37" s="1837"/>
      <c r="B37" s="1828"/>
      <c r="C37" s="1832" t="s">
        <v>610</v>
      </c>
      <c r="D37" s="1833">
        <v>11700</v>
      </c>
      <c r="E37" s="1834">
        <v>11700</v>
      </c>
      <c r="F37" s="1835">
        <v>9963.18</v>
      </c>
      <c r="G37" s="1836">
        <f t="shared" si="0"/>
        <v>0.8515538461538462</v>
      </c>
    </row>
    <row r="38" spans="1:7" ht="18" customHeight="1">
      <c r="A38" s="1838"/>
      <c r="B38" s="1838"/>
      <c r="C38" s="1838" t="s">
        <v>506</v>
      </c>
      <c r="D38" s="1839">
        <v>20000</v>
      </c>
      <c r="E38" s="1839">
        <v>20000</v>
      </c>
      <c r="F38" s="1840">
        <v>10126.81</v>
      </c>
      <c r="G38" s="1841">
        <f t="shared" si="0"/>
        <v>0.5063405</v>
      </c>
    </row>
    <row r="39" spans="2:7" ht="14.25">
      <c r="B39" s="1843"/>
      <c r="C39" s="1843"/>
      <c r="D39" s="1844"/>
      <c r="E39" s="1844"/>
      <c r="F39" s="1844"/>
      <c r="G39" s="1844"/>
    </row>
    <row r="41" spans="3:5" ht="12.75">
      <c r="C41" s="417" t="s">
        <v>287</v>
      </c>
      <c r="E41" t="s">
        <v>289</v>
      </c>
    </row>
    <row r="42" spans="3:5" ht="12.75">
      <c r="C42" s="417" t="s">
        <v>288</v>
      </c>
      <c r="E42" t="s">
        <v>290</v>
      </c>
    </row>
  </sheetData>
  <mergeCells count="1">
    <mergeCell ref="A2:D2"/>
  </mergeCells>
  <printOptions horizontalCentered="1"/>
  <pageMargins left="0.3937007874015748" right="0.3937007874015748" top="0.52" bottom="0.5905511811023623" header="0.5118110236220472" footer="0.43"/>
  <pageSetup firstPageNumber="79" useFirstPageNumber="1" horizontalDpi="600" verticalDpi="600" orientation="landscape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7"/>
  <sheetViews>
    <sheetView zoomScale="90" zoomScaleNormal="90" workbookViewId="0" topLeftCell="A1">
      <selection activeCell="F2" sqref="F2:F4"/>
    </sheetView>
  </sheetViews>
  <sheetFormatPr defaultColWidth="9.00390625" defaultRowHeight="12.75"/>
  <cols>
    <col min="1" max="1" width="7.375" style="1846" customWidth="1"/>
    <col min="2" max="2" width="8.125" style="1846" customWidth="1"/>
    <col min="3" max="3" width="78.625" style="1846" customWidth="1"/>
    <col min="4" max="4" width="19.375" style="1846" customWidth="1"/>
    <col min="5" max="5" width="18.375" style="1846" customWidth="1"/>
    <col min="6" max="6" width="17.75390625" style="1846" customWidth="1"/>
    <col min="7" max="7" width="10.75390625" style="1846" customWidth="1"/>
    <col min="8" max="16384" width="9.125" style="1848" customWidth="1"/>
  </cols>
  <sheetData>
    <row r="1" spans="4:6" ht="14.25">
      <c r="D1" s="1847"/>
      <c r="E1" s="1847"/>
      <c r="F1" s="1847" t="s">
        <v>611</v>
      </c>
    </row>
    <row r="2" spans="4:6" ht="14.25">
      <c r="D2" s="1847"/>
      <c r="E2" s="1847"/>
      <c r="F2" s="1847" t="s">
        <v>293</v>
      </c>
    </row>
    <row r="3" spans="1:6" ht="15.75">
      <c r="A3" s="1849" t="s">
        <v>612</v>
      </c>
      <c r="D3" s="1847"/>
      <c r="E3" s="1847"/>
      <c r="F3" s="1847" t="s">
        <v>893</v>
      </c>
    </row>
    <row r="4" spans="4:6" ht="14.25">
      <c r="D4" s="1847"/>
      <c r="E4" s="1847"/>
      <c r="F4" s="1847" t="s">
        <v>294</v>
      </c>
    </row>
    <row r="6" spans="3:6" ht="15.75" thickBot="1">
      <c r="C6" s="1850"/>
      <c r="D6" s="1851"/>
      <c r="E6" s="1851"/>
      <c r="F6" s="1851" t="s">
        <v>725</v>
      </c>
    </row>
    <row r="7" spans="1:7" ht="20.25" customHeight="1" thickTop="1">
      <c r="A7" s="1852"/>
      <c r="B7" s="1853"/>
      <c r="C7" s="1854" t="s">
        <v>127</v>
      </c>
      <c r="D7" s="2789" t="s">
        <v>583</v>
      </c>
      <c r="E7" s="2789" t="s">
        <v>539</v>
      </c>
      <c r="F7" s="2789" t="s">
        <v>613</v>
      </c>
      <c r="G7" s="2789" t="s">
        <v>570</v>
      </c>
    </row>
    <row r="8" spans="1:7" ht="37.5" customHeight="1" thickBot="1">
      <c r="A8" s="1855" t="s">
        <v>11</v>
      </c>
      <c r="B8" s="1856" t="s">
        <v>614</v>
      </c>
      <c r="C8" s="1855" t="s">
        <v>615</v>
      </c>
      <c r="D8" s="2790" t="s">
        <v>616</v>
      </c>
      <c r="E8" s="2790" t="s">
        <v>616</v>
      </c>
      <c r="F8" s="2790" t="s">
        <v>616</v>
      </c>
      <c r="G8" s="2791"/>
    </row>
    <row r="9" spans="1:7" ht="15.75" thickBot="1" thickTop="1">
      <c r="A9" s="1857">
        <v>1</v>
      </c>
      <c r="B9" s="1857">
        <v>2</v>
      </c>
      <c r="C9" s="1857">
        <v>3</v>
      </c>
      <c r="D9" s="1858">
        <v>4</v>
      </c>
      <c r="E9" s="1858">
        <v>5</v>
      </c>
      <c r="F9" s="1858">
        <v>6</v>
      </c>
      <c r="G9" s="1858">
        <v>7</v>
      </c>
    </row>
    <row r="10" spans="1:7" ht="24.75" customHeight="1" thickTop="1">
      <c r="A10" s="1859"/>
      <c r="B10" s="1859"/>
      <c r="C10" s="1860" t="s">
        <v>617</v>
      </c>
      <c r="D10" s="1861">
        <v>142818</v>
      </c>
      <c r="E10" s="1861">
        <v>-112948</v>
      </c>
      <c r="F10" s="1862">
        <v>-112947.95</v>
      </c>
      <c r="G10" s="1863"/>
    </row>
    <row r="11" spans="1:7" ht="21.75" customHeight="1" hidden="1">
      <c r="A11" s="1864"/>
      <c r="B11" s="1864"/>
      <c r="C11" s="1865" t="s">
        <v>618</v>
      </c>
      <c r="D11" s="1866"/>
      <c r="E11" s="1866"/>
      <c r="F11" s="1867"/>
      <c r="G11" s="1868"/>
    </row>
    <row r="12" spans="1:7" ht="19.5" customHeight="1" thickBot="1">
      <c r="A12" s="1869"/>
      <c r="B12" s="1869"/>
      <c r="C12" s="1870" t="s">
        <v>536</v>
      </c>
      <c r="D12" s="1871">
        <f aca="true" t="shared" si="0" ref="D12:F13">D13</f>
        <v>2025000</v>
      </c>
      <c r="E12" s="1871">
        <f t="shared" si="0"/>
        <v>2118388</v>
      </c>
      <c r="F12" s="1872">
        <f t="shared" si="0"/>
        <v>2059372.8699999999</v>
      </c>
      <c r="G12" s="1873">
        <f aca="true" t="shared" si="1" ref="G12:G22">F12/E12</f>
        <v>0.9721414915492346</v>
      </c>
    </row>
    <row r="13" spans="1:7" ht="19.5" customHeight="1" thickBot="1" thickTop="1">
      <c r="A13" s="1874">
        <v>900</v>
      </c>
      <c r="B13" s="1875"/>
      <c r="C13" s="1876" t="s">
        <v>1287</v>
      </c>
      <c r="D13" s="1877">
        <f t="shared" si="0"/>
        <v>2025000</v>
      </c>
      <c r="E13" s="1877">
        <f t="shared" si="0"/>
        <v>2118388</v>
      </c>
      <c r="F13" s="1878">
        <f t="shared" si="0"/>
        <v>2059372.8699999999</v>
      </c>
      <c r="G13" s="1879">
        <f t="shared" si="1"/>
        <v>0.9721414915492346</v>
      </c>
    </row>
    <row r="14" spans="1:7" ht="19.5" customHeight="1">
      <c r="A14" s="1880"/>
      <c r="B14" s="1881">
        <v>90011</v>
      </c>
      <c r="C14" s="1882" t="s">
        <v>619</v>
      </c>
      <c r="D14" s="1883">
        <f>D15+D17+D19+D21+D23</f>
        <v>2025000</v>
      </c>
      <c r="E14" s="1883">
        <f>E15+E17+E19+E21+E23</f>
        <v>2118388</v>
      </c>
      <c r="F14" s="1884">
        <f>F15+F17+F19+F21+F23</f>
        <v>2059372.8699999999</v>
      </c>
      <c r="G14" s="1885">
        <f t="shared" si="1"/>
        <v>0.9721414915492346</v>
      </c>
    </row>
    <row r="15" spans="1:7" ht="18" customHeight="1">
      <c r="A15" s="1880"/>
      <c r="B15" s="1880"/>
      <c r="C15" s="1886" t="s">
        <v>620</v>
      </c>
      <c r="D15" s="1887">
        <f>D16</f>
        <v>1000000</v>
      </c>
      <c r="E15" s="1887">
        <f>E16</f>
        <v>1000000</v>
      </c>
      <c r="F15" s="1888">
        <f>F16</f>
        <v>589056.83</v>
      </c>
      <c r="G15" s="1889">
        <f t="shared" si="1"/>
        <v>0.58905683</v>
      </c>
    </row>
    <row r="16" spans="1:7" ht="18" customHeight="1">
      <c r="A16" s="1890"/>
      <c r="B16" s="1891" t="s">
        <v>621</v>
      </c>
      <c r="C16" s="1892" t="s">
        <v>622</v>
      </c>
      <c r="D16" s="1893">
        <v>1000000</v>
      </c>
      <c r="E16" s="1893">
        <v>1000000</v>
      </c>
      <c r="F16" s="1894">
        <v>589056.83</v>
      </c>
      <c r="G16" s="1895">
        <f t="shared" si="1"/>
        <v>0.58905683</v>
      </c>
    </row>
    <row r="17" spans="1:7" ht="18" customHeight="1">
      <c r="A17" s="1880"/>
      <c r="B17" s="1880"/>
      <c r="C17" s="1886" t="s">
        <v>623</v>
      </c>
      <c r="D17" s="1887">
        <f>D18</f>
        <v>25000</v>
      </c>
      <c r="E17" s="1887">
        <f>E18</f>
        <v>32000</v>
      </c>
      <c r="F17" s="1888">
        <f>F18</f>
        <v>139747.83</v>
      </c>
      <c r="G17" s="1889">
        <f t="shared" si="1"/>
        <v>4.3671196875</v>
      </c>
    </row>
    <row r="18" spans="1:7" ht="18" customHeight="1">
      <c r="A18" s="1890"/>
      <c r="B18" s="1891" t="s">
        <v>624</v>
      </c>
      <c r="C18" s="1892" t="s">
        <v>625</v>
      </c>
      <c r="D18" s="1893">
        <v>25000</v>
      </c>
      <c r="E18" s="1893">
        <v>32000</v>
      </c>
      <c r="F18" s="1894">
        <v>139747.83</v>
      </c>
      <c r="G18" s="1895">
        <f t="shared" si="1"/>
        <v>4.3671196875</v>
      </c>
    </row>
    <row r="19" spans="1:7" ht="28.5" customHeight="1">
      <c r="A19" s="1880"/>
      <c r="B19" s="1880"/>
      <c r="C19" s="1896" t="s">
        <v>626</v>
      </c>
      <c r="D19" s="1887">
        <f>D20</f>
        <v>1000000</v>
      </c>
      <c r="E19" s="1887">
        <f>E20</f>
        <v>1000000</v>
      </c>
      <c r="F19" s="1888">
        <f>F20</f>
        <v>1236061.96</v>
      </c>
      <c r="G19" s="1897">
        <f t="shared" si="1"/>
        <v>1.23606196</v>
      </c>
    </row>
    <row r="20" spans="1:7" ht="18" customHeight="1">
      <c r="A20" s="1890"/>
      <c r="B20" s="1898">
        <v>2960</v>
      </c>
      <c r="C20" s="1865" t="s">
        <v>627</v>
      </c>
      <c r="D20" s="1893">
        <v>1000000</v>
      </c>
      <c r="E20" s="1893">
        <v>1000000</v>
      </c>
      <c r="F20" s="1894">
        <v>1236061.96</v>
      </c>
      <c r="G20" s="1895">
        <f t="shared" si="1"/>
        <v>1.23606196</v>
      </c>
    </row>
    <row r="21" spans="1:7" ht="31.5" customHeight="1">
      <c r="A21" s="1880"/>
      <c r="B21" s="1880"/>
      <c r="C21" s="1896" t="s">
        <v>628</v>
      </c>
      <c r="D21" s="1887"/>
      <c r="E21" s="1887">
        <f>E22</f>
        <v>86388</v>
      </c>
      <c r="F21" s="1888">
        <f>F22</f>
        <v>86019.64</v>
      </c>
      <c r="G21" s="1897">
        <f t="shared" si="1"/>
        <v>0.9957359818493309</v>
      </c>
    </row>
    <row r="22" spans="1:7" ht="18" customHeight="1">
      <c r="A22" s="1890"/>
      <c r="B22" s="1898">
        <v>2960</v>
      </c>
      <c r="C22" s="1865" t="s">
        <v>627</v>
      </c>
      <c r="D22" s="1893"/>
      <c r="E22" s="1893">
        <v>86388</v>
      </c>
      <c r="F22" s="1894">
        <v>86019.64</v>
      </c>
      <c r="G22" s="1895">
        <f t="shared" si="1"/>
        <v>0.9957359818493309</v>
      </c>
    </row>
    <row r="23" spans="1:7" ht="18" customHeight="1">
      <c r="A23" s="1880"/>
      <c r="B23" s="1880"/>
      <c r="C23" s="1896" t="s">
        <v>629</v>
      </c>
      <c r="D23" s="1887"/>
      <c r="E23" s="1887"/>
      <c r="F23" s="1888">
        <f>F24</f>
        <v>8486.61</v>
      </c>
      <c r="G23" s="1897"/>
    </row>
    <row r="24" spans="1:7" ht="18" customHeight="1">
      <c r="A24" s="1890"/>
      <c r="B24" s="1891" t="s">
        <v>630</v>
      </c>
      <c r="C24" s="1865" t="s">
        <v>631</v>
      </c>
      <c r="D24" s="1893"/>
      <c r="E24" s="1893"/>
      <c r="F24" s="1894">
        <v>8486.61</v>
      </c>
      <c r="G24" s="1895"/>
    </row>
    <row r="25" spans="1:7" ht="21.75" customHeight="1">
      <c r="A25" s="1899"/>
      <c r="B25" s="1899"/>
      <c r="C25" s="1900" t="s">
        <v>632</v>
      </c>
      <c r="D25" s="1901">
        <f>D10+D12</f>
        <v>2167818</v>
      </c>
      <c r="E25" s="1901">
        <f>E10+E12</f>
        <v>2005440</v>
      </c>
      <c r="F25" s="1902">
        <f>F10+F12</f>
        <v>1946424.92</v>
      </c>
      <c r="G25" s="1903"/>
    </row>
    <row r="26" spans="1:7" ht="19.5" customHeight="1" thickBot="1">
      <c r="A26" s="1904"/>
      <c r="B26" s="1905"/>
      <c r="C26" s="1870" t="s">
        <v>633</v>
      </c>
      <c r="D26" s="1906">
        <f aca="true" t="shared" si="2" ref="D26:F27">D27</f>
        <v>2000000</v>
      </c>
      <c r="E26" s="1906">
        <f t="shared" si="2"/>
        <v>2005100</v>
      </c>
      <c r="F26" s="1907">
        <f t="shared" si="2"/>
        <v>1919659.0199999998</v>
      </c>
      <c r="G26" s="1908">
        <f aca="true" t="shared" si="3" ref="G26:G51">F26/E26</f>
        <v>0.9573881701660764</v>
      </c>
    </row>
    <row r="27" spans="1:7" ht="19.5" customHeight="1" thickBot="1" thickTop="1">
      <c r="A27" s="1874">
        <v>900</v>
      </c>
      <c r="B27" s="1875"/>
      <c r="C27" s="1876" t="s">
        <v>1287</v>
      </c>
      <c r="D27" s="1909">
        <f t="shared" si="2"/>
        <v>2000000</v>
      </c>
      <c r="E27" s="1909">
        <f t="shared" si="2"/>
        <v>2005100</v>
      </c>
      <c r="F27" s="1910">
        <f t="shared" si="2"/>
        <v>1919659.0199999998</v>
      </c>
      <c r="G27" s="1911">
        <f t="shared" si="3"/>
        <v>0.9573881701660764</v>
      </c>
    </row>
    <row r="28" spans="1:7" ht="19.5" customHeight="1">
      <c r="A28" s="1880"/>
      <c r="B28" s="1881">
        <v>90011</v>
      </c>
      <c r="C28" s="1882" t="s">
        <v>619</v>
      </c>
      <c r="D28" s="1912">
        <f>D29+D64+D66+D68+D40+D86+D42+D44+D36+D80+D46+D38+D92+D48+D50+D52+D54+D70+D88+D90+D82+D72+D74+D76+D56+D60+D94+D84+D78</f>
        <v>2000000</v>
      </c>
      <c r="E28" s="1912">
        <f>E29+E64+E66+E68+E40+E86+E42+E44+E36+E80+E46+E38+E92+E48+E50+E52+E54+E70+E88+E90+E82+E72+E74+E76+E56+E60+E94+E84+E78</f>
        <v>2005100</v>
      </c>
      <c r="F28" s="1913">
        <f>F29+F64+F66+F68+F40+F86+F42+F44+F36+F80+F46+F38+F92+F48+F50+F52+F54+F70+F88+F90+F82+F72+F74+F76+F56+F60+F94+F84+F96+F78</f>
        <v>1919659.0199999998</v>
      </c>
      <c r="G28" s="1914">
        <f t="shared" si="3"/>
        <v>0.9573881701660764</v>
      </c>
    </row>
    <row r="29" spans="1:7" ht="19.5" customHeight="1">
      <c r="A29" s="1880"/>
      <c r="B29" s="1880"/>
      <c r="C29" s="1896" t="s">
        <v>634</v>
      </c>
      <c r="D29" s="1887">
        <f>SUM(D30:D35)</f>
        <v>170000</v>
      </c>
      <c r="E29" s="1887">
        <f>SUM(E30:E35)</f>
        <v>223817</v>
      </c>
      <c r="F29" s="1888">
        <f>SUM(F30:F35)</f>
        <v>190128.89</v>
      </c>
      <c r="G29" s="1897">
        <f t="shared" si="3"/>
        <v>0.8494836853322134</v>
      </c>
    </row>
    <row r="30" spans="1:7" ht="27.75" customHeight="1">
      <c r="A30" s="1890"/>
      <c r="B30" s="1898">
        <v>2450</v>
      </c>
      <c r="C30" s="1865" t="s">
        <v>635</v>
      </c>
      <c r="D30" s="1893">
        <v>98000</v>
      </c>
      <c r="E30" s="1915">
        <v>93000</v>
      </c>
      <c r="F30" s="1894">
        <v>92000</v>
      </c>
      <c r="G30" s="1895">
        <f t="shared" si="3"/>
        <v>0.989247311827957</v>
      </c>
    </row>
    <row r="31" spans="1:7" ht="18.75" customHeight="1">
      <c r="A31" s="1898"/>
      <c r="B31" s="1898">
        <v>3020</v>
      </c>
      <c r="C31" s="1865" t="s">
        <v>636</v>
      </c>
      <c r="D31" s="1893"/>
      <c r="E31" s="1915">
        <v>30</v>
      </c>
      <c r="F31" s="1894">
        <v>30</v>
      </c>
      <c r="G31" s="1895">
        <f t="shared" si="3"/>
        <v>1</v>
      </c>
    </row>
    <row r="32" spans="1:7" ht="19.5" customHeight="1">
      <c r="A32" s="1890"/>
      <c r="B32" s="1898">
        <v>4170</v>
      </c>
      <c r="C32" s="1865" t="s">
        <v>838</v>
      </c>
      <c r="D32" s="1893"/>
      <c r="E32" s="1915">
        <v>2500</v>
      </c>
      <c r="F32" s="1894">
        <v>2500</v>
      </c>
      <c r="G32" s="1895">
        <f t="shared" si="3"/>
        <v>1</v>
      </c>
    </row>
    <row r="33" spans="1:7" ht="19.5" customHeight="1">
      <c r="A33" s="1890"/>
      <c r="B33" s="1898">
        <v>4210</v>
      </c>
      <c r="C33" s="1865" t="s">
        <v>526</v>
      </c>
      <c r="D33" s="1893">
        <v>40000</v>
      </c>
      <c r="E33" s="1915">
        <f>39170+990</f>
        <v>40160</v>
      </c>
      <c r="F33" s="1894">
        <f>28972.44+394.74</f>
        <v>29367.18</v>
      </c>
      <c r="G33" s="1895">
        <f t="shared" si="3"/>
        <v>0.7312544820717132</v>
      </c>
    </row>
    <row r="34" spans="1:7" ht="19.5" customHeight="1">
      <c r="A34" s="1890"/>
      <c r="B34" s="1898">
        <v>4240</v>
      </c>
      <c r="C34" s="1865" t="s">
        <v>839</v>
      </c>
      <c r="D34" s="1893"/>
      <c r="E34" s="1915">
        <f>2900+3500</f>
        <v>6400</v>
      </c>
      <c r="F34" s="1894">
        <f>2900+2962.07</f>
        <v>5862.07</v>
      </c>
      <c r="G34" s="1895">
        <f t="shared" si="3"/>
        <v>0.9159484375</v>
      </c>
    </row>
    <row r="35" spans="1:7" ht="19.5" customHeight="1">
      <c r="A35" s="1890"/>
      <c r="B35" s="1916">
        <v>4300</v>
      </c>
      <c r="C35" s="1917" t="s">
        <v>840</v>
      </c>
      <c r="D35" s="1918">
        <v>32000</v>
      </c>
      <c r="E35" s="1919">
        <f>78217+2900+610</f>
        <v>81727</v>
      </c>
      <c r="F35" s="1920">
        <f>56859.64+2900+610</f>
        <v>60369.64</v>
      </c>
      <c r="G35" s="1921">
        <f t="shared" si="3"/>
        <v>0.7386743671002239</v>
      </c>
    </row>
    <row r="36" spans="1:7" ht="19.5" customHeight="1">
      <c r="A36" s="1880"/>
      <c r="B36" s="1922"/>
      <c r="C36" s="1923" t="s">
        <v>841</v>
      </c>
      <c r="D36" s="1924">
        <f>D37</f>
        <v>100000</v>
      </c>
      <c r="E36" s="1925">
        <f>E37</f>
        <v>99000</v>
      </c>
      <c r="F36" s="1926">
        <f>F37</f>
        <v>88268.1</v>
      </c>
      <c r="G36" s="1889">
        <f t="shared" si="3"/>
        <v>0.8915969696969698</v>
      </c>
    </row>
    <row r="37" spans="1:7" ht="19.5" customHeight="1">
      <c r="A37" s="1890"/>
      <c r="B37" s="1898">
        <v>4210</v>
      </c>
      <c r="C37" s="1927" t="s">
        <v>526</v>
      </c>
      <c r="D37" s="1893">
        <v>100000</v>
      </c>
      <c r="E37" s="1915">
        <v>99000</v>
      </c>
      <c r="F37" s="1894">
        <v>88268.1</v>
      </c>
      <c r="G37" s="1895">
        <f t="shared" si="3"/>
        <v>0.8915969696969698</v>
      </c>
    </row>
    <row r="38" spans="1:7" ht="28.5" customHeight="1">
      <c r="A38" s="1880"/>
      <c r="B38" s="1880"/>
      <c r="C38" s="1896" t="s">
        <v>842</v>
      </c>
      <c r="D38" s="1887">
        <f>D39</f>
        <v>40000</v>
      </c>
      <c r="E38" s="1928">
        <f>E39</f>
        <v>40000</v>
      </c>
      <c r="F38" s="1888">
        <f>F39</f>
        <v>40000</v>
      </c>
      <c r="G38" s="1897">
        <f t="shared" si="3"/>
        <v>1</v>
      </c>
    </row>
    <row r="39" spans="1:7" ht="19.5" customHeight="1">
      <c r="A39" s="1890"/>
      <c r="B39" s="1898">
        <v>4210</v>
      </c>
      <c r="C39" s="1865" t="s">
        <v>526</v>
      </c>
      <c r="D39" s="1893">
        <v>40000</v>
      </c>
      <c r="E39" s="1915">
        <v>40000</v>
      </c>
      <c r="F39" s="1894">
        <v>40000</v>
      </c>
      <c r="G39" s="1895">
        <f t="shared" si="3"/>
        <v>1</v>
      </c>
    </row>
    <row r="40" spans="1:7" ht="27.75" customHeight="1">
      <c r="A40" s="1880"/>
      <c r="B40" s="1922"/>
      <c r="C40" s="1896" t="s">
        <v>843</v>
      </c>
      <c r="D40" s="1924">
        <f>SUM(D41:D41)</f>
        <v>150000</v>
      </c>
      <c r="E40" s="1925">
        <f>SUM(E41:E41)</f>
        <v>150000</v>
      </c>
      <c r="F40" s="1926">
        <f>SUM(F41:F41)</f>
        <v>116168.39</v>
      </c>
      <c r="G40" s="1897">
        <f t="shared" si="3"/>
        <v>0.7744559333333333</v>
      </c>
    </row>
    <row r="41" spans="1:7" ht="19.5" customHeight="1">
      <c r="A41" s="1890"/>
      <c r="B41" s="1898">
        <v>4300</v>
      </c>
      <c r="C41" s="1865" t="s">
        <v>840</v>
      </c>
      <c r="D41" s="1893">
        <v>150000</v>
      </c>
      <c r="E41" s="1915">
        <v>150000</v>
      </c>
      <c r="F41" s="1894">
        <v>116168.39</v>
      </c>
      <c r="G41" s="1895">
        <f t="shared" si="3"/>
        <v>0.7744559333333333</v>
      </c>
    </row>
    <row r="42" spans="1:7" ht="19.5" customHeight="1">
      <c r="A42" s="1880"/>
      <c r="B42" s="1922"/>
      <c r="C42" s="1929" t="s">
        <v>844</v>
      </c>
      <c r="D42" s="1887">
        <f>D43</f>
        <v>30000</v>
      </c>
      <c r="E42" s="1928">
        <f>E43</f>
        <v>30000</v>
      </c>
      <c r="F42" s="1888">
        <f>F43</f>
        <v>29431.78</v>
      </c>
      <c r="G42" s="1897">
        <f t="shared" si="3"/>
        <v>0.9810593333333333</v>
      </c>
    </row>
    <row r="43" spans="1:7" ht="19.5" customHeight="1">
      <c r="A43" s="1890"/>
      <c r="B43" s="1898">
        <v>4300</v>
      </c>
      <c r="C43" s="1865" t="s">
        <v>840</v>
      </c>
      <c r="D43" s="1893">
        <v>30000</v>
      </c>
      <c r="E43" s="1915">
        <v>30000</v>
      </c>
      <c r="F43" s="1894">
        <v>29431.78</v>
      </c>
      <c r="G43" s="1895">
        <f t="shared" si="3"/>
        <v>0.9810593333333333</v>
      </c>
    </row>
    <row r="44" spans="1:7" ht="19.5" customHeight="1">
      <c r="A44" s="1880"/>
      <c r="B44" s="1922"/>
      <c r="C44" s="1929" t="s">
        <v>845</v>
      </c>
      <c r="D44" s="1887">
        <f>SUM(D45:D45)</f>
        <v>50000</v>
      </c>
      <c r="E44" s="1928">
        <f>SUM(E45:E45)</f>
        <v>80000</v>
      </c>
      <c r="F44" s="1888">
        <f>SUM(F45:F45)</f>
        <v>75931.89</v>
      </c>
      <c r="G44" s="1897">
        <f t="shared" si="3"/>
        <v>0.949148625</v>
      </c>
    </row>
    <row r="45" spans="1:7" ht="19.5" customHeight="1">
      <c r="A45" s="1890"/>
      <c r="B45" s="1898">
        <v>4300</v>
      </c>
      <c r="C45" s="1865" t="s">
        <v>840</v>
      </c>
      <c r="D45" s="1893">
        <v>50000</v>
      </c>
      <c r="E45" s="1915">
        <v>80000</v>
      </c>
      <c r="F45" s="1894">
        <v>75931.89</v>
      </c>
      <c r="G45" s="1895">
        <f t="shared" si="3"/>
        <v>0.949148625</v>
      </c>
    </row>
    <row r="46" spans="1:7" ht="19.5" customHeight="1">
      <c r="A46" s="1880"/>
      <c r="B46" s="1922"/>
      <c r="C46" s="1896" t="s">
        <v>846</v>
      </c>
      <c r="D46" s="1887">
        <f>D47</f>
        <v>120000</v>
      </c>
      <c r="E46" s="1928">
        <f>E47</f>
        <v>5200</v>
      </c>
      <c r="F46" s="1888">
        <f>F47</f>
        <v>5157.4</v>
      </c>
      <c r="G46" s="1897">
        <f t="shared" si="3"/>
        <v>0.9918076923076923</v>
      </c>
    </row>
    <row r="47" spans="1:7" ht="19.5" customHeight="1">
      <c r="A47" s="1890"/>
      <c r="B47" s="1898">
        <v>4300</v>
      </c>
      <c r="C47" s="1927" t="s">
        <v>847</v>
      </c>
      <c r="D47" s="1930">
        <v>120000</v>
      </c>
      <c r="E47" s="1931">
        <v>5200</v>
      </c>
      <c r="F47" s="1932">
        <v>5157.4</v>
      </c>
      <c r="G47" s="1895">
        <f t="shared" si="3"/>
        <v>0.9918076923076923</v>
      </c>
    </row>
    <row r="48" spans="1:7" ht="19.5" customHeight="1">
      <c r="A48" s="1880"/>
      <c r="B48" s="1922"/>
      <c r="C48" s="1929" t="s">
        <v>848</v>
      </c>
      <c r="D48" s="1887">
        <f>D49</f>
        <v>60000</v>
      </c>
      <c r="E48" s="1928">
        <f>E49</f>
        <v>60000</v>
      </c>
      <c r="F48" s="1888">
        <f>F49</f>
        <v>59974.49</v>
      </c>
      <c r="G48" s="1897">
        <f t="shared" si="3"/>
        <v>0.9995748333333333</v>
      </c>
    </row>
    <row r="49" spans="1:7" ht="19.5" customHeight="1">
      <c r="A49" s="1890"/>
      <c r="B49" s="1898">
        <v>4300</v>
      </c>
      <c r="C49" s="1865" t="s">
        <v>840</v>
      </c>
      <c r="D49" s="1893">
        <v>60000</v>
      </c>
      <c r="E49" s="1915">
        <v>60000</v>
      </c>
      <c r="F49" s="1894">
        <v>59974.49</v>
      </c>
      <c r="G49" s="1895">
        <f t="shared" si="3"/>
        <v>0.9995748333333333</v>
      </c>
    </row>
    <row r="50" spans="1:7" ht="27.75" customHeight="1">
      <c r="A50" s="1880"/>
      <c r="B50" s="1922"/>
      <c r="C50" s="1929" t="s">
        <v>849</v>
      </c>
      <c r="D50" s="1887">
        <f>D51</f>
        <v>20000</v>
      </c>
      <c r="E50" s="1928">
        <f>E51</f>
        <v>20000</v>
      </c>
      <c r="F50" s="1888">
        <f>F51</f>
        <v>19998.3</v>
      </c>
      <c r="G50" s="1897">
        <f t="shared" si="3"/>
        <v>0.999915</v>
      </c>
    </row>
    <row r="51" spans="1:7" ht="19.5" customHeight="1">
      <c r="A51" s="1890"/>
      <c r="B51" s="1898">
        <v>4300</v>
      </c>
      <c r="C51" s="1865" t="s">
        <v>840</v>
      </c>
      <c r="D51" s="1893">
        <v>20000</v>
      </c>
      <c r="E51" s="1915">
        <v>20000</v>
      </c>
      <c r="F51" s="1894">
        <v>19998.3</v>
      </c>
      <c r="G51" s="1895">
        <f t="shared" si="3"/>
        <v>0.999915</v>
      </c>
    </row>
    <row r="52" spans="1:7" ht="19.5" customHeight="1">
      <c r="A52" s="1880"/>
      <c r="B52" s="1922"/>
      <c r="C52" s="1929" t="s">
        <v>850</v>
      </c>
      <c r="D52" s="1887">
        <f>D53</f>
        <v>60000</v>
      </c>
      <c r="E52" s="1928">
        <f>E53</f>
        <v>60000</v>
      </c>
      <c r="F52" s="1888">
        <f>F53</f>
        <v>59997.5</v>
      </c>
      <c r="G52" s="1897">
        <v>0.9999</v>
      </c>
    </row>
    <row r="53" spans="1:7" ht="19.5" customHeight="1">
      <c r="A53" s="1890"/>
      <c r="B53" s="1898">
        <v>4300</v>
      </c>
      <c r="C53" s="1865" t="s">
        <v>840</v>
      </c>
      <c r="D53" s="1893">
        <v>60000</v>
      </c>
      <c r="E53" s="1915">
        <v>60000</v>
      </c>
      <c r="F53" s="1894">
        <v>59997.5</v>
      </c>
      <c r="G53" s="1895">
        <v>0.9999</v>
      </c>
    </row>
    <row r="54" spans="1:7" ht="19.5" customHeight="1">
      <c r="A54" s="1880"/>
      <c r="B54" s="1922"/>
      <c r="C54" s="1929" t="s">
        <v>851</v>
      </c>
      <c r="D54" s="1887">
        <f>D55</f>
        <v>50000</v>
      </c>
      <c r="E54" s="1928">
        <f>E55</f>
        <v>50000</v>
      </c>
      <c r="F54" s="1888">
        <f>F55</f>
        <v>49922.4</v>
      </c>
      <c r="G54" s="1897">
        <f>F54/E54</f>
        <v>0.998448</v>
      </c>
    </row>
    <row r="55" spans="1:7" ht="19.5" customHeight="1">
      <c r="A55" s="1890"/>
      <c r="B55" s="1898">
        <v>4300</v>
      </c>
      <c r="C55" s="1865" t="s">
        <v>840</v>
      </c>
      <c r="D55" s="1893">
        <v>50000</v>
      </c>
      <c r="E55" s="1915">
        <v>50000</v>
      </c>
      <c r="F55" s="1894">
        <v>49922.4</v>
      </c>
      <c r="G55" s="1895">
        <f>F55/E55</f>
        <v>0.998448</v>
      </c>
    </row>
    <row r="56" spans="1:7" ht="19.5" customHeight="1">
      <c r="A56" s="1880"/>
      <c r="B56" s="1922"/>
      <c r="C56" s="1929" t="s">
        <v>852</v>
      </c>
      <c r="D56" s="1887">
        <f>D57</f>
        <v>30000</v>
      </c>
      <c r="E56" s="1928">
        <f>E57</f>
        <v>30000</v>
      </c>
      <c r="F56" s="1888">
        <f>F57</f>
        <v>29521.3</v>
      </c>
      <c r="G56" s="1897">
        <f>F56/E56</f>
        <v>0.9840433333333333</v>
      </c>
    </row>
    <row r="57" spans="1:7" ht="19.5" customHeight="1">
      <c r="A57" s="1898"/>
      <c r="B57" s="1898">
        <v>4300</v>
      </c>
      <c r="C57" s="1865" t="s">
        <v>840</v>
      </c>
      <c r="D57" s="1893">
        <v>30000</v>
      </c>
      <c r="E57" s="1915">
        <v>30000</v>
      </c>
      <c r="F57" s="1894">
        <v>29521.3</v>
      </c>
      <c r="G57" s="1895">
        <f>F57/E57</f>
        <v>0.9840433333333333</v>
      </c>
    </row>
    <row r="58" spans="1:7" ht="19.5" customHeight="1">
      <c r="A58" s="1933"/>
      <c r="B58" s="1933"/>
      <c r="C58" s="1934"/>
      <c r="D58" s="1935"/>
      <c r="E58" s="1936"/>
      <c r="F58" s="1937"/>
      <c r="G58" s="1938"/>
    </row>
    <row r="59" spans="1:7" ht="19.5" customHeight="1">
      <c r="A59" s="1939"/>
      <c r="B59" s="1939"/>
      <c r="C59" s="1940"/>
      <c r="D59" s="1941"/>
      <c r="E59" s="1942"/>
      <c r="F59" s="1943"/>
      <c r="G59" s="1944"/>
    </row>
    <row r="60" spans="1:7" ht="19.5" customHeight="1">
      <c r="A60" s="1880"/>
      <c r="B60" s="1922"/>
      <c r="C60" s="1929" t="s">
        <v>853</v>
      </c>
      <c r="D60" s="1887">
        <f>D61+D63+D62</f>
        <v>50000</v>
      </c>
      <c r="E60" s="1928">
        <f>E61+E63+E62</f>
        <v>57000</v>
      </c>
      <c r="F60" s="1888">
        <f>F61+F63+F62</f>
        <v>39731.64</v>
      </c>
      <c r="G60" s="1897">
        <f aca="true" t="shared" si="4" ref="G60:G91">F60/E60</f>
        <v>0.6970463157894736</v>
      </c>
    </row>
    <row r="61" spans="1:7" ht="19.5" customHeight="1">
      <c r="A61" s="1890"/>
      <c r="B61" s="1898">
        <v>4210</v>
      </c>
      <c r="C61" s="1865" t="s">
        <v>526</v>
      </c>
      <c r="D61" s="1893"/>
      <c r="E61" s="1915">
        <v>5000</v>
      </c>
      <c r="F61" s="1894">
        <v>4952.3</v>
      </c>
      <c r="G61" s="1895">
        <f t="shared" si="4"/>
        <v>0.99046</v>
      </c>
    </row>
    <row r="62" spans="1:7" ht="19.5" customHeight="1">
      <c r="A62" s="1890"/>
      <c r="B62" s="1898">
        <v>4300</v>
      </c>
      <c r="C62" s="1865" t="s">
        <v>840</v>
      </c>
      <c r="D62" s="1893">
        <v>50000</v>
      </c>
      <c r="E62" s="1915">
        <v>38000</v>
      </c>
      <c r="F62" s="1894">
        <v>20779.34</v>
      </c>
      <c r="G62" s="1895">
        <f t="shared" si="4"/>
        <v>0.5468247368421053</v>
      </c>
    </row>
    <row r="63" spans="1:7" ht="19.5" customHeight="1">
      <c r="A63" s="1890"/>
      <c r="B63" s="1916">
        <v>6120</v>
      </c>
      <c r="C63" s="1917" t="s">
        <v>854</v>
      </c>
      <c r="D63" s="1918"/>
      <c r="E63" s="1919">
        <v>14000</v>
      </c>
      <c r="F63" s="1920">
        <v>14000</v>
      </c>
      <c r="G63" s="1921">
        <f t="shared" si="4"/>
        <v>1</v>
      </c>
    </row>
    <row r="64" spans="1:7" ht="19.5" customHeight="1">
      <c r="A64" s="1880"/>
      <c r="B64" s="1945"/>
      <c r="C64" s="1923" t="s">
        <v>855</v>
      </c>
      <c r="D64" s="1887">
        <f>D65</f>
        <v>130000</v>
      </c>
      <c r="E64" s="1928">
        <f>E65</f>
        <v>160000</v>
      </c>
      <c r="F64" s="1888">
        <f>F65</f>
        <v>159449.23</v>
      </c>
      <c r="G64" s="1946">
        <f t="shared" si="4"/>
        <v>0.9965576875000001</v>
      </c>
    </row>
    <row r="65" spans="1:7" ht="19.5" customHeight="1">
      <c r="A65" s="1890"/>
      <c r="B65" s="1898">
        <v>4300</v>
      </c>
      <c r="C65" s="1865" t="s">
        <v>840</v>
      </c>
      <c r="D65" s="1893">
        <v>130000</v>
      </c>
      <c r="E65" s="1915">
        <v>160000</v>
      </c>
      <c r="F65" s="1894">
        <v>159449.23</v>
      </c>
      <c r="G65" s="1947">
        <f t="shared" si="4"/>
        <v>0.9965576875000001</v>
      </c>
    </row>
    <row r="66" spans="1:7" ht="19.5" customHeight="1">
      <c r="A66" s="1880"/>
      <c r="B66" s="1880"/>
      <c r="C66" s="1896" t="s">
        <v>856</v>
      </c>
      <c r="D66" s="1887">
        <f>D67</f>
        <v>120000</v>
      </c>
      <c r="E66" s="1928">
        <f>E67</f>
        <v>90000</v>
      </c>
      <c r="F66" s="1888">
        <f>F67</f>
        <v>89571.75</v>
      </c>
      <c r="G66" s="1946">
        <f t="shared" si="4"/>
        <v>0.9952416666666667</v>
      </c>
    </row>
    <row r="67" spans="1:7" ht="19.5" customHeight="1">
      <c r="A67" s="1890"/>
      <c r="B67" s="1898">
        <v>4300</v>
      </c>
      <c r="C67" s="1865" t="s">
        <v>840</v>
      </c>
      <c r="D67" s="1893">
        <v>120000</v>
      </c>
      <c r="E67" s="1915">
        <v>90000</v>
      </c>
      <c r="F67" s="1894">
        <v>89571.75</v>
      </c>
      <c r="G67" s="1947">
        <f t="shared" si="4"/>
        <v>0.9952416666666667</v>
      </c>
    </row>
    <row r="68" spans="1:7" ht="28.5" customHeight="1">
      <c r="A68" s="1880"/>
      <c r="B68" s="1880"/>
      <c r="C68" s="1896" t="s">
        <v>857</v>
      </c>
      <c r="D68" s="1887">
        <f>D69</f>
        <v>90000</v>
      </c>
      <c r="E68" s="1928">
        <f>E69</f>
        <v>97600</v>
      </c>
      <c r="F68" s="1888">
        <f>F69</f>
        <v>86133.19</v>
      </c>
      <c r="G68" s="1946">
        <f t="shared" si="4"/>
        <v>0.8825121926229509</v>
      </c>
    </row>
    <row r="69" spans="1:7" ht="19.5" customHeight="1">
      <c r="A69" s="1890"/>
      <c r="B69" s="1898">
        <v>4300</v>
      </c>
      <c r="C69" s="1865" t="s">
        <v>840</v>
      </c>
      <c r="D69" s="1893">
        <v>90000</v>
      </c>
      <c r="E69" s="1915">
        <v>97600</v>
      </c>
      <c r="F69" s="1894">
        <v>86133.19</v>
      </c>
      <c r="G69" s="1947">
        <f t="shared" si="4"/>
        <v>0.8825121926229509</v>
      </c>
    </row>
    <row r="70" spans="1:7" ht="19.5" customHeight="1">
      <c r="A70" s="1880"/>
      <c r="B70" s="1922"/>
      <c r="C70" s="1929" t="s">
        <v>858</v>
      </c>
      <c r="D70" s="1887">
        <f>D71</f>
        <v>50000</v>
      </c>
      <c r="E70" s="1928">
        <f>E71</f>
        <v>50000</v>
      </c>
      <c r="F70" s="1888">
        <f>F71</f>
        <v>48800</v>
      </c>
      <c r="G70" s="1946">
        <f t="shared" si="4"/>
        <v>0.976</v>
      </c>
    </row>
    <row r="71" spans="1:7" ht="19.5" customHeight="1">
      <c r="A71" s="1890"/>
      <c r="B71" s="1898">
        <v>4300</v>
      </c>
      <c r="C71" s="1865" t="s">
        <v>840</v>
      </c>
      <c r="D71" s="1893">
        <v>50000</v>
      </c>
      <c r="E71" s="1915">
        <v>50000</v>
      </c>
      <c r="F71" s="1894">
        <v>48800</v>
      </c>
      <c r="G71" s="1947">
        <f t="shared" si="4"/>
        <v>0.976</v>
      </c>
    </row>
    <row r="72" spans="1:7" ht="19.5" customHeight="1">
      <c r="A72" s="1880"/>
      <c r="B72" s="1922"/>
      <c r="C72" s="1929" t="s">
        <v>859</v>
      </c>
      <c r="D72" s="1887">
        <f>D73</f>
        <v>245000</v>
      </c>
      <c r="E72" s="1928">
        <f>E73</f>
        <v>245000</v>
      </c>
      <c r="F72" s="1888">
        <f>F73</f>
        <v>243999.99</v>
      </c>
      <c r="G72" s="1946">
        <f t="shared" si="4"/>
        <v>0.9959183265306122</v>
      </c>
    </row>
    <row r="73" spans="1:7" ht="19.5" customHeight="1">
      <c r="A73" s="1890"/>
      <c r="B73" s="1898">
        <v>4300</v>
      </c>
      <c r="C73" s="1865" t="s">
        <v>840</v>
      </c>
      <c r="D73" s="1893">
        <v>245000</v>
      </c>
      <c r="E73" s="1915">
        <v>245000</v>
      </c>
      <c r="F73" s="1894">
        <v>243999.99</v>
      </c>
      <c r="G73" s="1947">
        <f t="shared" si="4"/>
        <v>0.9959183265306122</v>
      </c>
    </row>
    <row r="74" spans="1:7" ht="19.5" customHeight="1">
      <c r="A74" s="1880"/>
      <c r="B74" s="1922"/>
      <c r="C74" s="1929" t="s">
        <v>860</v>
      </c>
      <c r="D74" s="1887">
        <f>D75</f>
        <v>50000</v>
      </c>
      <c r="E74" s="1928">
        <f>E75</f>
        <v>34000</v>
      </c>
      <c r="F74" s="1888">
        <f>F75</f>
        <v>33916</v>
      </c>
      <c r="G74" s="1946">
        <f t="shared" si="4"/>
        <v>0.9975294117647059</v>
      </c>
    </row>
    <row r="75" spans="1:7" ht="19.5" customHeight="1">
      <c r="A75" s="1890"/>
      <c r="B75" s="1898">
        <v>4300</v>
      </c>
      <c r="C75" s="1865" t="s">
        <v>840</v>
      </c>
      <c r="D75" s="1893">
        <v>50000</v>
      </c>
      <c r="E75" s="1915">
        <v>34000</v>
      </c>
      <c r="F75" s="1894">
        <v>33916</v>
      </c>
      <c r="G75" s="1947">
        <f t="shared" si="4"/>
        <v>0.9975294117647059</v>
      </c>
    </row>
    <row r="76" spans="1:7" ht="19.5" customHeight="1">
      <c r="A76" s="1880"/>
      <c r="B76" s="1922"/>
      <c r="C76" s="1929" t="s">
        <v>861</v>
      </c>
      <c r="D76" s="1887">
        <f>D77</f>
        <v>50000</v>
      </c>
      <c r="E76" s="1928">
        <f>E77</f>
        <v>20000</v>
      </c>
      <c r="F76" s="1888">
        <f>F77</f>
        <v>20000</v>
      </c>
      <c r="G76" s="1946">
        <f t="shared" si="4"/>
        <v>1</v>
      </c>
    </row>
    <row r="77" spans="1:7" ht="19.5" customHeight="1">
      <c r="A77" s="1890"/>
      <c r="B77" s="1898">
        <v>4300</v>
      </c>
      <c r="C77" s="1865" t="s">
        <v>840</v>
      </c>
      <c r="D77" s="1893">
        <v>50000</v>
      </c>
      <c r="E77" s="1915">
        <v>20000</v>
      </c>
      <c r="F77" s="1894">
        <v>20000</v>
      </c>
      <c r="G77" s="1947">
        <f t="shared" si="4"/>
        <v>1</v>
      </c>
    </row>
    <row r="78" spans="1:7" ht="19.5" customHeight="1">
      <c r="A78" s="1880"/>
      <c r="B78" s="1922"/>
      <c r="C78" s="1896" t="s">
        <v>862</v>
      </c>
      <c r="D78" s="1887"/>
      <c r="E78" s="1928">
        <f>E79</f>
        <v>36000</v>
      </c>
      <c r="F78" s="1888">
        <f>F79</f>
        <v>31600.15</v>
      </c>
      <c r="G78" s="1946">
        <f t="shared" si="4"/>
        <v>0.8777819444444445</v>
      </c>
    </row>
    <row r="79" spans="1:7" ht="19.5" customHeight="1">
      <c r="A79" s="1948"/>
      <c r="B79" s="1898">
        <v>4300</v>
      </c>
      <c r="C79" s="1865" t="s">
        <v>840</v>
      </c>
      <c r="D79" s="1893"/>
      <c r="E79" s="1915">
        <v>36000</v>
      </c>
      <c r="F79" s="1894">
        <v>31600.15</v>
      </c>
      <c r="G79" s="1947">
        <f t="shared" si="4"/>
        <v>0.8777819444444445</v>
      </c>
    </row>
    <row r="80" spans="1:7" ht="20.25" customHeight="1">
      <c r="A80" s="1949"/>
      <c r="B80" s="1949"/>
      <c r="C80" s="1896" t="s">
        <v>863</v>
      </c>
      <c r="D80" s="1887">
        <f>D81</f>
        <v>150000</v>
      </c>
      <c r="E80" s="1928">
        <f>E81</f>
        <v>76000</v>
      </c>
      <c r="F80" s="1888">
        <f>F81</f>
        <v>75976.74</v>
      </c>
      <c r="G80" s="1897">
        <f t="shared" si="4"/>
        <v>0.9996939473684211</v>
      </c>
    </row>
    <row r="81" spans="1:7" ht="19.5" customHeight="1">
      <c r="A81" s="1890"/>
      <c r="B81" s="1898">
        <v>6110</v>
      </c>
      <c r="C81" s="1865" t="s">
        <v>864</v>
      </c>
      <c r="D81" s="1893">
        <v>150000</v>
      </c>
      <c r="E81" s="1915">
        <v>76000</v>
      </c>
      <c r="F81" s="1894">
        <v>75976.74</v>
      </c>
      <c r="G81" s="1895">
        <f t="shared" si="4"/>
        <v>0.9996939473684211</v>
      </c>
    </row>
    <row r="82" spans="1:7" ht="28.5" customHeight="1">
      <c r="A82" s="1880"/>
      <c r="B82" s="1922"/>
      <c r="C82" s="1929" t="s">
        <v>865</v>
      </c>
      <c r="D82" s="1887">
        <f>D83</f>
        <v>30000</v>
      </c>
      <c r="E82" s="1928">
        <f>E83</f>
        <v>30000</v>
      </c>
      <c r="F82" s="1888">
        <f>F83</f>
        <v>29588</v>
      </c>
      <c r="G82" s="1897">
        <f t="shared" si="4"/>
        <v>0.9862666666666666</v>
      </c>
    </row>
    <row r="83" spans="1:7" ht="19.5" customHeight="1">
      <c r="A83" s="1948"/>
      <c r="B83" s="1898">
        <v>4270</v>
      </c>
      <c r="C83" s="1865" t="s">
        <v>866</v>
      </c>
      <c r="D83" s="1893">
        <v>30000</v>
      </c>
      <c r="E83" s="1915">
        <v>30000</v>
      </c>
      <c r="F83" s="1894">
        <v>29588</v>
      </c>
      <c r="G83" s="1895">
        <f t="shared" si="4"/>
        <v>0.9862666666666666</v>
      </c>
    </row>
    <row r="84" spans="1:7" ht="19.5" customHeight="1">
      <c r="A84" s="1880"/>
      <c r="B84" s="1922"/>
      <c r="C84" s="1950" t="s">
        <v>867</v>
      </c>
      <c r="D84" s="1951"/>
      <c r="E84" s="1952">
        <f>E85</f>
        <v>35000</v>
      </c>
      <c r="F84" s="1953">
        <f>F85</f>
        <v>35000</v>
      </c>
      <c r="G84" s="1946">
        <f t="shared" si="4"/>
        <v>1</v>
      </c>
    </row>
    <row r="85" spans="1:7" ht="19.5" customHeight="1">
      <c r="A85" s="1890"/>
      <c r="B85" s="1898">
        <v>4270</v>
      </c>
      <c r="C85" s="1865" t="s">
        <v>866</v>
      </c>
      <c r="D85" s="1930"/>
      <c r="E85" s="1931">
        <v>35000</v>
      </c>
      <c r="F85" s="1932">
        <v>35000</v>
      </c>
      <c r="G85" s="1947">
        <f t="shared" si="4"/>
        <v>1</v>
      </c>
    </row>
    <row r="86" spans="1:7" ht="19.5" customHeight="1">
      <c r="A86" s="1880"/>
      <c r="B86" s="1922"/>
      <c r="C86" s="1896" t="s">
        <v>868</v>
      </c>
      <c r="D86" s="1887">
        <f>D87</f>
        <v>100000</v>
      </c>
      <c r="E86" s="1928">
        <f>E87</f>
        <v>100000</v>
      </c>
      <c r="F86" s="1888">
        <f>F87</f>
        <v>100000</v>
      </c>
      <c r="G86" s="1946">
        <f t="shared" si="4"/>
        <v>1</v>
      </c>
    </row>
    <row r="87" spans="1:7" ht="19.5" customHeight="1">
      <c r="A87" s="1898"/>
      <c r="B87" s="1898">
        <v>6110</v>
      </c>
      <c r="C87" s="1865" t="s">
        <v>864</v>
      </c>
      <c r="D87" s="1893">
        <v>100000</v>
      </c>
      <c r="E87" s="1915">
        <v>100000</v>
      </c>
      <c r="F87" s="1894">
        <v>100000</v>
      </c>
      <c r="G87" s="1947">
        <f t="shared" si="4"/>
        <v>1</v>
      </c>
    </row>
    <row r="88" spans="1:7" ht="19.5" customHeight="1">
      <c r="A88" s="1880"/>
      <c r="B88" s="1922"/>
      <c r="C88" s="1896" t="s">
        <v>869</v>
      </c>
      <c r="D88" s="1887">
        <f>D89</f>
        <v>25000</v>
      </c>
      <c r="E88" s="1928">
        <f>E89</f>
        <v>25000</v>
      </c>
      <c r="F88" s="1888">
        <f>F89</f>
        <v>24949</v>
      </c>
      <c r="G88" s="1946">
        <f t="shared" si="4"/>
        <v>0.99796</v>
      </c>
    </row>
    <row r="89" spans="1:7" ht="19.5" customHeight="1">
      <c r="A89" s="1890"/>
      <c r="B89" s="1898">
        <v>6120</v>
      </c>
      <c r="C89" s="1865" t="s">
        <v>854</v>
      </c>
      <c r="D89" s="1893">
        <v>25000</v>
      </c>
      <c r="E89" s="1915">
        <v>25000</v>
      </c>
      <c r="F89" s="1894">
        <v>24949</v>
      </c>
      <c r="G89" s="1947">
        <f t="shared" si="4"/>
        <v>0.99796</v>
      </c>
    </row>
    <row r="90" spans="1:7" ht="19.5" customHeight="1">
      <c r="A90" s="1880"/>
      <c r="B90" s="1922"/>
      <c r="C90" s="1929" t="s">
        <v>870</v>
      </c>
      <c r="D90" s="1887">
        <f>D91</f>
        <v>15000</v>
      </c>
      <c r="E90" s="1928">
        <f>E91</f>
        <v>11483</v>
      </c>
      <c r="F90" s="1888">
        <f>F91</f>
        <v>11483</v>
      </c>
      <c r="G90" s="1946">
        <f t="shared" si="4"/>
        <v>1</v>
      </c>
    </row>
    <row r="91" spans="1:7" ht="19.5" customHeight="1">
      <c r="A91" s="1890"/>
      <c r="B91" s="1898">
        <v>6120</v>
      </c>
      <c r="C91" s="1865" t="s">
        <v>854</v>
      </c>
      <c r="D91" s="1893">
        <v>15000</v>
      </c>
      <c r="E91" s="1915">
        <v>11483</v>
      </c>
      <c r="F91" s="1894">
        <v>11483</v>
      </c>
      <c r="G91" s="1947">
        <f t="shared" si="4"/>
        <v>1</v>
      </c>
    </row>
    <row r="92" spans="1:7" ht="19.5" customHeight="1">
      <c r="A92" s="1880"/>
      <c r="B92" s="1922"/>
      <c r="C92" s="1923" t="s">
        <v>871</v>
      </c>
      <c r="D92" s="1887">
        <f>D93</f>
        <v>15000</v>
      </c>
      <c r="E92" s="1928"/>
      <c r="F92" s="1888"/>
      <c r="G92" s="1897"/>
    </row>
    <row r="93" spans="1:7" ht="19.5" customHeight="1">
      <c r="A93" s="1890"/>
      <c r="B93" s="1898">
        <v>4300</v>
      </c>
      <c r="C93" s="1865" t="s">
        <v>840</v>
      </c>
      <c r="D93" s="1893">
        <v>15000</v>
      </c>
      <c r="E93" s="1915"/>
      <c r="F93" s="1894"/>
      <c r="G93" s="1895"/>
    </row>
    <row r="94" spans="1:7" ht="19.5" customHeight="1">
      <c r="A94" s="1880"/>
      <c r="B94" s="1922"/>
      <c r="C94" s="1896" t="s">
        <v>872</v>
      </c>
      <c r="D94" s="1887"/>
      <c r="E94" s="1928">
        <f>E95</f>
        <v>90000</v>
      </c>
      <c r="F94" s="1888"/>
      <c r="G94" s="1897"/>
    </row>
    <row r="95" spans="1:7" ht="19.5" customHeight="1">
      <c r="A95" s="1948"/>
      <c r="B95" s="1898">
        <v>6120</v>
      </c>
      <c r="C95" s="1865" t="s">
        <v>854</v>
      </c>
      <c r="D95" s="1893"/>
      <c r="E95" s="1915">
        <v>90000</v>
      </c>
      <c r="F95" s="1894"/>
      <c r="G95" s="1895"/>
    </row>
    <row r="96" spans="1:7" ht="19.5" customHeight="1">
      <c r="A96" s="1890"/>
      <c r="B96" s="1954"/>
      <c r="C96" s="1955" t="s">
        <v>873</v>
      </c>
      <c r="D96" s="1930"/>
      <c r="E96" s="1931"/>
      <c r="F96" s="1932">
        <v>124959.89</v>
      </c>
      <c r="G96" s="1947"/>
    </row>
    <row r="97" spans="1:7" ht="19.5" customHeight="1">
      <c r="A97" s="1956"/>
      <c r="B97" s="1956"/>
      <c r="C97" s="1957" t="s">
        <v>874</v>
      </c>
      <c r="D97" s="1958">
        <f>D10+D12-D26</f>
        <v>167818</v>
      </c>
      <c r="E97" s="1958">
        <f>E10+E12-E26</f>
        <v>340</v>
      </c>
      <c r="F97" s="1959">
        <f>F10+F12-F26</f>
        <v>26765.90000000014</v>
      </c>
      <c r="G97" s="1960"/>
    </row>
    <row r="98" spans="1:7" ht="19.5" customHeight="1">
      <c r="A98" s="1881"/>
      <c r="B98" s="1961"/>
      <c r="C98" s="1962" t="s">
        <v>632</v>
      </c>
      <c r="D98" s="1883">
        <f>D26+D97</f>
        <v>2167818</v>
      </c>
      <c r="E98" s="1883">
        <f>E26+E97</f>
        <v>2005440</v>
      </c>
      <c r="F98" s="1884">
        <f>F26+F97</f>
        <v>1946424.92</v>
      </c>
      <c r="G98" s="1963"/>
    </row>
    <row r="99" ht="14.25">
      <c r="G99" s="1964"/>
    </row>
    <row r="100" ht="14.25">
      <c r="G100" s="1964"/>
    </row>
    <row r="101" spans="3:7" ht="14.25">
      <c r="C101" s="417" t="s">
        <v>287</v>
      </c>
      <c r="E101" t="s">
        <v>289</v>
      </c>
      <c r="G101" s="1964"/>
    </row>
    <row r="102" spans="3:7" ht="14.25">
      <c r="C102" s="417" t="s">
        <v>288</v>
      </c>
      <c r="E102" t="s">
        <v>290</v>
      </c>
      <c r="G102" s="1964"/>
    </row>
    <row r="103" ht="14.25">
      <c r="G103" s="1964"/>
    </row>
    <row r="104" ht="14.25">
      <c r="G104" s="1964"/>
    </row>
    <row r="105" ht="14.25">
      <c r="G105" s="1964"/>
    </row>
    <row r="106" ht="14.25">
      <c r="G106" s="1964"/>
    </row>
    <row r="107" ht="14.25">
      <c r="G107" s="1964"/>
    </row>
    <row r="108" ht="14.25">
      <c r="G108" s="1964"/>
    </row>
    <row r="109" ht="14.25">
      <c r="G109" s="1964"/>
    </row>
    <row r="110" ht="14.25">
      <c r="G110" s="1964"/>
    </row>
    <row r="111" ht="14.25">
      <c r="G111" s="1964"/>
    </row>
    <row r="112" ht="14.25">
      <c r="G112" s="1964"/>
    </row>
    <row r="113" ht="14.25">
      <c r="G113" s="1964"/>
    </row>
    <row r="114" ht="14.25">
      <c r="G114" s="1964"/>
    </row>
    <row r="115" ht="14.25">
      <c r="G115" s="1964"/>
    </row>
    <row r="116" ht="14.25">
      <c r="G116" s="1964"/>
    </row>
    <row r="117" ht="14.25">
      <c r="G117" s="1964"/>
    </row>
    <row r="118" ht="14.25">
      <c r="G118" s="1964"/>
    </row>
    <row r="119" ht="14.25">
      <c r="G119" s="1964"/>
    </row>
    <row r="120" ht="14.25">
      <c r="G120" s="1964"/>
    </row>
    <row r="121" ht="14.25">
      <c r="G121" s="1964"/>
    </row>
    <row r="122" ht="14.25">
      <c r="G122" s="1964"/>
    </row>
    <row r="123" ht="14.25">
      <c r="G123" s="1964"/>
    </row>
    <row r="124" ht="14.25">
      <c r="G124" s="1964"/>
    </row>
    <row r="125" ht="14.25">
      <c r="G125" s="1964"/>
    </row>
    <row r="126" ht="14.25">
      <c r="G126" s="1964"/>
    </row>
    <row r="127" ht="14.25">
      <c r="G127" s="1964"/>
    </row>
    <row r="128" ht="14.25">
      <c r="G128" s="1964"/>
    </row>
    <row r="129" ht="14.25">
      <c r="G129" s="1964"/>
    </row>
    <row r="130" ht="14.25">
      <c r="G130" s="1964"/>
    </row>
    <row r="131" ht="14.25">
      <c r="G131" s="1964"/>
    </row>
    <row r="132" ht="14.25">
      <c r="G132" s="1964"/>
    </row>
    <row r="133" ht="14.25">
      <c r="G133" s="1964"/>
    </row>
    <row r="134" ht="14.25">
      <c r="G134" s="1964"/>
    </row>
    <row r="135" ht="14.25">
      <c r="G135" s="1964"/>
    </row>
    <row r="136" ht="14.25">
      <c r="G136" s="1964"/>
    </row>
    <row r="137" ht="14.25">
      <c r="G137" s="1964"/>
    </row>
    <row r="138" ht="14.25">
      <c r="G138" s="1964"/>
    </row>
    <row r="139" ht="14.25">
      <c r="G139" s="1964"/>
    </row>
    <row r="140" ht="14.25">
      <c r="G140" s="1964"/>
    </row>
    <row r="141" ht="14.25">
      <c r="G141" s="1964"/>
    </row>
    <row r="142" ht="14.25">
      <c r="G142" s="1964"/>
    </row>
    <row r="143" ht="14.25">
      <c r="G143" s="1964"/>
    </row>
    <row r="144" ht="14.25">
      <c r="G144" s="1964"/>
    </row>
    <row r="145" ht="14.25">
      <c r="G145" s="1964"/>
    </row>
    <row r="146" ht="14.25">
      <c r="G146" s="1964"/>
    </row>
    <row r="147" ht="14.25">
      <c r="G147" s="1964"/>
    </row>
    <row r="148" ht="14.25">
      <c r="G148" s="1964"/>
    </row>
    <row r="149" ht="14.25">
      <c r="G149" s="1964"/>
    </row>
    <row r="150" ht="14.25">
      <c r="G150" s="1964"/>
    </row>
    <row r="151" ht="14.25">
      <c r="G151" s="1964"/>
    </row>
    <row r="152" ht="14.25">
      <c r="G152" s="1964"/>
    </row>
    <row r="153" ht="14.25">
      <c r="G153" s="1964"/>
    </row>
    <row r="154" ht="14.25">
      <c r="G154" s="1964"/>
    </row>
    <row r="155" ht="14.25">
      <c r="G155" s="1964"/>
    </row>
    <row r="156" ht="14.25">
      <c r="G156" s="1964"/>
    </row>
    <row r="157" ht="14.25">
      <c r="G157" s="1964"/>
    </row>
  </sheetData>
  <mergeCells count="4">
    <mergeCell ref="D7:D8"/>
    <mergeCell ref="G7:G8"/>
    <mergeCell ref="E7:E8"/>
    <mergeCell ref="F7:F8"/>
  </mergeCells>
  <printOptions horizontalCentered="1"/>
  <pageMargins left="0.5905511811023623" right="0.5905511811023623" top="0.6692913385826772" bottom="0.6692913385826772" header="0.5118110236220472" footer="0.5118110236220472"/>
  <pageSetup firstPageNumber="80" useFirstPageNumber="1"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F2" sqref="F2:F4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3.25390625" style="0" customWidth="1"/>
    <col min="4" max="4" width="19.375" style="0" customWidth="1"/>
    <col min="5" max="5" width="19.125" style="0" customWidth="1"/>
    <col min="6" max="6" width="18.375" style="0" customWidth="1"/>
    <col min="7" max="7" width="11.875" style="0" customWidth="1"/>
  </cols>
  <sheetData>
    <row r="1" spans="3:7" ht="15.75">
      <c r="C1" s="1965"/>
      <c r="D1" s="866"/>
      <c r="E1" s="866"/>
      <c r="F1" s="866" t="s">
        <v>875</v>
      </c>
      <c r="G1" s="866"/>
    </row>
    <row r="2" spans="3:7" ht="15.75">
      <c r="C2" s="1965"/>
      <c r="D2" s="866"/>
      <c r="E2" s="866"/>
      <c r="F2" s="1847" t="s">
        <v>293</v>
      </c>
      <c r="G2" s="866"/>
    </row>
    <row r="3" spans="1:7" ht="15.75">
      <c r="A3" s="483" t="s">
        <v>876</v>
      </c>
      <c r="C3" s="1965"/>
      <c r="D3" s="866"/>
      <c r="E3" s="866"/>
      <c r="F3" s="1847" t="s">
        <v>893</v>
      </c>
      <c r="G3" s="866"/>
    </row>
    <row r="4" spans="3:7" ht="15.75">
      <c r="C4" s="1965"/>
      <c r="D4" s="866"/>
      <c r="E4" s="866"/>
      <c r="F4" s="1847" t="s">
        <v>294</v>
      </c>
      <c r="G4" s="866"/>
    </row>
    <row r="5" ht="9.75" customHeight="1">
      <c r="C5" s="1966"/>
    </row>
    <row r="6" spans="1:6" ht="15.75" customHeight="1" thickBot="1">
      <c r="A6" s="1967"/>
      <c r="B6" s="1967"/>
      <c r="C6" s="1967"/>
      <c r="D6" s="1968"/>
      <c r="E6" s="1968"/>
      <c r="F6" s="1968" t="s">
        <v>725</v>
      </c>
    </row>
    <row r="7" spans="1:7" ht="22.5" customHeight="1" thickTop="1">
      <c r="A7" s="1969"/>
      <c r="B7" s="1969"/>
      <c r="C7" s="1970" t="s">
        <v>127</v>
      </c>
      <c r="D7" s="2792" t="s">
        <v>583</v>
      </c>
      <c r="E7" s="2792" t="s">
        <v>539</v>
      </c>
      <c r="F7" s="2792" t="s">
        <v>877</v>
      </c>
      <c r="G7" s="2792" t="s">
        <v>492</v>
      </c>
    </row>
    <row r="8" spans="1:7" ht="63.75" customHeight="1" thickBot="1">
      <c r="A8" s="239" t="s">
        <v>11</v>
      </c>
      <c r="B8" s="1971" t="s">
        <v>614</v>
      </c>
      <c r="C8" s="239" t="s">
        <v>615</v>
      </c>
      <c r="D8" s="2793" t="s">
        <v>616</v>
      </c>
      <c r="E8" s="2793" t="s">
        <v>616</v>
      </c>
      <c r="F8" s="2793" t="s">
        <v>616</v>
      </c>
      <c r="G8" s="2793"/>
    </row>
    <row r="9" spans="1:7" ht="14.25" thickBot="1" thickTop="1">
      <c r="A9" s="1972">
        <v>1</v>
      </c>
      <c r="B9" s="1972">
        <v>2</v>
      </c>
      <c r="C9" s="1972">
        <v>3</v>
      </c>
      <c r="D9" s="1973">
        <v>4</v>
      </c>
      <c r="E9" s="1973">
        <v>5</v>
      </c>
      <c r="F9" s="1973">
        <v>6</v>
      </c>
      <c r="G9" s="1974">
        <v>7</v>
      </c>
    </row>
    <row r="10" spans="1:7" s="75" customFormat="1" ht="21" customHeight="1" thickTop="1">
      <c r="A10" s="1975"/>
      <c r="B10" s="1975"/>
      <c r="C10" s="1976" t="s">
        <v>617</v>
      </c>
      <c r="D10" s="1977">
        <v>15289</v>
      </c>
      <c r="E10" s="1977">
        <v>9017</v>
      </c>
      <c r="F10" s="1978">
        <v>9017.34</v>
      </c>
      <c r="G10" s="1979"/>
    </row>
    <row r="11" spans="1:7" s="75" customFormat="1" ht="18" customHeight="1" hidden="1">
      <c r="A11" s="563"/>
      <c r="B11" s="563"/>
      <c r="C11" s="1980" t="s">
        <v>618</v>
      </c>
      <c r="D11" s="1981"/>
      <c r="E11" s="1981"/>
      <c r="F11" s="1982"/>
      <c r="G11" s="1983"/>
    </row>
    <row r="12" spans="1:7" s="35" customFormat="1" ht="17.25" customHeight="1" thickBot="1">
      <c r="A12" s="1984"/>
      <c r="B12" s="1984"/>
      <c r="C12" s="1985" t="s">
        <v>536</v>
      </c>
      <c r="D12" s="1986">
        <f aca="true" t="shared" si="0" ref="D12:F13">D13</f>
        <v>800000</v>
      </c>
      <c r="E12" s="1986">
        <f t="shared" si="0"/>
        <v>800000</v>
      </c>
      <c r="F12" s="1987">
        <f t="shared" si="0"/>
        <v>622179.92</v>
      </c>
      <c r="G12" s="1988">
        <f>F12/E12</f>
        <v>0.7777249</v>
      </c>
    </row>
    <row r="13" spans="1:7" s="84" customFormat="1" ht="21" customHeight="1" thickBot="1" thickTop="1">
      <c r="A13" s="1989">
        <v>900</v>
      </c>
      <c r="B13" s="1990"/>
      <c r="C13" s="1991" t="s">
        <v>1287</v>
      </c>
      <c r="D13" s="1992">
        <f t="shared" si="0"/>
        <v>800000</v>
      </c>
      <c r="E13" s="1992">
        <f t="shared" si="0"/>
        <v>800000</v>
      </c>
      <c r="F13" s="1993">
        <f t="shared" si="0"/>
        <v>622179.92</v>
      </c>
      <c r="G13" s="1994">
        <f>F13/E13</f>
        <v>0.7777249</v>
      </c>
    </row>
    <row r="14" spans="1:7" s="75" customFormat="1" ht="20.25" customHeight="1">
      <c r="A14" s="1778"/>
      <c r="B14" s="513">
        <v>90011</v>
      </c>
      <c r="C14" s="501" t="s">
        <v>619</v>
      </c>
      <c r="D14" s="514">
        <f>D15+D17</f>
        <v>800000</v>
      </c>
      <c r="E14" s="514">
        <f>E15+E17</f>
        <v>800000</v>
      </c>
      <c r="F14" s="515">
        <f>F15+F17</f>
        <v>622179.92</v>
      </c>
      <c r="G14" s="1995">
        <f>F14/E14</f>
        <v>0.7777249</v>
      </c>
    </row>
    <row r="15" spans="1:7" s="75" customFormat="1" ht="30" customHeight="1">
      <c r="A15" s="1778"/>
      <c r="B15" s="1778"/>
      <c r="C15" s="681" t="s">
        <v>626</v>
      </c>
      <c r="D15" s="984">
        <f>D16</f>
        <v>800000</v>
      </c>
      <c r="E15" s="984">
        <f>E16</f>
        <v>800000</v>
      </c>
      <c r="F15" s="985">
        <f>F16</f>
        <v>618031.27</v>
      </c>
      <c r="G15" s="1996">
        <f>F15/E15</f>
        <v>0.7725390875</v>
      </c>
    </row>
    <row r="16" spans="1:7" s="2003" customFormat="1" ht="20.25" customHeight="1">
      <c r="A16" s="1997"/>
      <c r="B16" s="1998">
        <v>2960</v>
      </c>
      <c r="C16" s="1999" t="s">
        <v>627</v>
      </c>
      <c r="D16" s="2000">
        <v>800000</v>
      </c>
      <c r="E16" s="2000">
        <v>800000</v>
      </c>
      <c r="F16" s="2001">
        <v>618031.27</v>
      </c>
      <c r="G16" s="2002">
        <f>F16/E16</f>
        <v>0.7725390875</v>
      </c>
    </row>
    <row r="17" spans="1:7" s="75" customFormat="1" ht="30.75" customHeight="1">
      <c r="A17" s="1778"/>
      <c r="B17" s="1778"/>
      <c r="C17" s="1080" t="s">
        <v>878</v>
      </c>
      <c r="D17" s="984"/>
      <c r="E17" s="984"/>
      <c r="F17" s="985">
        <f>F18</f>
        <v>4148.65</v>
      </c>
      <c r="G17" s="1996"/>
    </row>
    <row r="18" spans="1:7" s="2003" customFormat="1" ht="18" customHeight="1">
      <c r="A18" s="2004"/>
      <c r="B18" s="2005" t="s">
        <v>624</v>
      </c>
      <c r="C18" s="1980" t="s">
        <v>625</v>
      </c>
      <c r="D18" s="2000"/>
      <c r="E18" s="2000"/>
      <c r="F18" s="2001">
        <v>4148.65</v>
      </c>
      <c r="G18" s="2002"/>
    </row>
    <row r="19" spans="1:7" s="75" customFormat="1" ht="19.5" customHeight="1">
      <c r="A19" s="2006"/>
      <c r="B19" s="1778"/>
      <c r="C19" s="513" t="s">
        <v>632</v>
      </c>
      <c r="D19" s="514">
        <f>D10+D12</f>
        <v>815289</v>
      </c>
      <c r="E19" s="514">
        <f>E10+E12</f>
        <v>809017</v>
      </c>
      <c r="F19" s="515">
        <f>F10+F12</f>
        <v>631197.26</v>
      </c>
      <c r="G19" s="2007"/>
    </row>
    <row r="20" spans="1:7" s="41" customFormat="1" ht="19.5" customHeight="1" thickBot="1">
      <c r="A20" s="2008"/>
      <c r="B20" s="2008"/>
      <c r="C20" s="2009" t="s">
        <v>123</v>
      </c>
      <c r="D20" s="2010">
        <f aca="true" t="shared" si="1" ref="D20:F21">D21</f>
        <v>800000</v>
      </c>
      <c r="E20" s="2010">
        <f t="shared" si="1"/>
        <v>800000</v>
      </c>
      <c r="F20" s="2011">
        <f t="shared" si="1"/>
        <v>657127.23</v>
      </c>
      <c r="G20" s="2012">
        <f aca="true" t="shared" si="2" ref="G20:G28">F20/E20</f>
        <v>0.8214090374999999</v>
      </c>
    </row>
    <row r="21" spans="1:7" s="75" customFormat="1" ht="21" customHeight="1" thickBot="1" thickTop="1">
      <c r="A21" s="2013">
        <v>900</v>
      </c>
      <c r="B21" s="2014"/>
      <c r="C21" s="1991" t="s">
        <v>1287</v>
      </c>
      <c r="D21" s="1992">
        <f t="shared" si="1"/>
        <v>800000</v>
      </c>
      <c r="E21" s="1992">
        <f t="shared" si="1"/>
        <v>800000</v>
      </c>
      <c r="F21" s="1993">
        <f t="shared" si="1"/>
        <v>657127.23</v>
      </c>
      <c r="G21" s="1994">
        <f t="shared" si="2"/>
        <v>0.8214090374999999</v>
      </c>
    </row>
    <row r="22" spans="1:7" s="75" customFormat="1" ht="18.75" customHeight="1">
      <c r="A22" s="1778"/>
      <c r="B22" s="513">
        <v>90011</v>
      </c>
      <c r="C22" s="501" t="s">
        <v>619</v>
      </c>
      <c r="D22" s="514">
        <f>D23+D25+D27+D29</f>
        <v>800000</v>
      </c>
      <c r="E22" s="514">
        <f>E23+E25+E27+E29</f>
        <v>800000</v>
      </c>
      <c r="F22" s="515">
        <f>F23+F25+F27+F29</f>
        <v>657127.23</v>
      </c>
      <c r="G22" s="1995">
        <f t="shared" si="2"/>
        <v>0.8214090374999999</v>
      </c>
    </row>
    <row r="23" spans="1:7" s="75" customFormat="1" ht="18.75" customHeight="1">
      <c r="A23" s="1778"/>
      <c r="B23" s="1778"/>
      <c r="C23" s="681" t="s">
        <v>879</v>
      </c>
      <c r="D23" s="689">
        <f>D24</f>
        <v>450000</v>
      </c>
      <c r="E23" s="689">
        <f>E24</f>
        <v>450000</v>
      </c>
      <c r="F23" s="692">
        <f>F24</f>
        <v>445755.03</v>
      </c>
      <c r="G23" s="1996">
        <f t="shared" si="2"/>
        <v>0.9905667333333334</v>
      </c>
    </row>
    <row r="24" spans="1:7" s="2003" customFormat="1" ht="18.75" customHeight="1">
      <c r="A24" s="1997"/>
      <c r="B24" s="1998">
        <v>4300</v>
      </c>
      <c r="C24" s="1980" t="s">
        <v>840</v>
      </c>
      <c r="D24" s="2015">
        <v>450000</v>
      </c>
      <c r="E24" s="2015">
        <v>450000</v>
      </c>
      <c r="F24" s="2016">
        <v>445755.03</v>
      </c>
      <c r="G24" s="2002">
        <f t="shared" si="2"/>
        <v>0.9905667333333334</v>
      </c>
    </row>
    <row r="25" spans="1:7" s="75" customFormat="1" ht="29.25" customHeight="1">
      <c r="A25" s="1778"/>
      <c r="B25" s="2017"/>
      <c r="C25" s="710" t="s">
        <v>880</v>
      </c>
      <c r="D25" s="689">
        <f>D26</f>
        <v>100000</v>
      </c>
      <c r="E25" s="689">
        <f>E26</f>
        <v>100000</v>
      </c>
      <c r="F25" s="692">
        <f>F26</f>
        <v>61935.3</v>
      </c>
      <c r="G25" s="2018">
        <f t="shared" si="2"/>
        <v>0.619353</v>
      </c>
    </row>
    <row r="26" spans="1:7" s="2003" customFormat="1" ht="21.75" customHeight="1">
      <c r="A26" s="1997"/>
      <c r="B26" s="1998">
        <v>4300</v>
      </c>
      <c r="C26" s="1980" t="s">
        <v>840</v>
      </c>
      <c r="D26" s="2000">
        <v>100000</v>
      </c>
      <c r="E26" s="2000">
        <v>100000</v>
      </c>
      <c r="F26" s="2001">
        <v>61935.3</v>
      </c>
      <c r="G26" s="2002">
        <f t="shared" si="2"/>
        <v>0.619353</v>
      </c>
    </row>
    <row r="27" spans="1:7" s="75" customFormat="1" ht="28.5" customHeight="1">
      <c r="A27" s="1778"/>
      <c r="B27" s="2017"/>
      <c r="C27" s="710" t="s">
        <v>881</v>
      </c>
      <c r="D27" s="2019">
        <f>D28</f>
        <v>150000</v>
      </c>
      <c r="E27" s="2019">
        <f>E28</f>
        <v>150000</v>
      </c>
      <c r="F27" s="2020">
        <f>F28</f>
        <v>149436.9</v>
      </c>
      <c r="G27" s="2018">
        <f t="shared" si="2"/>
        <v>0.996246</v>
      </c>
    </row>
    <row r="28" spans="1:7" s="2003" customFormat="1" ht="18.75" customHeight="1">
      <c r="A28" s="1998"/>
      <c r="B28" s="1998">
        <v>4300</v>
      </c>
      <c r="C28" s="1980" t="s">
        <v>840</v>
      </c>
      <c r="D28" s="2000">
        <v>150000</v>
      </c>
      <c r="E28" s="2000">
        <v>150000</v>
      </c>
      <c r="F28" s="2001">
        <v>149436.9</v>
      </c>
      <c r="G28" s="2002">
        <f t="shared" si="2"/>
        <v>0.996246</v>
      </c>
    </row>
    <row r="29" spans="1:7" s="75" customFormat="1" ht="18.75" customHeight="1">
      <c r="A29" s="1778"/>
      <c r="B29" s="2017"/>
      <c r="C29" s="710" t="s">
        <v>882</v>
      </c>
      <c r="D29" s="2019">
        <f>D30</f>
        <v>100000</v>
      </c>
      <c r="E29" s="2019">
        <f>E30</f>
        <v>100000</v>
      </c>
      <c r="F29" s="2020"/>
      <c r="G29" s="2021"/>
    </row>
    <row r="30" spans="1:7" s="2003" customFormat="1" ht="18.75" customHeight="1">
      <c r="A30" s="1997"/>
      <c r="B30" s="1998">
        <v>4300</v>
      </c>
      <c r="C30" s="1980" t="s">
        <v>840</v>
      </c>
      <c r="D30" s="2022">
        <v>100000</v>
      </c>
      <c r="E30" s="2022">
        <v>100000</v>
      </c>
      <c r="F30" s="2023"/>
      <c r="G30" s="2024"/>
    </row>
    <row r="31" spans="1:7" s="41" customFormat="1" ht="18.75" customHeight="1">
      <c r="A31" s="2025"/>
      <c r="B31" s="2026"/>
      <c r="C31" s="2027" t="s">
        <v>874</v>
      </c>
      <c r="D31" s="2028">
        <f>D10+D12-D20</f>
        <v>15289</v>
      </c>
      <c r="E31" s="2028">
        <f>E10+E12-E20</f>
        <v>9017</v>
      </c>
      <c r="F31" s="2029">
        <f>F10+F12-F20</f>
        <v>-25929.969999999972</v>
      </c>
      <c r="G31" s="2030"/>
    </row>
    <row r="32" spans="1:7" s="41" customFormat="1" ht="20.25" customHeight="1" hidden="1">
      <c r="A32" s="2025"/>
      <c r="B32" s="2026"/>
      <c r="C32" s="2031" t="s">
        <v>618</v>
      </c>
      <c r="D32" s="2022"/>
      <c r="E32" s="2022"/>
      <c r="F32" s="2023"/>
      <c r="G32" s="2032"/>
    </row>
    <row r="33" spans="1:7" s="75" customFormat="1" ht="19.5" customHeight="1">
      <c r="A33" s="517"/>
      <c r="B33" s="2033"/>
      <c r="C33" s="2034" t="s">
        <v>632</v>
      </c>
      <c r="D33" s="514">
        <f>D20+D31</f>
        <v>815289</v>
      </c>
      <c r="E33" s="514">
        <f>E20+E31</f>
        <v>809017</v>
      </c>
      <c r="F33" s="515">
        <f>F20+F31</f>
        <v>631197.26</v>
      </c>
      <c r="G33" s="2035"/>
    </row>
    <row r="34" s="75" customFormat="1" ht="19.5" customHeight="1"/>
    <row r="35" spans="4:6" s="75" customFormat="1" ht="19.5" customHeight="1">
      <c r="D35" s="866"/>
      <c r="E35" s="866"/>
      <c r="F35" s="866"/>
    </row>
    <row r="36" spans="3:5" ht="12.75">
      <c r="C36" s="417" t="s">
        <v>287</v>
      </c>
      <c r="E36" t="s">
        <v>289</v>
      </c>
    </row>
    <row r="37" spans="3:5" ht="12.75">
      <c r="C37" s="417" t="s">
        <v>288</v>
      </c>
      <c r="E37" t="s">
        <v>290</v>
      </c>
    </row>
  </sheetData>
  <mergeCells count="4">
    <mergeCell ref="G7:G8"/>
    <mergeCell ref="D7:D8"/>
    <mergeCell ref="E7:E8"/>
    <mergeCell ref="F7:F8"/>
  </mergeCells>
  <printOptions horizontalCentered="1"/>
  <pageMargins left="0.5905511811023623" right="0.5905511811023623" top="0.6692913385826772" bottom="0.6692913385826772" header="0.5118110236220472" footer="0.5118110236220472"/>
  <pageSetup firstPageNumber="84" useFirstPageNumber="1" horizontalDpi="600" verticalDpi="600" orientation="landscape" paperSize="9" scale="87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C17" sqref="C17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2.25390625" style="0" customWidth="1"/>
    <col min="4" max="4" width="19.875" style="0" customWidth="1"/>
    <col min="5" max="5" width="18.625" style="0" customWidth="1"/>
    <col min="6" max="6" width="17.875" style="0" customWidth="1"/>
    <col min="7" max="7" width="13.75390625" style="0" customWidth="1"/>
  </cols>
  <sheetData>
    <row r="1" spans="3:6" ht="15.75">
      <c r="C1" s="1965"/>
      <c r="D1" s="866"/>
      <c r="E1" s="866"/>
      <c r="F1" s="866" t="s">
        <v>883</v>
      </c>
    </row>
    <row r="2" spans="3:6" ht="15.75">
      <c r="C2" s="1965"/>
      <c r="D2" s="866"/>
      <c r="E2" s="866"/>
      <c r="F2" s="1847" t="s">
        <v>293</v>
      </c>
    </row>
    <row r="3" spans="1:6" ht="15.75">
      <c r="A3" s="2036" t="s">
        <v>884</v>
      </c>
      <c r="C3" s="1965"/>
      <c r="D3" s="866"/>
      <c r="E3" s="866"/>
      <c r="F3" s="1847" t="s">
        <v>893</v>
      </c>
    </row>
    <row r="4" spans="3:6" ht="15.75">
      <c r="C4" s="1965"/>
      <c r="D4" s="866"/>
      <c r="E4" s="866"/>
      <c r="F4" s="1847" t="s">
        <v>294</v>
      </c>
    </row>
    <row r="5" spans="3:6" ht="15.75">
      <c r="C5" s="1965"/>
      <c r="D5" s="866"/>
      <c r="E5" s="866"/>
      <c r="F5" s="866"/>
    </row>
    <row r="6" spans="1:6" ht="15.75" customHeight="1" thickBot="1">
      <c r="A6" s="1967"/>
      <c r="B6" s="1967"/>
      <c r="C6" s="1967"/>
      <c r="D6" s="1968"/>
      <c r="E6" s="1968"/>
      <c r="F6" s="1968" t="s">
        <v>725</v>
      </c>
    </row>
    <row r="7" spans="1:7" ht="22.5" customHeight="1" thickTop="1">
      <c r="A7" s="1969"/>
      <c r="B7" s="1969"/>
      <c r="C7" s="1970" t="s">
        <v>127</v>
      </c>
      <c r="D7" s="2792" t="s">
        <v>583</v>
      </c>
      <c r="E7" s="2792" t="s">
        <v>539</v>
      </c>
      <c r="F7" s="2792" t="s">
        <v>885</v>
      </c>
      <c r="G7" s="2792" t="s">
        <v>492</v>
      </c>
    </row>
    <row r="8" spans="1:7" ht="39.75" customHeight="1" thickBot="1">
      <c r="A8" s="239" t="s">
        <v>11</v>
      </c>
      <c r="B8" s="1971" t="s">
        <v>614</v>
      </c>
      <c r="C8" s="239" t="s">
        <v>615</v>
      </c>
      <c r="D8" s="2793" t="s">
        <v>616</v>
      </c>
      <c r="E8" s="2793" t="s">
        <v>616</v>
      </c>
      <c r="F8" s="2793" t="s">
        <v>616</v>
      </c>
      <c r="G8" s="2793"/>
    </row>
    <row r="9" spans="1:7" ht="14.25" thickBot="1" thickTop="1">
      <c r="A9" s="1972">
        <v>1</v>
      </c>
      <c r="B9" s="1972">
        <v>2</v>
      </c>
      <c r="C9" s="1972">
        <v>3</v>
      </c>
      <c r="D9" s="1973">
        <v>4</v>
      </c>
      <c r="E9" s="1973">
        <v>5</v>
      </c>
      <c r="F9" s="1973">
        <v>6</v>
      </c>
      <c r="G9" s="1974">
        <v>7</v>
      </c>
    </row>
    <row r="10" spans="1:7" s="75" customFormat="1" ht="21" customHeight="1" thickTop="1">
      <c r="A10" s="1975"/>
      <c r="B10" s="1975"/>
      <c r="C10" s="1976" t="s">
        <v>617</v>
      </c>
      <c r="D10" s="1977">
        <v>894651</v>
      </c>
      <c r="E10" s="1977">
        <v>1426851</v>
      </c>
      <c r="F10" s="1978">
        <v>1426851.36</v>
      </c>
      <c r="G10" s="1979"/>
    </row>
    <row r="11" spans="1:7" s="75" customFormat="1" ht="18" customHeight="1" hidden="1">
      <c r="A11" s="563"/>
      <c r="B11" s="563"/>
      <c r="C11" s="1980" t="s">
        <v>618</v>
      </c>
      <c r="D11" s="1981"/>
      <c r="E11" s="1981"/>
      <c r="F11" s="1982"/>
      <c r="G11" s="1983"/>
    </row>
    <row r="12" spans="1:7" s="35" customFormat="1" ht="17.25" customHeight="1" thickBot="1">
      <c r="A12" s="1984"/>
      <c r="B12" s="1984"/>
      <c r="C12" s="1985" t="s">
        <v>536</v>
      </c>
      <c r="D12" s="1986">
        <f aca="true" t="shared" si="0" ref="D12:F13">D13</f>
        <v>800000</v>
      </c>
      <c r="E12" s="1986">
        <f t="shared" si="0"/>
        <v>800000</v>
      </c>
      <c r="F12" s="1987">
        <f t="shared" si="0"/>
        <v>1031945.28</v>
      </c>
      <c r="G12" s="1988">
        <f aca="true" t="shared" si="1" ref="G12:G18">F12/E12</f>
        <v>1.2899316</v>
      </c>
    </row>
    <row r="13" spans="1:7" s="84" customFormat="1" ht="19.5" customHeight="1" thickBot="1" thickTop="1">
      <c r="A13" s="2037">
        <v>710</v>
      </c>
      <c r="B13" s="2037"/>
      <c r="C13" s="2038" t="s">
        <v>175</v>
      </c>
      <c r="D13" s="1992">
        <f t="shared" si="0"/>
        <v>800000</v>
      </c>
      <c r="E13" s="1992">
        <f t="shared" si="0"/>
        <v>800000</v>
      </c>
      <c r="F13" s="1993">
        <f t="shared" si="0"/>
        <v>1031945.28</v>
      </c>
      <c r="G13" s="1994">
        <f t="shared" si="1"/>
        <v>1.2899316</v>
      </c>
    </row>
    <row r="14" spans="1:7" s="75" customFormat="1" ht="19.5" customHeight="1">
      <c r="A14" s="2006"/>
      <c r="B14" s="2039">
        <v>71030</v>
      </c>
      <c r="C14" s="1227" t="s">
        <v>884</v>
      </c>
      <c r="D14" s="514">
        <f>D15+D17</f>
        <v>800000</v>
      </c>
      <c r="E14" s="514">
        <f>E15+E17</f>
        <v>800000</v>
      </c>
      <c r="F14" s="515">
        <f>F15+F17</f>
        <v>1031945.28</v>
      </c>
      <c r="G14" s="1995">
        <f t="shared" si="1"/>
        <v>1.2899316</v>
      </c>
    </row>
    <row r="15" spans="1:7" s="75" customFormat="1" ht="19.5" customHeight="1">
      <c r="A15" s="2006"/>
      <c r="B15" s="2040"/>
      <c r="C15" s="2041" t="s">
        <v>886</v>
      </c>
      <c r="D15" s="984">
        <f>D16</f>
        <v>750000</v>
      </c>
      <c r="E15" s="984">
        <f>E16</f>
        <v>750000</v>
      </c>
      <c r="F15" s="985">
        <f>F16</f>
        <v>964806.84</v>
      </c>
      <c r="G15" s="1996">
        <f t="shared" si="1"/>
        <v>1.2864091199999999</v>
      </c>
    </row>
    <row r="16" spans="1:7" s="2003" customFormat="1" ht="19.5" customHeight="1">
      <c r="A16" s="2004"/>
      <c r="B16" s="2042" t="s">
        <v>887</v>
      </c>
      <c r="C16" s="2043" t="s">
        <v>888</v>
      </c>
      <c r="D16" s="2000">
        <v>750000</v>
      </c>
      <c r="E16" s="2000">
        <v>750000</v>
      </c>
      <c r="F16" s="2001">
        <v>964806.84</v>
      </c>
      <c r="G16" s="2002">
        <f t="shared" si="1"/>
        <v>1.2864091199999999</v>
      </c>
    </row>
    <row r="17" spans="1:7" s="75" customFormat="1" ht="19.5" customHeight="1">
      <c r="A17" s="2006"/>
      <c r="B17" s="2040"/>
      <c r="C17" s="2041" t="s">
        <v>889</v>
      </c>
      <c r="D17" s="984">
        <f>D18</f>
        <v>50000</v>
      </c>
      <c r="E17" s="984">
        <f>E18</f>
        <v>50000</v>
      </c>
      <c r="F17" s="985">
        <f>F18</f>
        <v>67138.44</v>
      </c>
      <c r="G17" s="1996">
        <f t="shared" si="1"/>
        <v>1.3427688</v>
      </c>
    </row>
    <row r="18" spans="1:7" s="2003" customFormat="1" ht="19.5" customHeight="1">
      <c r="A18" s="2004"/>
      <c r="B18" s="2042" t="s">
        <v>630</v>
      </c>
      <c r="C18" s="2043" t="s">
        <v>631</v>
      </c>
      <c r="D18" s="2000">
        <v>50000</v>
      </c>
      <c r="E18" s="2000">
        <v>50000</v>
      </c>
      <c r="F18" s="2001">
        <v>67138.44</v>
      </c>
      <c r="G18" s="2002">
        <f t="shared" si="1"/>
        <v>1.3427688</v>
      </c>
    </row>
    <row r="19" spans="1:7" s="75" customFormat="1" ht="19.5" customHeight="1">
      <c r="A19" s="2006"/>
      <c r="B19" s="1778"/>
      <c r="C19" s="513" t="s">
        <v>632</v>
      </c>
      <c r="D19" s="514">
        <f>D10+D12</f>
        <v>1694651</v>
      </c>
      <c r="E19" s="514">
        <f>E10+E12</f>
        <v>2226851</v>
      </c>
      <c r="F19" s="515">
        <f>F10+F12</f>
        <v>2458796.64</v>
      </c>
      <c r="G19" s="2007"/>
    </row>
    <row r="20" spans="1:7" s="41" customFormat="1" ht="19.5" customHeight="1" thickBot="1">
      <c r="A20" s="2008"/>
      <c r="B20" s="2008"/>
      <c r="C20" s="2009" t="s">
        <v>123</v>
      </c>
      <c r="D20" s="2010">
        <f aca="true" t="shared" si="2" ref="D20:F21">D21</f>
        <v>800000</v>
      </c>
      <c r="E20" s="2010">
        <f t="shared" si="2"/>
        <v>2176000</v>
      </c>
      <c r="F20" s="2011">
        <f t="shared" si="2"/>
        <v>1174853.19</v>
      </c>
      <c r="G20" s="2012">
        <f aca="true" t="shared" si="3" ref="G20:G30">F20/E20</f>
        <v>0.5399141498161765</v>
      </c>
    </row>
    <row r="21" spans="1:7" s="75" customFormat="1" ht="21" customHeight="1" thickBot="1" thickTop="1">
      <c r="A21" s="2013">
        <v>710</v>
      </c>
      <c r="B21" s="2014"/>
      <c r="C21" s="1991" t="s">
        <v>175</v>
      </c>
      <c r="D21" s="1992">
        <f t="shared" si="2"/>
        <v>800000</v>
      </c>
      <c r="E21" s="1992">
        <f t="shared" si="2"/>
        <v>2176000</v>
      </c>
      <c r="F21" s="1993">
        <f t="shared" si="2"/>
        <v>1174853.19</v>
      </c>
      <c r="G21" s="1994">
        <f t="shared" si="3"/>
        <v>0.5399141498161765</v>
      </c>
    </row>
    <row r="22" spans="1:7" s="75" customFormat="1" ht="18.75" customHeight="1">
      <c r="A22" s="1778"/>
      <c r="B22" s="513">
        <v>71030</v>
      </c>
      <c r="C22" s="501" t="s">
        <v>884</v>
      </c>
      <c r="D22" s="514">
        <f>D23+D27+D29</f>
        <v>800000</v>
      </c>
      <c r="E22" s="514">
        <f>E23+E27+E29</f>
        <v>2176000</v>
      </c>
      <c r="F22" s="515">
        <f>F23+F27+F29</f>
        <v>1174853.19</v>
      </c>
      <c r="G22" s="1995">
        <f t="shared" si="3"/>
        <v>0.5399141498161765</v>
      </c>
    </row>
    <row r="23" spans="1:7" s="2003" customFormat="1" ht="19.5" customHeight="1">
      <c r="A23" s="1997"/>
      <c r="B23" s="2017"/>
      <c r="C23" s="710" t="s">
        <v>890</v>
      </c>
      <c r="D23" s="689">
        <f>SUM(D24:D26)</f>
        <v>570000</v>
      </c>
      <c r="E23" s="689">
        <f>SUM(E24:E26)</f>
        <v>1566000</v>
      </c>
      <c r="F23" s="692">
        <f>SUM(F24:F26)</f>
        <v>836429.6</v>
      </c>
      <c r="G23" s="2044">
        <f t="shared" si="3"/>
        <v>0.5341185185185185</v>
      </c>
    </row>
    <row r="24" spans="1:7" s="2003" customFormat="1" ht="18.75" customHeight="1">
      <c r="A24" s="1997"/>
      <c r="B24" s="1998">
        <v>4210</v>
      </c>
      <c r="C24" s="1980" t="s">
        <v>526</v>
      </c>
      <c r="D24" s="2015">
        <v>30000</v>
      </c>
      <c r="E24" s="2015">
        <v>30000</v>
      </c>
      <c r="F24" s="2016">
        <v>18681.85</v>
      </c>
      <c r="G24" s="2002">
        <f t="shared" si="3"/>
        <v>0.6227283333333333</v>
      </c>
    </row>
    <row r="25" spans="1:7" s="2003" customFormat="1" ht="18.75" customHeight="1">
      <c r="A25" s="1997"/>
      <c r="B25" s="1998">
        <v>4270</v>
      </c>
      <c r="C25" s="1980" t="s">
        <v>866</v>
      </c>
      <c r="D25" s="2015">
        <v>30000</v>
      </c>
      <c r="E25" s="2015">
        <v>30000</v>
      </c>
      <c r="F25" s="2016">
        <v>4834.54</v>
      </c>
      <c r="G25" s="2002">
        <f t="shared" si="3"/>
        <v>0.16115133333333334</v>
      </c>
    </row>
    <row r="26" spans="1:7" s="2003" customFormat="1" ht="18.75" customHeight="1">
      <c r="A26" s="1997"/>
      <c r="B26" s="1998">
        <v>4300</v>
      </c>
      <c r="C26" s="1980" t="s">
        <v>840</v>
      </c>
      <c r="D26" s="2015">
        <v>510000</v>
      </c>
      <c r="E26" s="2015">
        <v>1506000</v>
      </c>
      <c r="F26" s="2016">
        <v>812913.21</v>
      </c>
      <c r="G26" s="2002">
        <f t="shared" si="3"/>
        <v>0.5397830079681275</v>
      </c>
    </row>
    <row r="27" spans="1:7" s="2003" customFormat="1" ht="27" customHeight="1">
      <c r="A27" s="1997"/>
      <c r="B27" s="2017"/>
      <c r="C27" s="710" t="s">
        <v>891</v>
      </c>
      <c r="D27" s="689">
        <f>D28</f>
        <v>160000</v>
      </c>
      <c r="E27" s="689">
        <f>E28</f>
        <v>160000</v>
      </c>
      <c r="F27" s="692">
        <f>F28</f>
        <v>206389.04</v>
      </c>
      <c r="G27" s="2044">
        <f t="shared" si="3"/>
        <v>1.2899315</v>
      </c>
    </row>
    <row r="28" spans="1:7" s="2003" customFormat="1" ht="15.75" customHeight="1">
      <c r="A28" s="1997"/>
      <c r="B28" s="1998">
        <v>2960</v>
      </c>
      <c r="C28" s="1980" t="s">
        <v>627</v>
      </c>
      <c r="D28" s="2000">
        <v>160000</v>
      </c>
      <c r="E28" s="2000">
        <v>160000</v>
      </c>
      <c r="F28" s="2001">
        <f>103194.52+103194.52</f>
        <v>206389.04</v>
      </c>
      <c r="G28" s="2002">
        <f t="shared" si="3"/>
        <v>1.2899315</v>
      </c>
    </row>
    <row r="29" spans="1:7" s="2003" customFormat="1" ht="19.5" customHeight="1">
      <c r="A29" s="1997"/>
      <c r="B29" s="2017"/>
      <c r="C29" s="710" t="s">
        <v>892</v>
      </c>
      <c r="D29" s="689">
        <f>D30</f>
        <v>70000</v>
      </c>
      <c r="E29" s="689">
        <f>E30</f>
        <v>450000</v>
      </c>
      <c r="F29" s="692">
        <f>F30</f>
        <v>132034.55</v>
      </c>
      <c r="G29" s="2044">
        <f t="shared" si="3"/>
        <v>0.2934101111111111</v>
      </c>
    </row>
    <row r="30" spans="1:7" s="2003" customFormat="1" ht="18.75" customHeight="1">
      <c r="A30" s="1997"/>
      <c r="B30" s="1998">
        <v>6120</v>
      </c>
      <c r="C30" s="1980" t="s">
        <v>854</v>
      </c>
      <c r="D30" s="2022">
        <v>70000</v>
      </c>
      <c r="E30" s="2022">
        <v>450000</v>
      </c>
      <c r="F30" s="2023">
        <v>132034.55</v>
      </c>
      <c r="G30" s="2002">
        <f t="shared" si="3"/>
        <v>0.2934101111111111</v>
      </c>
    </row>
    <row r="31" spans="1:7" s="41" customFormat="1" ht="18.75" customHeight="1">
      <c r="A31" s="2025"/>
      <c r="B31" s="2026"/>
      <c r="C31" s="2027" t="s">
        <v>874</v>
      </c>
      <c r="D31" s="2028">
        <f>D10+D12-D20</f>
        <v>894651</v>
      </c>
      <c r="E31" s="2028">
        <f>E10+E12-E20</f>
        <v>50851</v>
      </c>
      <c r="F31" s="2029">
        <f>F10+F12-F20</f>
        <v>1283943.4500000002</v>
      </c>
      <c r="G31" s="2030"/>
    </row>
    <row r="32" spans="1:7" s="41" customFormat="1" ht="20.25" customHeight="1" hidden="1">
      <c r="A32" s="2025"/>
      <c r="B32" s="2026"/>
      <c r="C32" s="2031" t="s">
        <v>632</v>
      </c>
      <c r="D32" s="2022"/>
      <c r="E32" s="2022"/>
      <c r="F32" s="2023"/>
      <c r="G32" s="2032"/>
    </row>
    <row r="33" spans="1:7" s="75" customFormat="1" ht="19.5" customHeight="1">
      <c r="A33" s="517"/>
      <c r="B33" s="2033"/>
      <c r="C33" s="2034" t="s">
        <v>632</v>
      </c>
      <c r="D33" s="514">
        <f>D20+D31</f>
        <v>1694651</v>
      </c>
      <c r="E33" s="514">
        <f>E20+E31</f>
        <v>2226851</v>
      </c>
      <c r="F33" s="515">
        <f>F20+F31</f>
        <v>2458796.64</v>
      </c>
      <c r="G33" s="2035"/>
    </row>
    <row r="34" spans="4:6" s="75" customFormat="1" ht="19.5" customHeight="1">
      <c r="D34" s="866"/>
      <c r="E34" s="866"/>
      <c r="F34" s="866"/>
    </row>
    <row r="36" spans="3:5" ht="12.75">
      <c r="C36" s="417" t="s">
        <v>287</v>
      </c>
      <c r="E36" t="s">
        <v>289</v>
      </c>
    </row>
    <row r="37" spans="3:5" ht="12.75">
      <c r="C37" s="417" t="s">
        <v>288</v>
      </c>
      <c r="E37" t="s">
        <v>290</v>
      </c>
    </row>
  </sheetData>
  <mergeCells count="4">
    <mergeCell ref="G7:G8"/>
    <mergeCell ref="D7:D8"/>
    <mergeCell ref="E7:E8"/>
    <mergeCell ref="F7:F8"/>
  </mergeCells>
  <printOptions horizontalCentered="1"/>
  <pageMargins left="0.5905511811023623" right="0.5905511811023623" top="0.4724409448818898" bottom="0.6692913385826772" header="0.5118110236220472" footer="0.5118110236220472"/>
  <pageSetup firstPageNumber="86" useFirstPageNumber="1" horizontalDpi="600" verticalDpi="600" orientation="landscape" paperSize="9" scale="8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1"/>
  <sheetViews>
    <sheetView zoomScale="80" zoomScaleNormal="80" workbookViewId="0" topLeftCell="A1">
      <selection activeCell="F2" sqref="F2:F4"/>
    </sheetView>
  </sheetViews>
  <sheetFormatPr defaultColWidth="9.125" defaultRowHeight="12.75"/>
  <cols>
    <col min="1" max="1" width="6.125" style="35" customWidth="1"/>
    <col min="2" max="2" width="7.875" style="35" customWidth="1"/>
    <col min="3" max="3" width="81.75390625" style="35" customWidth="1"/>
    <col min="4" max="5" width="17.25390625" style="228" customWidth="1"/>
    <col min="6" max="6" width="19.625" style="229" customWidth="1"/>
    <col min="7" max="7" width="10.625" style="228" customWidth="1"/>
    <col min="8" max="8" width="15.375" style="35" customWidth="1"/>
    <col min="9" max="9" width="7.875" style="35" customWidth="1"/>
    <col min="10" max="10" width="11.625" style="35" bestFit="1" customWidth="1"/>
    <col min="11" max="16384" width="7.875" style="35" customWidth="1"/>
  </cols>
  <sheetData>
    <row r="1" ht="19.5" customHeight="1">
      <c r="F1" s="229" t="s">
        <v>122</v>
      </c>
    </row>
    <row r="2" spans="3:6" ht="19.5" customHeight="1">
      <c r="C2" s="230" t="s">
        <v>123</v>
      </c>
      <c r="F2" s="229" t="s">
        <v>293</v>
      </c>
    </row>
    <row r="3" spans="3:6" ht="19.5" customHeight="1">
      <c r="C3" s="230"/>
      <c r="F3" s="229" t="s">
        <v>893</v>
      </c>
    </row>
    <row r="4" spans="3:6" ht="19.5" customHeight="1">
      <c r="C4" s="34"/>
      <c r="F4" s="229" t="s">
        <v>294</v>
      </c>
    </row>
    <row r="5" ht="15.75" thickBot="1">
      <c r="F5" s="231" t="s">
        <v>725</v>
      </c>
    </row>
    <row r="6" spans="1:7" ht="17.25" customHeight="1" thickTop="1">
      <c r="A6" s="232"/>
      <c r="B6" s="232"/>
      <c r="C6" s="233"/>
      <c r="D6" s="2766" t="s">
        <v>124</v>
      </c>
      <c r="E6" s="2766" t="s">
        <v>125</v>
      </c>
      <c r="F6" s="2763" t="s">
        <v>126</v>
      </c>
      <c r="G6" s="234"/>
    </row>
    <row r="7" spans="1:7" ht="18.75" customHeight="1">
      <c r="A7" s="235"/>
      <c r="B7" s="235"/>
      <c r="C7" s="236" t="s">
        <v>127</v>
      </c>
      <c r="D7" s="2767"/>
      <c r="E7" s="2767"/>
      <c r="F7" s="2764"/>
      <c r="G7" s="237" t="s">
        <v>128</v>
      </c>
    </row>
    <row r="8" spans="1:7" ht="29.25" customHeight="1" thickBot="1">
      <c r="A8" s="238" t="s">
        <v>11</v>
      </c>
      <c r="B8" s="238" t="s">
        <v>12</v>
      </c>
      <c r="C8" s="239" t="s">
        <v>129</v>
      </c>
      <c r="D8" s="2768"/>
      <c r="E8" s="2768"/>
      <c r="F8" s="2765"/>
      <c r="G8" s="240" t="s">
        <v>130</v>
      </c>
    </row>
    <row r="9" spans="1:7" s="242" customFormat="1" ht="14.25" customHeight="1" thickBot="1" thickTop="1">
      <c r="A9" s="39">
        <v>1</v>
      </c>
      <c r="B9" s="39">
        <v>2</v>
      </c>
      <c r="C9" s="39">
        <v>3</v>
      </c>
      <c r="D9" s="241">
        <v>4</v>
      </c>
      <c r="E9" s="241">
        <v>5</v>
      </c>
      <c r="F9" s="241">
        <v>6</v>
      </c>
      <c r="G9" s="241">
        <v>7</v>
      </c>
    </row>
    <row r="10" spans="1:10" s="6" customFormat="1" ht="24.75" customHeight="1" thickBot="1" thickTop="1">
      <c r="A10" s="243"/>
      <c r="B10" s="243"/>
      <c r="C10" s="244" t="s">
        <v>131</v>
      </c>
      <c r="D10" s="245">
        <v>897442438</v>
      </c>
      <c r="E10" s="245">
        <f>E12+E581+E615</f>
        <v>966483967</v>
      </c>
      <c r="F10" s="246">
        <f>F12+F581+F615</f>
        <v>935720809.3399999</v>
      </c>
      <c r="G10" s="247">
        <f>F10/E10</f>
        <v>0.9681700279462576</v>
      </c>
      <c r="H10" s="248"/>
      <c r="J10" s="248"/>
    </row>
    <row r="11" spans="1:7" s="6" customFormat="1" ht="19.5" customHeight="1">
      <c r="A11" s="249"/>
      <c r="B11" s="249"/>
      <c r="C11" s="250" t="s">
        <v>132</v>
      </c>
      <c r="D11" s="251"/>
      <c r="E11" s="251"/>
      <c r="F11" s="252"/>
      <c r="G11" s="253"/>
    </row>
    <row r="12" spans="1:10" s="6" customFormat="1" ht="19.5" customHeight="1" thickBot="1">
      <c r="A12" s="254"/>
      <c r="B12" s="254"/>
      <c r="C12" s="255" t="s">
        <v>133</v>
      </c>
      <c r="D12" s="256">
        <v>794990755</v>
      </c>
      <c r="E12" s="256">
        <f>E13+E16+E19+E23+E43+E52+E70+E81+E110+E141+E146+E150+E171+E285+E306+E384+E416+E482+E525+E565</f>
        <v>863293118</v>
      </c>
      <c r="F12" s="257">
        <f>F13+F16+F19+F23+F43+F52+F70+F81+F110+F141+F146+F150+F171+F285+F306+F384+F416+F482+F525+F565</f>
        <v>837411635.5999999</v>
      </c>
      <c r="G12" s="258">
        <f aca="true" t="shared" si="0" ref="G12:G43">F12/E12</f>
        <v>0.9700200524475858</v>
      </c>
      <c r="H12" s="248"/>
      <c r="J12" s="248"/>
    </row>
    <row r="13" spans="1:7" s="6" customFormat="1" ht="19.5" customHeight="1" thickBot="1" thickTop="1">
      <c r="A13" s="259" t="s">
        <v>134</v>
      </c>
      <c r="B13" s="212"/>
      <c r="C13" s="202" t="s">
        <v>135</v>
      </c>
      <c r="D13" s="204">
        <v>11000</v>
      </c>
      <c r="E13" s="204">
        <f>E14</f>
        <v>14000</v>
      </c>
      <c r="F13" s="260">
        <f>F14</f>
        <v>11994.77</v>
      </c>
      <c r="G13" s="206">
        <f t="shared" si="0"/>
        <v>0.8567692857142858</v>
      </c>
    </row>
    <row r="14" spans="1:7" s="36" customFormat="1" ht="19.5" customHeight="1">
      <c r="A14" s="51"/>
      <c r="B14" s="261" t="s">
        <v>136</v>
      </c>
      <c r="C14" s="207" t="s">
        <v>137</v>
      </c>
      <c r="D14" s="209">
        <v>11000</v>
      </c>
      <c r="E14" s="209">
        <f>E15</f>
        <v>14000</v>
      </c>
      <c r="F14" s="262">
        <f>F15</f>
        <v>11994.77</v>
      </c>
      <c r="G14" s="211">
        <f t="shared" si="0"/>
        <v>0.8567692857142858</v>
      </c>
    </row>
    <row r="15" spans="1:7" s="102" customFormat="1" ht="19.5" customHeight="1">
      <c r="A15" s="263"/>
      <c r="B15" s="263"/>
      <c r="C15" s="120" t="s">
        <v>138</v>
      </c>
      <c r="D15" s="121">
        <v>11000</v>
      </c>
      <c r="E15" s="121">
        <v>14000</v>
      </c>
      <c r="F15" s="264">
        <v>11994.77</v>
      </c>
      <c r="G15" s="134">
        <f t="shared" si="0"/>
        <v>0.8567692857142858</v>
      </c>
    </row>
    <row r="16" spans="1:7" s="6" customFormat="1" ht="19.5" customHeight="1" thickBot="1">
      <c r="A16" s="265" t="s">
        <v>139</v>
      </c>
      <c r="B16" s="212"/>
      <c r="C16" s="212" t="s">
        <v>140</v>
      </c>
      <c r="D16" s="225">
        <v>5200</v>
      </c>
      <c r="E16" s="225">
        <f>E17</f>
        <v>5200</v>
      </c>
      <c r="F16" s="266">
        <f>F17</f>
        <v>5200</v>
      </c>
      <c r="G16" s="227">
        <f t="shared" si="0"/>
        <v>1</v>
      </c>
    </row>
    <row r="17" spans="1:7" s="36" customFormat="1" ht="19.5" customHeight="1">
      <c r="A17" s="51"/>
      <c r="B17" s="261" t="s">
        <v>141</v>
      </c>
      <c r="C17" s="207" t="s">
        <v>142</v>
      </c>
      <c r="D17" s="209">
        <v>5200</v>
      </c>
      <c r="E17" s="209">
        <f>E18</f>
        <v>5200</v>
      </c>
      <c r="F17" s="262">
        <f>F18</f>
        <v>5200</v>
      </c>
      <c r="G17" s="211">
        <f t="shared" si="0"/>
        <v>1</v>
      </c>
    </row>
    <row r="18" spans="1:7" s="102" customFormat="1" ht="19.5" customHeight="1">
      <c r="A18" s="263"/>
      <c r="B18" s="263"/>
      <c r="C18" s="120" t="s">
        <v>143</v>
      </c>
      <c r="D18" s="121">
        <v>5200</v>
      </c>
      <c r="E18" s="121">
        <v>5200</v>
      </c>
      <c r="F18" s="264">
        <v>5200</v>
      </c>
      <c r="G18" s="134">
        <f t="shared" si="0"/>
        <v>1</v>
      </c>
    </row>
    <row r="19" spans="1:7" s="6" customFormat="1" ht="19.5" customHeight="1" thickBot="1">
      <c r="A19" s="212">
        <v>500</v>
      </c>
      <c r="B19" s="212"/>
      <c r="C19" s="212" t="s">
        <v>144</v>
      </c>
      <c r="D19" s="267">
        <v>54800</v>
      </c>
      <c r="E19" s="267">
        <f>E20</f>
        <v>54800</v>
      </c>
      <c r="F19" s="268">
        <f>F20</f>
        <v>54076.83</v>
      </c>
      <c r="G19" s="269">
        <f t="shared" si="0"/>
        <v>0.9868034671532847</v>
      </c>
    </row>
    <row r="20" spans="1:7" s="36" customFormat="1" ht="19.5" customHeight="1">
      <c r="A20" s="51"/>
      <c r="B20" s="207">
        <v>50095</v>
      </c>
      <c r="C20" s="207" t="s">
        <v>13</v>
      </c>
      <c r="D20" s="270">
        <v>54800</v>
      </c>
      <c r="E20" s="270">
        <f>SUM(E21:E21)</f>
        <v>54800</v>
      </c>
      <c r="F20" s="271">
        <f>SUM(F21:F21)</f>
        <v>54076.83</v>
      </c>
      <c r="G20" s="272">
        <f t="shared" si="0"/>
        <v>0.9868034671532847</v>
      </c>
    </row>
    <row r="21" spans="1:7" s="6" customFormat="1" ht="19.5" customHeight="1">
      <c r="A21" s="62"/>
      <c r="B21" s="62"/>
      <c r="C21" s="273" t="s">
        <v>145</v>
      </c>
      <c r="D21" s="274">
        <v>54800</v>
      </c>
      <c r="E21" s="274">
        <v>54800</v>
      </c>
      <c r="F21" s="275">
        <v>54076.83</v>
      </c>
      <c r="G21" s="276">
        <f t="shared" si="0"/>
        <v>0.9868034671532847</v>
      </c>
    </row>
    <row r="22" spans="1:7" s="102" customFormat="1" ht="18" customHeight="1">
      <c r="A22" s="263"/>
      <c r="B22" s="263"/>
      <c r="C22" s="277" t="s">
        <v>146</v>
      </c>
      <c r="D22" s="278">
        <v>4800</v>
      </c>
      <c r="E22" s="278">
        <v>4800</v>
      </c>
      <c r="F22" s="279">
        <v>4705</v>
      </c>
      <c r="G22" s="280">
        <f t="shared" si="0"/>
        <v>0.9802083333333333</v>
      </c>
    </row>
    <row r="23" spans="1:7" s="6" customFormat="1" ht="19.5" customHeight="1" thickBot="1">
      <c r="A23" s="212">
        <v>600</v>
      </c>
      <c r="B23" s="281"/>
      <c r="C23" s="216" t="s">
        <v>147</v>
      </c>
      <c r="D23" s="225">
        <v>102589835</v>
      </c>
      <c r="E23" s="225">
        <f>E24+E29+E33+E37+E41</f>
        <v>141715751</v>
      </c>
      <c r="F23" s="266">
        <f>F24+F29+F33+F37+F41</f>
        <v>134981544.14</v>
      </c>
      <c r="G23" s="227">
        <f t="shared" si="0"/>
        <v>0.9524808864753501</v>
      </c>
    </row>
    <row r="24" spans="1:7" s="47" customFormat="1" ht="19.5" customHeight="1">
      <c r="A24" s="62"/>
      <c r="B24" s="207">
        <v>60004</v>
      </c>
      <c r="C24" s="207" t="s">
        <v>148</v>
      </c>
      <c r="D24" s="209">
        <v>21872835</v>
      </c>
      <c r="E24" s="209">
        <f>SUM(E25:E28)</f>
        <v>25956995</v>
      </c>
      <c r="F24" s="262">
        <f>SUM(F25:F28)</f>
        <v>25449484.14</v>
      </c>
      <c r="G24" s="211">
        <f t="shared" si="0"/>
        <v>0.9804480117979759</v>
      </c>
    </row>
    <row r="25" spans="1:7" s="47" customFormat="1" ht="19.5" customHeight="1">
      <c r="A25" s="62"/>
      <c r="B25" s="91"/>
      <c r="C25" s="282" t="s">
        <v>149</v>
      </c>
      <c r="D25" s="274">
        <v>6500000</v>
      </c>
      <c r="E25" s="274">
        <v>6500000</v>
      </c>
      <c r="F25" s="275">
        <v>6500000</v>
      </c>
      <c r="G25" s="276">
        <f t="shared" si="0"/>
        <v>1</v>
      </c>
    </row>
    <row r="26" spans="1:7" s="47" customFormat="1" ht="19.5" customHeight="1">
      <c r="A26" s="62"/>
      <c r="B26" s="62"/>
      <c r="C26" s="283" t="s">
        <v>150</v>
      </c>
      <c r="D26" s="284">
        <v>10922835</v>
      </c>
      <c r="E26" s="284">
        <v>12622835</v>
      </c>
      <c r="F26" s="285">
        <v>12622835</v>
      </c>
      <c r="G26" s="286">
        <f t="shared" si="0"/>
        <v>1</v>
      </c>
    </row>
    <row r="27" spans="1:7" s="47" customFormat="1" ht="19.5" customHeight="1">
      <c r="A27" s="62"/>
      <c r="B27" s="62"/>
      <c r="C27" s="283" t="s">
        <v>151</v>
      </c>
      <c r="D27" s="284">
        <v>150000</v>
      </c>
      <c r="E27" s="284">
        <v>150000</v>
      </c>
      <c r="F27" s="285">
        <v>150000</v>
      </c>
      <c r="G27" s="286">
        <f t="shared" si="0"/>
        <v>1</v>
      </c>
    </row>
    <row r="28" spans="1:7" s="6" customFormat="1" ht="19.5" customHeight="1">
      <c r="A28" s="62"/>
      <c r="B28" s="287"/>
      <c r="C28" s="287" t="s">
        <v>152</v>
      </c>
      <c r="D28" s="288">
        <v>4300000</v>
      </c>
      <c r="E28" s="288">
        <v>6684160</v>
      </c>
      <c r="F28" s="289">
        <v>6176649.14</v>
      </c>
      <c r="G28" s="290">
        <f t="shared" si="0"/>
        <v>0.9240726044858292</v>
      </c>
    </row>
    <row r="29" spans="1:7" s="47" customFormat="1" ht="19.5" customHeight="1">
      <c r="A29" s="62"/>
      <c r="B29" s="207">
        <v>60015</v>
      </c>
      <c r="C29" s="207" t="s">
        <v>153</v>
      </c>
      <c r="D29" s="209">
        <v>73272000</v>
      </c>
      <c r="E29" s="209">
        <f>SUM(E30:E32)</f>
        <v>88636246</v>
      </c>
      <c r="F29" s="262">
        <f>SUM(F30:F32)</f>
        <v>84037976.24</v>
      </c>
      <c r="G29" s="211">
        <f t="shared" si="0"/>
        <v>0.9481220159075779</v>
      </c>
    </row>
    <row r="30" spans="1:7" s="47" customFormat="1" ht="19.5" customHeight="1">
      <c r="A30" s="287"/>
      <c r="B30" s="119"/>
      <c r="C30" s="119" t="s">
        <v>154</v>
      </c>
      <c r="D30" s="121">
        <v>7600000</v>
      </c>
      <c r="E30" s="121">
        <v>7542401</v>
      </c>
      <c r="F30" s="264">
        <v>7222386.5</v>
      </c>
      <c r="G30" s="134">
        <f t="shared" si="0"/>
        <v>0.9575712694140766</v>
      </c>
    </row>
    <row r="31" spans="1:7" s="47" customFormat="1" ht="19.5" customHeight="1">
      <c r="A31" s="91"/>
      <c r="B31" s="91"/>
      <c r="C31" s="282" t="s">
        <v>155</v>
      </c>
      <c r="D31" s="274">
        <v>3500000</v>
      </c>
      <c r="E31" s="274">
        <v>1488304</v>
      </c>
      <c r="F31" s="275">
        <v>697840.96</v>
      </c>
      <c r="G31" s="276">
        <f t="shared" si="0"/>
        <v>0.46888334641309837</v>
      </c>
    </row>
    <row r="32" spans="1:7" s="6" customFormat="1" ht="19.5" customHeight="1">
      <c r="A32" s="62"/>
      <c r="B32" s="287"/>
      <c r="C32" s="287" t="s">
        <v>152</v>
      </c>
      <c r="D32" s="288">
        <v>62172000</v>
      </c>
      <c r="E32" s="288">
        <v>79605541</v>
      </c>
      <c r="F32" s="289">
        <v>76117748.78</v>
      </c>
      <c r="G32" s="290">
        <f t="shared" si="0"/>
        <v>0.9561865647015703</v>
      </c>
    </row>
    <row r="33" spans="1:7" s="6" customFormat="1" ht="19.5" customHeight="1">
      <c r="A33" s="62"/>
      <c r="B33" s="207">
        <v>60016</v>
      </c>
      <c r="C33" s="207" t="s">
        <v>156</v>
      </c>
      <c r="D33" s="209">
        <v>6605000</v>
      </c>
      <c r="E33" s="209">
        <f>SUM(E34:E36)</f>
        <v>10353510</v>
      </c>
      <c r="F33" s="262">
        <f>SUM(F34:F36)</f>
        <v>10001158.16</v>
      </c>
      <c r="G33" s="211">
        <f t="shared" si="0"/>
        <v>0.9659678852872118</v>
      </c>
    </row>
    <row r="34" spans="1:7" s="6" customFormat="1" ht="19.5" customHeight="1">
      <c r="A34" s="62"/>
      <c r="B34" s="62"/>
      <c r="C34" s="282" t="s">
        <v>154</v>
      </c>
      <c r="D34" s="274">
        <v>2650000</v>
      </c>
      <c r="E34" s="274">
        <v>3391510</v>
      </c>
      <c r="F34" s="275">
        <v>3363594.76</v>
      </c>
      <c r="G34" s="276">
        <f t="shared" si="0"/>
        <v>0.9917690822082199</v>
      </c>
    </row>
    <row r="35" spans="1:7" s="6" customFormat="1" ht="19.5" customHeight="1">
      <c r="A35" s="62"/>
      <c r="B35" s="62"/>
      <c r="C35" s="283" t="s">
        <v>157</v>
      </c>
      <c r="D35" s="284">
        <v>1129000</v>
      </c>
      <c r="E35" s="284">
        <v>1129000</v>
      </c>
      <c r="F35" s="285">
        <v>893108.02</v>
      </c>
      <c r="G35" s="286">
        <f t="shared" si="0"/>
        <v>0.7910611337466785</v>
      </c>
    </row>
    <row r="36" spans="1:7" s="6" customFormat="1" ht="19.5" customHeight="1">
      <c r="A36" s="62"/>
      <c r="B36" s="287"/>
      <c r="C36" s="287" t="s">
        <v>152</v>
      </c>
      <c r="D36" s="288">
        <v>2826000</v>
      </c>
      <c r="E36" s="288">
        <v>5833000</v>
      </c>
      <c r="F36" s="289">
        <v>5744455.38</v>
      </c>
      <c r="G36" s="290">
        <f t="shared" si="0"/>
        <v>0.9848200548602777</v>
      </c>
    </row>
    <row r="37" spans="1:7" s="6" customFormat="1" ht="19.5" customHeight="1">
      <c r="A37" s="62"/>
      <c r="B37" s="207">
        <v>60017</v>
      </c>
      <c r="C37" s="207" t="s">
        <v>158</v>
      </c>
      <c r="D37" s="209">
        <v>840000</v>
      </c>
      <c r="E37" s="209">
        <f>SUM(E38:E40)</f>
        <v>2329000</v>
      </c>
      <c r="F37" s="262">
        <f>SUM(F38:F40)</f>
        <v>2195161.69</v>
      </c>
      <c r="G37" s="211">
        <f t="shared" si="0"/>
        <v>0.9425340017174753</v>
      </c>
    </row>
    <row r="38" spans="1:7" s="47" customFormat="1" ht="19.5" customHeight="1">
      <c r="A38" s="62"/>
      <c r="B38" s="91"/>
      <c r="C38" s="282" t="s">
        <v>154</v>
      </c>
      <c r="D38" s="274">
        <v>350000</v>
      </c>
      <c r="E38" s="274">
        <v>700000</v>
      </c>
      <c r="F38" s="275">
        <v>682630.36</v>
      </c>
      <c r="G38" s="276">
        <f t="shared" si="0"/>
        <v>0.9751862285714286</v>
      </c>
    </row>
    <row r="39" spans="1:7" s="47" customFormat="1" ht="19.5" customHeight="1">
      <c r="A39" s="62"/>
      <c r="B39" s="62"/>
      <c r="C39" s="62" t="s">
        <v>157</v>
      </c>
      <c r="D39" s="291">
        <v>160000</v>
      </c>
      <c r="E39" s="291">
        <v>1297000</v>
      </c>
      <c r="F39" s="292">
        <v>1276551.85</v>
      </c>
      <c r="G39" s="286">
        <f t="shared" si="0"/>
        <v>0.9842342713955282</v>
      </c>
    </row>
    <row r="40" spans="1:7" s="47" customFormat="1" ht="19.5" customHeight="1">
      <c r="A40" s="62"/>
      <c r="B40" s="287"/>
      <c r="C40" s="293" t="s">
        <v>152</v>
      </c>
      <c r="D40" s="294">
        <v>330000</v>
      </c>
      <c r="E40" s="294">
        <v>332000</v>
      </c>
      <c r="F40" s="295">
        <v>235979.48</v>
      </c>
      <c r="G40" s="290">
        <f t="shared" si="0"/>
        <v>0.7107815662650603</v>
      </c>
    </row>
    <row r="41" spans="1:7" s="6" customFormat="1" ht="19.5" customHeight="1">
      <c r="A41" s="62"/>
      <c r="B41" s="207">
        <v>60095</v>
      </c>
      <c r="C41" s="207" t="s">
        <v>13</v>
      </c>
      <c r="D41" s="209"/>
      <c r="E41" s="209">
        <f>E42</f>
        <v>14440000</v>
      </c>
      <c r="F41" s="262">
        <f>F42</f>
        <v>13297763.91</v>
      </c>
      <c r="G41" s="211">
        <f t="shared" si="0"/>
        <v>0.920897777700831</v>
      </c>
    </row>
    <row r="42" spans="1:7" s="47" customFormat="1" ht="19.5" customHeight="1">
      <c r="A42" s="287"/>
      <c r="B42" s="119"/>
      <c r="C42" s="120" t="s">
        <v>159</v>
      </c>
      <c r="D42" s="121"/>
      <c r="E42" s="121">
        <v>14440000</v>
      </c>
      <c r="F42" s="264">
        <v>13297763.91</v>
      </c>
      <c r="G42" s="134">
        <f t="shared" si="0"/>
        <v>0.920897777700831</v>
      </c>
    </row>
    <row r="43" spans="1:7" s="6" customFormat="1" ht="18" customHeight="1" thickBot="1">
      <c r="A43" s="212">
        <v>630</v>
      </c>
      <c r="B43" s="212"/>
      <c r="C43" s="212" t="s">
        <v>25</v>
      </c>
      <c r="D43" s="225">
        <v>235000</v>
      </c>
      <c r="E43" s="225">
        <f>E44+E47</f>
        <v>932163</v>
      </c>
      <c r="F43" s="266">
        <f>F44+F47</f>
        <v>798330.12</v>
      </c>
      <c r="G43" s="227">
        <f t="shared" si="0"/>
        <v>0.8564275990357909</v>
      </c>
    </row>
    <row r="44" spans="1:7" s="6" customFormat="1" ht="19.5" customHeight="1">
      <c r="A44" s="62"/>
      <c r="B44" s="207">
        <v>63001</v>
      </c>
      <c r="C44" s="207" t="s">
        <v>160</v>
      </c>
      <c r="D44" s="209">
        <v>185000</v>
      </c>
      <c r="E44" s="209">
        <f>E45</f>
        <v>185000</v>
      </c>
      <c r="F44" s="262">
        <f>F45</f>
        <v>185000</v>
      </c>
      <c r="G44" s="211">
        <f aca="true" t="shared" si="1" ref="G44:G75">F44/E44</f>
        <v>1</v>
      </c>
    </row>
    <row r="45" spans="1:7" s="6" customFormat="1" ht="16.5" customHeight="1">
      <c r="A45" s="62"/>
      <c r="B45" s="91"/>
      <c r="C45" s="282" t="s">
        <v>161</v>
      </c>
      <c r="D45" s="274">
        <v>185000</v>
      </c>
      <c r="E45" s="274">
        <v>185000</v>
      </c>
      <c r="F45" s="275">
        <v>185000</v>
      </c>
      <c r="G45" s="296">
        <f t="shared" si="1"/>
        <v>1</v>
      </c>
    </row>
    <row r="46" spans="1:7" s="102" customFormat="1" ht="18" customHeight="1">
      <c r="A46" s="263"/>
      <c r="B46" s="297"/>
      <c r="C46" s="298" t="s">
        <v>162</v>
      </c>
      <c r="D46" s="299">
        <v>7000</v>
      </c>
      <c r="E46" s="299">
        <v>7000</v>
      </c>
      <c r="F46" s="300">
        <v>7000</v>
      </c>
      <c r="G46" s="301">
        <f t="shared" si="1"/>
        <v>1</v>
      </c>
    </row>
    <row r="47" spans="1:7" s="6" customFormat="1" ht="19.5" customHeight="1">
      <c r="A47" s="62"/>
      <c r="B47" s="207">
        <v>63003</v>
      </c>
      <c r="C47" s="207" t="s">
        <v>26</v>
      </c>
      <c r="D47" s="209">
        <v>50000</v>
      </c>
      <c r="E47" s="209">
        <f>SUM(E48:E49)</f>
        <v>747163</v>
      </c>
      <c r="F47" s="262">
        <f>SUM(F48:F49)</f>
        <v>613330.12</v>
      </c>
      <c r="G47" s="211">
        <f t="shared" si="1"/>
        <v>0.8208786034640366</v>
      </c>
    </row>
    <row r="48" spans="1:7" s="6" customFormat="1" ht="19.5" customHeight="1">
      <c r="A48" s="62"/>
      <c r="B48" s="62"/>
      <c r="C48" s="283" t="s">
        <v>30</v>
      </c>
      <c r="D48" s="284">
        <v>50000</v>
      </c>
      <c r="E48" s="284">
        <v>50000</v>
      </c>
      <c r="F48" s="285">
        <v>49982</v>
      </c>
      <c r="G48" s="286">
        <f t="shared" si="1"/>
        <v>0.99964</v>
      </c>
    </row>
    <row r="49" spans="1:7" s="6" customFormat="1" ht="19.5" customHeight="1">
      <c r="A49" s="62"/>
      <c r="B49" s="62"/>
      <c r="C49" s="302" t="s">
        <v>163</v>
      </c>
      <c r="D49" s="284"/>
      <c r="E49" s="284">
        <v>697163</v>
      </c>
      <c r="F49" s="285">
        <v>563348.12</v>
      </c>
      <c r="G49" s="286">
        <f t="shared" si="1"/>
        <v>0.8080579720954784</v>
      </c>
    </row>
    <row r="50" spans="1:7" s="102" customFormat="1" ht="18" customHeight="1">
      <c r="A50" s="263"/>
      <c r="B50" s="263"/>
      <c r="C50" s="303" t="s">
        <v>146</v>
      </c>
      <c r="D50" s="304"/>
      <c r="E50" s="304">
        <f>8996+2999+25528+8509</f>
        <v>46032</v>
      </c>
      <c r="F50" s="305">
        <f>6398.81+2132.94+17737.9+5912.61</f>
        <v>32182.260000000002</v>
      </c>
      <c r="G50" s="306">
        <f t="shared" si="1"/>
        <v>0.6991279979144943</v>
      </c>
    </row>
    <row r="51" spans="1:7" s="102" customFormat="1" ht="18" customHeight="1">
      <c r="A51" s="297"/>
      <c r="B51" s="297"/>
      <c r="C51" s="298" t="s">
        <v>164</v>
      </c>
      <c r="D51" s="299"/>
      <c r="E51" s="299">
        <v>528216</v>
      </c>
      <c r="F51" s="300">
        <f>18620+321228.59+2252.73+107076.2+750.91</f>
        <v>449928.43</v>
      </c>
      <c r="G51" s="307">
        <f t="shared" si="1"/>
        <v>0.8517887190088903</v>
      </c>
    </row>
    <row r="52" spans="1:7" s="6" customFormat="1" ht="17.25" customHeight="1" thickBot="1">
      <c r="A52" s="212">
        <v>700</v>
      </c>
      <c r="B52" s="212"/>
      <c r="C52" s="212" t="s">
        <v>165</v>
      </c>
      <c r="D52" s="225">
        <v>13966000</v>
      </c>
      <c r="E52" s="225">
        <f>E53+E57+E61+E68+E66</f>
        <v>14211000</v>
      </c>
      <c r="F52" s="266">
        <f>F53+F57+F61+F68+F66</f>
        <v>12843294.23</v>
      </c>
      <c r="G52" s="227">
        <f t="shared" si="1"/>
        <v>0.9037572464991908</v>
      </c>
    </row>
    <row r="53" spans="1:7" s="6" customFormat="1" ht="19.5" customHeight="1">
      <c r="A53" s="62"/>
      <c r="B53" s="207">
        <v>70001</v>
      </c>
      <c r="C53" s="207" t="s">
        <v>166</v>
      </c>
      <c r="D53" s="209">
        <v>6500000</v>
      </c>
      <c r="E53" s="209">
        <f>E54</f>
        <v>6745000</v>
      </c>
      <c r="F53" s="262">
        <f>F54</f>
        <v>6745000</v>
      </c>
      <c r="G53" s="211">
        <f t="shared" si="1"/>
        <v>1</v>
      </c>
    </row>
    <row r="54" spans="1:7" s="6" customFormat="1" ht="19.5" customHeight="1">
      <c r="A54" s="62"/>
      <c r="B54" s="91"/>
      <c r="C54" s="273" t="s">
        <v>167</v>
      </c>
      <c r="D54" s="274">
        <v>6500000</v>
      </c>
      <c r="E54" s="274">
        <v>6745000</v>
      </c>
      <c r="F54" s="275">
        <v>6745000</v>
      </c>
      <c r="G54" s="276">
        <f t="shared" si="1"/>
        <v>1</v>
      </c>
    </row>
    <row r="55" spans="1:7" s="102" customFormat="1" ht="18" customHeight="1">
      <c r="A55" s="263"/>
      <c r="B55" s="263"/>
      <c r="C55" s="303" t="s">
        <v>162</v>
      </c>
      <c r="D55" s="308">
        <v>5000000</v>
      </c>
      <c r="E55" s="308">
        <v>5000000</v>
      </c>
      <c r="F55" s="309">
        <v>5000000</v>
      </c>
      <c r="G55" s="310">
        <f t="shared" si="1"/>
        <v>1</v>
      </c>
    </row>
    <row r="56" spans="1:7" s="102" customFormat="1" ht="18" customHeight="1">
      <c r="A56" s="263"/>
      <c r="B56" s="297"/>
      <c r="C56" s="311" t="s">
        <v>164</v>
      </c>
      <c r="D56" s="299">
        <v>1500000</v>
      </c>
      <c r="E56" s="299">
        <v>1745000</v>
      </c>
      <c r="F56" s="300">
        <v>1745000</v>
      </c>
      <c r="G56" s="307">
        <f t="shared" si="1"/>
        <v>1</v>
      </c>
    </row>
    <row r="57" spans="1:7" s="6" customFormat="1" ht="16.5" customHeight="1">
      <c r="A57" s="62"/>
      <c r="B57" s="312">
        <v>70004</v>
      </c>
      <c r="C57" s="208" t="s">
        <v>168</v>
      </c>
      <c r="D57" s="209">
        <v>225000</v>
      </c>
      <c r="E57" s="209">
        <f>SUM(E58:E60)</f>
        <v>225000</v>
      </c>
      <c r="F57" s="262">
        <f>SUM(F58:F60)</f>
        <v>117575.72</v>
      </c>
      <c r="G57" s="211">
        <f t="shared" si="1"/>
        <v>0.5225587555555555</v>
      </c>
    </row>
    <row r="58" spans="1:7" s="6" customFormat="1" ht="19.5" customHeight="1">
      <c r="A58" s="62"/>
      <c r="B58" s="62"/>
      <c r="C58" s="282" t="s">
        <v>169</v>
      </c>
      <c r="D58" s="274">
        <v>150000</v>
      </c>
      <c r="E58" s="274">
        <v>150000</v>
      </c>
      <c r="F58" s="275">
        <v>81894.3</v>
      </c>
      <c r="G58" s="276">
        <f t="shared" si="1"/>
        <v>0.5459620000000001</v>
      </c>
    </row>
    <row r="59" spans="1:7" s="6" customFormat="1" ht="27.75" customHeight="1">
      <c r="A59" s="62"/>
      <c r="B59" s="62"/>
      <c r="C59" s="313" t="s">
        <v>170</v>
      </c>
      <c r="D59" s="314">
        <v>25000</v>
      </c>
      <c r="E59" s="314">
        <v>25000</v>
      </c>
      <c r="F59" s="315">
        <v>21438.91</v>
      </c>
      <c r="G59" s="316">
        <f t="shared" si="1"/>
        <v>0.8575564</v>
      </c>
    </row>
    <row r="60" spans="1:7" s="6" customFormat="1" ht="18.75" customHeight="1">
      <c r="A60" s="287"/>
      <c r="B60" s="287"/>
      <c r="C60" s="317" t="s">
        <v>171</v>
      </c>
      <c r="D60" s="294">
        <v>50000</v>
      </c>
      <c r="E60" s="294">
        <v>50000</v>
      </c>
      <c r="F60" s="295">
        <v>14242.51</v>
      </c>
      <c r="G60" s="318">
        <f t="shared" si="1"/>
        <v>0.2848502</v>
      </c>
    </row>
    <row r="61" spans="1:7" s="6" customFormat="1" ht="19.5" customHeight="1">
      <c r="A61" s="91"/>
      <c r="B61" s="52">
        <v>70005</v>
      </c>
      <c r="C61" s="52" t="s">
        <v>172</v>
      </c>
      <c r="D61" s="54">
        <v>1370000</v>
      </c>
      <c r="E61" s="54">
        <f>E62+E65</f>
        <v>1370000</v>
      </c>
      <c r="F61" s="319">
        <f>F62+F65</f>
        <v>432327.88</v>
      </c>
      <c r="G61" s="320">
        <f t="shared" si="1"/>
        <v>0.31556779562043796</v>
      </c>
    </row>
    <row r="62" spans="1:7" s="6" customFormat="1" ht="30.75" customHeight="1">
      <c r="A62" s="62"/>
      <c r="B62" s="62"/>
      <c r="C62" s="92" t="s">
        <v>173</v>
      </c>
      <c r="D62" s="274">
        <v>370000</v>
      </c>
      <c r="E62" s="274">
        <v>380500</v>
      </c>
      <c r="F62" s="275">
        <v>336627.88</v>
      </c>
      <c r="G62" s="276">
        <f t="shared" si="1"/>
        <v>0.88469876478318</v>
      </c>
    </row>
    <row r="63" spans="1:7" s="102" customFormat="1" ht="18.75" customHeight="1">
      <c r="A63" s="263"/>
      <c r="B63" s="263"/>
      <c r="C63" s="321" t="s">
        <v>146</v>
      </c>
      <c r="D63" s="308">
        <v>10000</v>
      </c>
      <c r="E63" s="308">
        <v>10000</v>
      </c>
      <c r="F63" s="309">
        <v>3080</v>
      </c>
      <c r="G63" s="310">
        <f t="shared" si="1"/>
        <v>0.308</v>
      </c>
    </row>
    <row r="64" spans="1:7" s="102" customFormat="1" ht="18" customHeight="1">
      <c r="A64" s="263"/>
      <c r="B64" s="263"/>
      <c r="C64" s="112" t="s">
        <v>162</v>
      </c>
      <c r="D64" s="322">
        <v>100000</v>
      </c>
      <c r="E64" s="322">
        <v>100000</v>
      </c>
      <c r="F64" s="323">
        <v>79502.15</v>
      </c>
      <c r="G64" s="324">
        <f t="shared" si="1"/>
        <v>0.7950214999999999</v>
      </c>
    </row>
    <row r="65" spans="1:7" s="6" customFormat="1" ht="18" customHeight="1">
      <c r="A65" s="62"/>
      <c r="B65" s="287"/>
      <c r="C65" s="325" t="s">
        <v>171</v>
      </c>
      <c r="D65" s="288">
        <v>1000000</v>
      </c>
      <c r="E65" s="288">
        <v>989500</v>
      </c>
      <c r="F65" s="289">
        <v>95700</v>
      </c>
      <c r="G65" s="290">
        <f t="shared" si="1"/>
        <v>0.0967155128852956</v>
      </c>
    </row>
    <row r="66" spans="1:7" s="6" customFormat="1" ht="19.5" customHeight="1">
      <c r="A66" s="62"/>
      <c r="B66" s="207">
        <v>70021</v>
      </c>
      <c r="C66" s="207" t="s">
        <v>174</v>
      </c>
      <c r="D66" s="209">
        <v>871000</v>
      </c>
      <c r="E66" s="209">
        <f>E67</f>
        <v>871000</v>
      </c>
      <c r="F66" s="262">
        <f>F67</f>
        <v>870600</v>
      </c>
      <c r="G66" s="211">
        <f t="shared" si="1"/>
        <v>0.999540757749713</v>
      </c>
    </row>
    <row r="67" spans="1:7" s="6" customFormat="1" ht="19.5" customHeight="1">
      <c r="A67" s="62"/>
      <c r="B67" s="119"/>
      <c r="C67" s="120" t="s">
        <v>159</v>
      </c>
      <c r="D67" s="121">
        <v>871000</v>
      </c>
      <c r="E67" s="121">
        <v>871000</v>
      </c>
      <c r="F67" s="264">
        <v>870600</v>
      </c>
      <c r="G67" s="134">
        <f t="shared" si="1"/>
        <v>0.999540757749713</v>
      </c>
    </row>
    <row r="68" spans="1:7" s="6" customFormat="1" ht="19.5" customHeight="1">
      <c r="A68" s="62"/>
      <c r="B68" s="207">
        <v>70095</v>
      </c>
      <c r="C68" s="207" t="s">
        <v>13</v>
      </c>
      <c r="D68" s="209">
        <v>5000000</v>
      </c>
      <c r="E68" s="209">
        <f>SUM(E69:E69)</f>
        <v>5000000</v>
      </c>
      <c r="F68" s="262">
        <f>SUM(F69:F69)</f>
        <v>4677790.63</v>
      </c>
      <c r="G68" s="211">
        <f t="shared" si="1"/>
        <v>0.935558126</v>
      </c>
    </row>
    <row r="69" spans="1:7" s="6" customFormat="1" ht="19.5" customHeight="1">
      <c r="A69" s="287"/>
      <c r="B69" s="287"/>
      <c r="C69" s="287" t="s">
        <v>152</v>
      </c>
      <c r="D69" s="121">
        <v>5000000</v>
      </c>
      <c r="E69" s="121">
        <v>5000000</v>
      </c>
      <c r="F69" s="264">
        <v>4677790.63</v>
      </c>
      <c r="G69" s="134">
        <f t="shared" si="1"/>
        <v>0.935558126</v>
      </c>
    </row>
    <row r="70" spans="1:7" s="6" customFormat="1" ht="19.5" customHeight="1" thickBot="1">
      <c r="A70" s="212">
        <v>710</v>
      </c>
      <c r="B70" s="212"/>
      <c r="C70" s="212" t="s">
        <v>175</v>
      </c>
      <c r="D70" s="225">
        <v>2489900</v>
      </c>
      <c r="E70" s="225">
        <f>E71+E75+E77</f>
        <v>2765900</v>
      </c>
      <c r="F70" s="266">
        <f>F71+F75+F77</f>
        <v>2715281.31</v>
      </c>
      <c r="G70" s="227">
        <f t="shared" si="1"/>
        <v>0.9816990165949601</v>
      </c>
    </row>
    <row r="71" spans="1:7" s="6" customFormat="1" ht="19.5" customHeight="1">
      <c r="A71" s="62"/>
      <c r="B71" s="207">
        <v>71004</v>
      </c>
      <c r="C71" s="207" t="s">
        <v>176</v>
      </c>
      <c r="D71" s="209">
        <v>111500</v>
      </c>
      <c r="E71" s="209">
        <f>E72+E73</f>
        <v>111500</v>
      </c>
      <c r="F71" s="262">
        <f>F72+F73</f>
        <v>72288.21</v>
      </c>
      <c r="G71" s="211">
        <f t="shared" si="1"/>
        <v>0.6483247533632288</v>
      </c>
    </row>
    <row r="72" spans="1:7" s="6" customFormat="1" ht="19.5" customHeight="1">
      <c r="A72" s="62"/>
      <c r="B72" s="62"/>
      <c r="C72" s="273" t="s">
        <v>177</v>
      </c>
      <c r="D72" s="274">
        <v>3000</v>
      </c>
      <c r="E72" s="274">
        <v>16200</v>
      </c>
      <c r="F72" s="275">
        <v>5394.6</v>
      </c>
      <c r="G72" s="276">
        <f t="shared" si="1"/>
        <v>0.333</v>
      </c>
    </row>
    <row r="73" spans="1:7" s="6" customFormat="1" ht="19.5" customHeight="1">
      <c r="A73" s="62"/>
      <c r="B73" s="62"/>
      <c r="C73" s="326" t="s">
        <v>178</v>
      </c>
      <c r="D73" s="291">
        <v>108500</v>
      </c>
      <c r="E73" s="291">
        <v>95300</v>
      </c>
      <c r="F73" s="292">
        <v>66893.61</v>
      </c>
      <c r="G73" s="327">
        <f t="shared" si="1"/>
        <v>0.7019266526757607</v>
      </c>
    </row>
    <row r="74" spans="1:7" s="102" customFormat="1" ht="19.5" customHeight="1">
      <c r="A74" s="263"/>
      <c r="B74" s="297"/>
      <c r="C74" s="328" t="s">
        <v>146</v>
      </c>
      <c r="D74" s="329">
        <v>2000</v>
      </c>
      <c r="E74" s="329">
        <v>7000</v>
      </c>
      <c r="F74" s="330">
        <v>3133.6</v>
      </c>
      <c r="G74" s="301">
        <f t="shared" si="1"/>
        <v>0.44765714285714286</v>
      </c>
    </row>
    <row r="75" spans="1:7" s="6" customFormat="1" ht="19.5" customHeight="1">
      <c r="A75" s="62"/>
      <c r="B75" s="207">
        <v>71014</v>
      </c>
      <c r="C75" s="207" t="s">
        <v>179</v>
      </c>
      <c r="D75" s="209">
        <v>800000</v>
      </c>
      <c r="E75" s="209">
        <f>E76</f>
        <v>800000</v>
      </c>
      <c r="F75" s="262">
        <f>F76</f>
        <v>790529.93</v>
      </c>
      <c r="G75" s="211">
        <f t="shared" si="1"/>
        <v>0.9881624125</v>
      </c>
    </row>
    <row r="76" spans="1:7" s="6" customFormat="1" ht="19.5" customHeight="1">
      <c r="A76" s="62"/>
      <c r="B76" s="119"/>
      <c r="C76" s="120" t="s">
        <v>180</v>
      </c>
      <c r="D76" s="121">
        <v>800000</v>
      </c>
      <c r="E76" s="121">
        <v>800000</v>
      </c>
      <c r="F76" s="264">
        <v>790529.93</v>
      </c>
      <c r="G76" s="134">
        <f aca="true" t="shared" si="2" ref="G76:G107">F76/E76</f>
        <v>0.9881624125</v>
      </c>
    </row>
    <row r="77" spans="1:7" s="6" customFormat="1" ht="19.5" customHeight="1">
      <c r="A77" s="62"/>
      <c r="B77" s="207">
        <v>71035</v>
      </c>
      <c r="C77" s="207" t="s">
        <v>181</v>
      </c>
      <c r="D77" s="209">
        <v>1578400</v>
      </c>
      <c r="E77" s="209">
        <f>SUM(E78:E80)</f>
        <v>1854400</v>
      </c>
      <c r="F77" s="262">
        <f>SUM(F78:F80)</f>
        <v>1852463.17</v>
      </c>
      <c r="G77" s="211">
        <f t="shared" si="2"/>
        <v>0.9989555489646247</v>
      </c>
    </row>
    <row r="78" spans="1:7" s="6" customFormat="1" ht="19.5" customHeight="1">
      <c r="A78" s="62"/>
      <c r="B78" s="91"/>
      <c r="C78" s="273" t="s">
        <v>182</v>
      </c>
      <c r="D78" s="274">
        <v>1145000</v>
      </c>
      <c r="E78" s="274">
        <v>1143100</v>
      </c>
      <c r="F78" s="275">
        <v>1141512</v>
      </c>
      <c r="G78" s="276">
        <f t="shared" si="2"/>
        <v>0.9986107952060187</v>
      </c>
    </row>
    <row r="79" spans="1:7" s="6" customFormat="1" ht="19.5" customHeight="1">
      <c r="A79" s="62"/>
      <c r="B79" s="62"/>
      <c r="C79" s="283" t="s">
        <v>183</v>
      </c>
      <c r="D79" s="284">
        <v>33400</v>
      </c>
      <c r="E79" s="284">
        <v>33400</v>
      </c>
      <c r="F79" s="285">
        <v>33324</v>
      </c>
      <c r="G79" s="286">
        <f t="shared" si="2"/>
        <v>0.9977245508982036</v>
      </c>
    </row>
    <row r="80" spans="1:7" s="6" customFormat="1" ht="19.5" customHeight="1">
      <c r="A80" s="62"/>
      <c r="B80" s="287"/>
      <c r="C80" s="287" t="s">
        <v>152</v>
      </c>
      <c r="D80" s="288">
        <v>400000</v>
      </c>
      <c r="E80" s="288">
        <v>677900</v>
      </c>
      <c r="F80" s="289">
        <v>677627.17</v>
      </c>
      <c r="G80" s="290">
        <f t="shared" si="2"/>
        <v>0.9995975365098098</v>
      </c>
    </row>
    <row r="81" spans="1:7" s="6" customFormat="1" ht="19.5" customHeight="1" thickBot="1">
      <c r="A81" s="212">
        <v>750</v>
      </c>
      <c r="B81" s="212"/>
      <c r="C81" s="212" t="s">
        <v>184</v>
      </c>
      <c r="D81" s="225">
        <v>63144000</v>
      </c>
      <c r="E81" s="225">
        <f>E82+E90+E99+E105</f>
        <v>66376863</v>
      </c>
      <c r="F81" s="266">
        <f>F82+F90+F99+F105</f>
        <v>63933449.18999999</v>
      </c>
      <c r="G81" s="227">
        <f t="shared" si="2"/>
        <v>0.9631887724190881</v>
      </c>
    </row>
    <row r="82" spans="1:7" s="6" customFormat="1" ht="20.25" customHeight="1">
      <c r="A82" s="62"/>
      <c r="B82" s="207">
        <v>75022</v>
      </c>
      <c r="C82" s="207" t="s">
        <v>185</v>
      </c>
      <c r="D82" s="209">
        <v>1517000</v>
      </c>
      <c r="E82" s="209">
        <f>E83+E86+E88</f>
        <v>1517000</v>
      </c>
      <c r="F82" s="262">
        <f>F83+F86+F88</f>
        <v>1307839.37</v>
      </c>
      <c r="G82" s="211">
        <f t="shared" si="2"/>
        <v>0.8621221951219513</v>
      </c>
    </row>
    <row r="83" spans="1:7" s="6" customFormat="1" ht="19.5" customHeight="1">
      <c r="A83" s="62"/>
      <c r="B83" s="62"/>
      <c r="C83" s="92" t="s">
        <v>186</v>
      </c>
      <c r="D83" s="93">
        <v>1000000</v>
      </c>
      <c r="E83" s="93">
        <v>1000000</v>
      </c>
      <c r="F83" s="331">
        <v>924477.92</v>
      </c>
      <c r="G83" s="296">
        <f t="shared" si="2"/>
        <v>0.9244779200000001</v>
      </c>
    </row>
    <row r="84" spans="1:7" s="102" customFormat="1" ht="19.5" customHeight="1">
      <c r="A84" s="263"/>
      <c r="B84" s="263"/>
      <c r="C84" s="303" t="s">
        <v>146</v>
      </c>
      <c r="D84" s="304">
        <v>2000</v>
      </c>
      <c r="E84" s="304">
        <v>2000</v>
      </c>
      <c r="F84" s="305">
        <v>350</v>
      </c>
      <c r="G84" s="306">
        <f t="shared" si="2"/>
        <v>0.175</v>
      </c>
    </row>
    <row r="85" spans="1:7" s="102" customFormat="1" ht="19.5" customHeight="1">
      <c r="A85" s="263"/>
      <c r="B85" s="263"/>
      <c r="C85" s="303" t="s">
        <v>164</v>
      </c>
      <c r="D85" s="304"/>
      <c r="E85" s="304">
        <v>15000</v>
      </c>
      <c r="F85" s="305">
        <v>14945</v>
      </c>
      <c r="G85" s="306">
        <f t="shared" si="2"/>
        <v>0.9963333333333333</v>
      </c>
    </row>
    <row r="86" spans="1:7" s="6" customFormat="1" ht="19.5" customHeight="1">
      <c r="A86" s="62"/>
      <c r="B86" s="62"/>
      <c r="C86" s="326" t="s">
        <v>187</v>
      </c>
      <c r="D86" s="291">
        <v>417000</v>
      </c>
      <c r="E86" s="291">
        <v>417000</v>
      </c>
      <c r="F86" s="292">
        <v>329535.97</v>
      </c>
      <c r="G86" s="327">
        <f t="shared" si="2"/>
        <v>0.7902541247002397</v>
      </c>
    </row>
    <row r="87" spans="1:7" s="102" customFormat="1" ht="19.5" customHeight="1">
      <c r="A87" s="263"/>
      <c r="B87" s="263"/>
      <c r="C87" s="303" t="s">
        <v>162</v>
      </c>
      <c r="D87" s="304">
        <v>20000</v>
      </c>
      <c r="E87" s="304">
        <v>20000</v>
      </c>
      <c r="F87" s="305">
        <v>10126.81</v>
      </c>
      <c r="G87" s="306">
        <f t="shared" si="2"/>
        <v>0.5063405</v>
      </c>
    </row>
    <row r="88" spans="1:7" s="6" customFormat="1" ht="20.25" customHeight="1">
      <c r="A88" s="62"/>
      <c r="B88" s="62"/>
      <c r="C88" s="332" t="s">
        <v>188</v>
      </c>
      <c r="D88" s="333">
        <v>100000</v>
      </c>
      <c r="E88" s="333">
        <v>100000</v>
      </c>
      <c r="F88" s="334">
        <v>53825.48</v>
      </c>
      <c r="G88" s="335">
        <f t="shared" si="2"/>
        <v>0.5382548</v>
      </c>
    </row>
    <row r="89" spans="1:7" s="102" customFormat="1" ht="19.5" customHeight="1">
      <c r="A89" s="297"/>
      <c r="B89" s="297"/>
      <c r="C89" s="298" t="s">
        <v>146</v>
      </c>
      <c r="D89" s="299"/>
      <c r="E89" s="299">
        <v>35000</v>
      </c>
      <c r="F89" s="300">
        <v>15280</v>
      </c>
      <c r="G89" s="307">
        <f t="shared" si="2"/>
        <v>0.43657142857142855</v>
      </c>
    </row>
    <row r="90" spans="1:7" s="6" customFormat="1" ht="19.5" customHeight="1">
      <c r="A90" s="62"/>
      <c r="B90" s="207">
        <v>75023</v>
      </c>
      <c r="C90" s="207" t="s">
        <v>189</v>
      </c>
      <c r="D90" s="209">
        <v>59552000</v>
      </c>
      <c r="E90" s="209">
        <f>E91+E92+E94+E95+E97+E98</f>
        <v>61522685</v>
      </c>
      <c r="F90" s="262">
        <f>F91+F92+F94+F95+F97+F98</f>
        <v>59829859.03999999</v>
      </c>
      <c r="G90" s="211">
        <f t="shared" si="2"/>
        <v>0.9724845240418228</v>
      </c>
    </row>
    <row r="91" spans="1:7" s="6" customFormat="1" ht="19.5" customHeight="1">
      <c r="A91" s="62"/>
      <c r="B91" s="62"/>
      <c r="C91" s="282" t="s">
        <v>190</v>
      </c>
      <c r="D91" s="274">
        <v>36740000</v>
      </c>
      <c r="E91" s="274">
        <v>36069730</v>
      </c>
      <c r="F91" s="275">
        <v>35852106.55</v>
      </c>
      <c r="G91" s="276">
        <f t="shared" si="2"/>
        <v>0.9939665905455903</v>
      </c>
    </row>
    <row r="92" spans="1:7" s="6" customFormat="1" ht="19.5" customHeight="1">
      <c r="A92" s="62"/>
      <c r="B92" s="62"/>
      <c r="C92" s="326" t="s">
        <v>191</v>
      </c>
      <c r="D92" s="291">
        <v>11846000</v>
      </c>
      <c r="E92" s="291">
        <v>13333193</v>
      </c>
      <c r="F92" s="292">
        <v>12608173.13</v>
      </c>
      <c r="G92" s="327">
        <f t="shared" si="2"/>
        <v>0.9456229374314166</v>
      </c>
    </row>
    <row r="93" spans="1:7" s="102" customFormat="1" ht="18" customHeight="1">
      <c r="A93" s="263"/>
      <c r="B93" s="263"/>
      <c r="C93" s="303" t="s">
        <v>162</v>
      </c>
      <c r="D93" s="304">
        <v>600000</v>
      </c>
      <c r="E93" s="304">
        <v>765970</v>
      </c>
      <c r="F93" s="305">
        <v>682076.18</v>
      </c>
      <c r="G93" s="306">
        <f t="shared" si="2"/>
        <v>0.8904737522357273</v>
      </c>
    </row>
    <row r="94" spans="1:7" s="6" customFormat="1" ht="17.25" customHeight="1">
      <c r="A94" s="62"/>
      <c r="B94" s="62"/>
      <c r="C94" s="336" t="s">
        <v>192</v>
      </c>
      <c r="D94" s="337">
        <v>6322000</v>
      </c>
      <c r="E94" s="337">
        <v>6571247</v>
      </c>
      <c r="F94" s="338">
        <v>6569880.44</v>
      </c>
      <c r="G94" s="339">
        <f t="shared" si="2"/>
        <v>0.9997920394713515</v>
      </c>
    </row>
    <row r="95" spans="1:7" s="6" customFormat="1" ht="28.5" customHeight="1">
      <c r="A95" s="62"/>
      <c r="B95" s="62"/>
      <c r="C95" s="302" t="s">
        <v>193</v>
      </c>
      <c r="D95" s="284">
        <v>507000</v>
      </c>
      <c r="E95" s="284">
        <v>2343026</v>
      </c>
      <c r="F95" s="285">
        <v>1979541.12</v>
      </c>
      <c r="G95" s="286">
        <f t="shared" si="2"/>
        <v>0.8448651956913837</v>
      </c>
    </row>
    <row r="96" spans="1:7" s="102" customFormat="1" ht="18" customHeight="1">
      <c r="A96" s="263"/>
      <c r="B96" s="263"/>
      <c r="C96" s="303" t="s">
        <v>164</v>
      </c>
      <c r="D96" s="304">
        <v>412000</v>
      </c>
      <c r="E96" s="304">
        <f>317895+363485+1661646</f>
        <v>2343026</v>
      </c>
      <c r="F96" s="305">
        <v>1979541.12</v>
      </c>
      <c r="G96" s="306">
        <f t="shared" si="2"/>
        <v>0.8448651956913837</v>
      </c>
    </row>
    <row r="97" spans="1:7" s="6" customFormat="1" ht="28.5" customHeight="1">
      <c r="A97" s="62"/>
      <c r="B97" s="62"/>
      <c r="C97" s="340" t="s">
        <v>194</v>
      </c>
      <c r="D97" s="337">
        <v>737000</v>
      </c>
      <c r="E97" s="337">
        <v>802679</v>
      </c>
      <c r="F97" s="338">
        <v>733418.48</v>
      </c>
      <c r="G97" s="339">
        <f t="shared" si="2"/>
        <v>0.9137133025779919</v>
      </c>
    </row>
    <row r="98" spans="1:7" s="6" customFormat="1" ht="19.5" customHeight="1">
      <c r="A98" s="62"/>
      <c r="B98" s="287"/>
      <c r="C98" s="287" t="s">
        <v>152</v>
      </c>
      <c r="D98" s="288">
        <v>3400000</v>
      </c>
      <c r="E98" s="288">
        <v>2402810</v>
      </c>
      <c r="F98" s="289">
        <v>2086739.32</v>
      </c>
      <c r="G98" s="290">
        <f t="shared" si="2"/>
        <v>0.8684578972120143</v>
      </c>
    </row>
    <row r="99" spans="1:7" s="6" customFormat="1" ht="16.5" customHeight="1">
      <c r="A99" s="62"/>
      <c r="B99" s="207">
        <v>75075</v>
      </c>
      <c r="C99" s="207" t="s">
        <v>195</v>
      </c>
      <c r="D99" s="209">
        <v>1765000</v>
      </c>
      <c r="E99" s="209">
        <f>E100+E102</f>
        <v>2928900</v>
      </c>
      <c r="F99" s="262">
        <f>F100+F102</f>
        <v>2399181.96</v>
      </c>
      <c r="G99" s="211">
        <f t="shared" si="2"/>
        <v>0.819140960770255</v>
      </c>
    </row>
    <row r="100" spans="1:7" s="6" customFormat="1" ht="19.5" customHeight="1">
      <c r="A100" s="62"/>
      <c r="B100" s="62"/>
      <c r="C100" s="273" t="s">
        <v>196</v>
      </c>
      <c r="D100" s="274">
        <v>1765000</v>
      </c>
      <c r="E100" s="274">
        <v>2505000</v>
      </c>
      <c r="F100" s="275">
        <v>2339261.25</v>
      </c>
      <c r="G100" s="276">
        <f t="shared" si="2"/>
        <v>0.9338368263473054</v>
      </c>
    </row>
    <row r="101" spans="1:7" s="6" customFormat="1" ht="18" customHeight="1">
      <c r="A101" s="62"/>
      <c r="B101" s="62"/>
      <c r="C101" s="111" t="s">
        <v>146</v>
      </c>
      <c r="D101" s="341">
        <v>145000</v>
      </c>
      <c r="E101" s="341">
        <v>154400</v>
      </c>
      <c r="F101" s="342">
        <v>133762.2</v>
      </c>
      <c r="G101" s="343">
        <f t="shared" si="2"/>
        <v>0.8663354922279793</v>
      </c>
    </row>
    <row r="102" spans="1:7" s="6" customFormat="1" ht="19.5" customHeight="1">
      <c r="A102" s="62"/>
      <c r="B102" s="62"/>
      <c r="C102" s="332" t="s">
        <v>197</v>
      </c>
      <c r="D102" s="333"/>
      <c r="E102" s="333">
        <v>423900</v>
      </c>
      <c r="F102" s="334">
        <v>59920.71</v>
      </c>
      <c r="G102" s="335">
        <f t="shared" si="2"/>
        <v>0.1413557678697806</v>
      </c>
    </row>
    <row r="103" spans="1:7" s="6" customFormat="1" ht="18" customHeight="1">
      <c r="A103" s="62"/>
      <c r="B103" s="62"/>
      <c r="C103" s="114" t="s">
        <v>146</v>
      </c>
      <c r="D103" s="308"/>
      <c r="E103" s="308">
        <v>185847</v>
      </c>
      <c r="F103" s="309">
        <f>9082.82+3027.61+14250+4750</f>
        <v>31110.43</v>
      </c>
      <c r="G103" s="306">
        <f t="shared" si="2"/>
        <v>0.1673980747604212</v>
      </c>
    </row>
    <row r="104" spans="1:7" s="6" customFormat="1" ht="18" customHeight="1">
      <c r="A104" s="62"/>
      <c r="B104" s="287"/>
      <c r="C104" s="311" t="s">
        <v>164</v>
      </c>
      <c r="D104" s="344"/>
      <c r="E104" s="344">
        <v>10200</v>
      </c>
      <c r="F104" s="345">
        <f>6431.53+2143.85</f>
        <v>8575.38</v>
      </c>
      <c r="G104" s="346">
        <f t="shared" si="2"/>
        <v>0.8407235294117646</v>
      </c>
    </row>
    <row r="105" spans="1:7" s="6" customFormat="1" ht="18.75" customHeight="1">
      <c r="A105" s="62"/>
      <c r="B105" s="207">
        <v>75095</v>
      </c>
      <c r="C105" s="207" t="s">
        <v>13</v>
      </c>
      <c r="D105" s="209">
        <v>310000</v>
      </c>
      <c r="E105" s="209">
        <f>E106+E107+E109</f>
        <v>408278</v>
      </c>
      <c r="F105" s="262">
        <f>F106+F107+F109</f>
        <v>396568.82</v>
      </c>
      <c r="G105" s="211">
        <f t="shared" si="2"/>
        <v>0.9713205707875516</v>
      </c>
    </row>
    <row r="106" spans="1:7" s="6" customFormat="1" ht="19.5" customHeight="1">
      <c r="A106" s="62"/>
      <c r="B106" s="62"/>
      <c r="C106" s="273" t="s">
        <v>198</v>
      </c>
      <c r="D106" s="274">
        <v>225000</v>
      </c>
      <c r="E106" s="274">
        <v>225000</v>
      </c>
      <c r="F106" s="275">
        <v>224044.41</v>
      </c>
      <c r="G106" s="276">
        <f t="shared" si="2"/>
        <v>0.9957529333333334</v>
      </c>
    </row>
    <row r="107" spans="1:7" s="6" customFormat="1" ht="19.5" customHeight="1">
      <c r="A107" s="62"/>
      <c r="B107" s="62"/>
      <c r="C107" s="302" t="s">
        <v>199</v>
      </c>
      <c r="D107" s="284">
        <v>85000</v>
      </c>
      <c r="E107" s="284">
        <v>85000</v>
      </c>
      <c r="F107" s="285">
        <v>74246.42</v>
      </c>
      <c r="G107" s="286">
        <f t="shared" si="2"/>
        <v>0.873487294117647</v>
      </c>
    </row>
    <row r="108" spans="1:7" s="102" customFormat="1" ht="18" customHeight="1">
      <c r="A108" s="263"/>
      <c r="B108" s="263"/>
      <c r="C108" s="321" t="s">
        <v>146</v>
      </c>
      <c r="D108" s="347">
        <v>45200</v>
      </c>
      <c r="E108" s="347">
        <v>53720</v>
      </c>
      <c r="F108" s="348">
        <f>53720</f>
        <v>53720</v>
      </c>
      <c r="G108" s="349">
        <f aca="true" t="shared" si="3" ref="G108:G113">F108/E108</f>
        <v>1</v>
      </c>
    </row>
    <row r="109" spans="1:7" s="102" customFormat="1" ht="18.75" customHeight="1">
      <c r="A109" s="297"/>
      <c r="B109" s="297"/>
      <c r="C109" s="350" t="s">
        <v>171</v>
      </c>
      <c r="D109" s="351"/>
      <c r="E109" s="351">
        <v>98278</v>
      </c>
      <c r="F109" s="352">
        <v>98277.99</v>
      </c>
      <c r="G109" s="346">
        <f t="shared" si="3"/>
        <v>0.9999998982478276</v>
      </c>
    </row>
    <row r="110" spans="1:7" s="6" customFormat="1" ht="17.25" customHeight="1" thickBot="1">
      <c r="A110" s="353">
        <v>754</v>
      </c>
      <c r="B110" s="212"/>
      <c r="C110" s="216" t="s">
        <v>200</v>
      </c>
      <c r="D110" s="225">
        <v>6393000</v>
      </c>
      <c r="E110" s="225">
        <f>E114+E116+E119+E124+E133+E111+E130</f>
        <v>7302659</v>
      </c>
      <c r="F110" s="266">
        <f>F114+F116+F119+F124+F133+F111+F130</f>
        <v>6795879.0200000005</v>
      </c>
      <c r="G110" s="227">
        <f t="shared" si="3"/>
        <v>0.930603362419086</v>
      </c>
    </row>
    <row r="111" spans="1:7" s="6" customFormat="1" ht="16.5" customHeight="1">
      <c r="A111" s="62"/>
      <c r="B111" s="207">
        <v>75404</v>
      </c>
      <c r="C111" s="207" t="s">
        <v>201</v>
      </c>
      <c r="D111" s="209"/>
      <c r="E111" s="209">
        <f>E112</f>
        <v>50000</v>
      </c>
      <c r="F111" s="262">
        <f>F112</f>
        <v>49700</v>
      </c>
      <c r="G111" s="211">
        <f t="shared" si="3"/>
        <v>0.994</v>
      </c>
    </row>
    <row r="112" spans="1:7" s="6" customFormat="1" ht="19.5" customHeight="1">
      <c r="A112" s="62"/>
      <c r="B112" s="62"/>
      <c r="C112" s="302" t="s">
        <v>202</v>
      </c>
      <c r="D112" s="284"/>
      <c r="E112" s="284">
        <v>50000</v>
      </c>
      <c r="F112" s="285">
        <v>49700</v>
      </c>
      <c r="G112" s="354">
        <f t="shared" si="3"/>
        <v>0.994</v>
      </c>
    </row>
    <row r="113" spans="1:7" s="100" customFormat="1" ht="19.5" customHeight="1">
      <c r="A113" s="105"/>
      <c r="B113" s="105"/>
      <c r="C113" s="355" t="s">
        <v>203</v>
      </c>
      <c r="D113" s="356"/>
      <c r="E113" s="356">
        <v>30000</v>
      </c>
      <c r="F113" s="357">
        <v>30000</v>
      </c>
      <c r="G113" s="358">
        <f t="shared" si="3"/>
        <v>1</v>
      </c>
    </row>
    <row r="114" spans="1:7" s="6" customFormat="1" ht="17.25" customHeight="1">
      <c r="A114" s="62"/>
      <c r="B114" s="52">
        <v>75405</v>
      </c>
      <c r="C114" s="52" t="s">
        <v>204</v>
      </c>
      <c r="D114" s="54">
        <v>50000</v>
      </c>
      <c r="E114" s="54"/>
      <c r="F114" s="319"/>
      <c r="G114" s="320"/>
    </row>
    <row r="115" spans="1:7" s="6" customFormat="1" ht="19.5" customHeight="1">
      <c r="A115" s="62"/>
      <c r="B115" s="119"/>
      <c r="C115" s="120" t="s">
        <v>202</v>
      </c>
      <c r="D115" s="121">
        <v>50000</v>
      </c>
      <c r="E115" s="121"/>
      <c r="F115" s="264"/>
      <c r="G115" s="134"/>
    </row>
    <row r="116" spans="1:7" s="6" customFormat="1" ht="18" customHeight="1">
      <c r="A116" s="62"/>
      <c r="B116" s="207">
        <v>75411</v>
      </c>
      <c r="C116" s="207" t="s">
        <v>205</v>
      </c>
      <c r="D116" s="209">
        <v>50000</v>
      </c>
      <c r="E116" s="209">
        <f>E117+E118</f>
        <v>670659</v>
      </c>
      <c r="F116" s="262">
        <f>SUM(F117:F118)</f>
        <v>670658.5</v>
      </c>
      <c r="G116" s="211">
        <f aca="true" t="shared" si="4" ref="G116:G123">F116/E116</f>
        <v>0.9999992544646386</v>
      </c>
    </row>
    <row r="117" spans="1:7" s="6" customFormat="1" ht="19.5" customHeight="1">
      <c r="A117" s="62"/>
      <c r="B117" s="62"/>
      <c r="C117" s="92" t="s">
        <v>206</v>
      </c>
      <c r="D117" s="93">
        <v>50000</v>
      </c>
      <c r="E117" s="93">
        <v>350000</v>
      </c>
      <c r="F117" s="331">
        <v>350000</v>
      </c>
      <c r="G117" s="296">
        <f t="shared" si="4"/>
        <v>1</v>
      </c>
    </row>
    <row r="118" spans="1:7" s="6" customFormat="1" ht="38.25">
      <c r="A118" s="287"/>
      <c r="B118" s="287"/>
      <c r="C118" s="317" t="s">
        <v>207</v>
      </c>
      <c r="D118" s="294"/>
      <c r="E118" s="294">
        <v>320659</v>
      </c>
      <c r="F118" s="295">
        <v>320658.5</v>
      </c>
      <c r="G118" s="318">
        <f t="shared" si="4"/>
        <v>0.9999984407111605</v>
      </c>
    </row>
    <row r="119" spans="1:7" s="6" customFormat="1" ht="20.25" customHeight="1">
      <c r="A119" s="62"/>
      <c r="B119" s="207">
        <v>75412</v>
      </c>
      <c r="C119" s="207" t="s">
        <v>208</v>
      </c>
      <c r="D119" s="209">
        <v>65000</v>
      </c>
      <c r="E119" s="209">
        <f>E120</f>
        <v>65000</v>
      </c>
      <c r="F119" s="262">
        <f>F120</f>
        <v>64243.54</v>
      </c>
      <c r="G119" s="211">
        <f t="shared" si="4"/>
        <v>0.9883621538461539</v>
      </c>
    </row>
    <row r="120" spans="1:7" s="6" customFormat="1" ht="20.25" customHeight="1">
      <c r="A120" s="62"/>
      <c r="B120" s="62"/>
      <c r="C120" s="273" t="s">
        <v>209</v>
      </c>
      <c r="D120" s="274">
        <v>65000</v>
      </c>
      <c r="E120" s="274">
        <v>65000</v>
      </c>
      <c r="F120" s="275">
        <v>64243.54</v>
      </c>
      <c r="G120" s="276">
        <f t="shared" si="4"/>
        <v>0.9883621538461539</v>
      </c>
    </row>
    <row r="121" spans="1:7" s="102" customFormat="1" ht="20.25" customHeight="1">
      <c r="A121" s="263"/>
      <c r="B121" s="263"/>
      <c r="C121" s="303" t="s">
        <v>146</v>
      </c>
      <c r="D121" s="304">
        <v>9000</v>
      </c>
      <c r="E121" s="304">
        <v>8800</v>
      </c>
      <c r="F121" s="305">
        <f>8449.69</f>
        <v>8449.69</v>
      </c>
      <c r="G121" s="306">
        <f t="shared" si="4"/>
        <v>0.9601920454545455</v>
      </c>
    </row>
    <row r="122" spans="1:7" s="102" customFormat="1" ht="20.25" customHeight="1">
      <c r="A122" s="263"/>
      <c r="B122" s="263"/>
      <c r="C122" s="112" t="s">
        <v>162</v>
      </c>
      <c r="D122" s="322"/>
      <c r="E122" s="322">
        <v>8000</v>
      </c>
      <c r="F122" s="323">
        <f>7984.74</f>
        <v>7984.74</v>
      </c>
      <c r="G122" s="324">
        <f t="shared" si="4"/>
        <v>0.9980924999999999</v>
      </c>
    </row>
    <row r="123" spans="1:7" s="102" customFormat="1" ht="20.25" customHeight="1">
      <c r="A123" s="263"/>
      <c r="B123" s="297"/>
      <c r="C123" s="311" t="s">
        <v>164</v>
      </c>
      <c r="D123" s="344"/>
      <c r="E123" s="344">
        <v>6100</v>
      </c>
      <c r="F123" s="345">
        <v>6100</v>
      </c>
      <c r="G123" s="359">
        <f t="shared" si="4"/>
        <v>1</v>
      </c>
    </row>
    <row r="124" spans="1:7" s="6" customFormat="1" ht="20.25" customHeight="1">
      <c r="A124" s="62"/>
      <c r="B124" s="207">
        <v>75416</v>
      </c>
      <c r="C124" s="207" t="s">
        <v>210</v>
      </c>
      <c r="D124" s="209">
        <v>5250000</v>
      </c>
      <c r="E124" s="209">
        <f>SUM(E125:E129)-E127</f>
        <v>5489000</v>
      </c>
      <c r="F124" s="262">
        <f>SUM(F125:F129)-F127</f>
        <v>5488959.15</v>
      </c>
      <c r="G124" s="211">
        <v>0.9999</v>
      </c>
    </row>
    <row r="125" spans="1:7" s="6" customFormat="1" ht="20.25" customHeight="1">
      <c r="A125" s="62"/>
      <c r="B125" s="62"/>
      <c r="C125" s="282" t="s">
        <v>190</v>
      </c>
      <c r="D125" s="274">
        <v>3750000</v>
      </c>
      <c r="E125" s="274">
        <v>3712060</v>
      </c>
      <c r="F125" s="275">
        <v>3712058.77</v>
      </c>
      <c r="G125" s="276">
        <v>0.9999</v>
      </c>
    </row>
    <row r="126" spans="1:7" s="6" customFormat="1" ht="20.25" customHeight="1">
      <c r="A126" s="62"/>
      <c r="B126" s="62"/>
      <c r="C126" s="302" t="s">
        <v>191</v>
      </c>
      <c r="D126" s="284">
        <v>730000</v>
      </c>
      <c r="E126" s="284">
        <v>961026</v>
      </c>
      <c r="F126" s="285">
        <v>960986.96</v>
      </c>
      <c r="G126" s="286">
        <v>0.9999</v>
      </c>
    </row>
    <row r="127" spans="1:7" s="102" customFormat="1" ht="20.25" customHeight="1">
      <c r="A127" s="263"/>
      <c r="B127" s="263"/>
      <c r="C127" s="303" t="s">
        <v>162</v>
      </c>
      <c r="D127" s="304">
        <v>20000</v>
      </c>
      <c r="E127" s="304">
        <v>17063</v>
      </c>
      <c r="F127" s="305">
        <v>17062.55</v>
      </c>
      <c r="G127" s="306">
        <f aca="true" t="shared" si="5" ref="G127:G144">F127/E127</f>
        <v>0.9999736271464572</v>
      </c>
    </row>
    <row r="128" spans="1:7" s="6" customFormat="1" ht="20.25" customHeight="1">
      <c r="A128" s="62"/>
      <c r="B128" s="62"/>
      <c r="C128" s="336" t="s">
        <v>192</v>
      </c>
      <c r="D128" s="337">
        <v>670000</v>
      </c>
      <c r="E128" s="337">
        <v>714000</v>
      </c>
      <c r="F128" s="338">
        <v>713999.42</v>
      </c>
      <c r="G128" s="339">
        <f t="shared" si="5"/>
        <v>0.9999991876750701</v>
      </c>
    </row>
    <row r="129" spans="1:7" s="6" customFormat="1" ht="20.25" customHeight="1">
      <c r="A129" s="62"/>
      <c r="B129" s="287"/>
      <c r="C129" s="287" t="s">
        <v>152</v>
      </c>
      <c r="D129" s="288">
        <v>100000</v>
      </c>
      <c r="E129" s="288">
        <v>101914</v>
      </c>
      <c r="F129" s="289">
        <v>101914</v>
      </c>
      <c r="G129" s="290">
        <f t="shared" si="5"/>
        <v>1</v>
      </c>
    </row>
    <row r="130" spans="1:7" s="6" customFormat="1" ht="20.25" customHeight="1">
      <c r="A130" s="62"/>
      <c r="B130" s="207">
        <v>75478</v>
      </c>
      <c r="C130" s="207" t="s">
        <v>211</v>
      </c>
      <c r="D130" s="209"/>
      <c r="E130" s="209">
        <f>SUM(E131)</f>
        <v>50000</v>
      </c>
      <c r="F130" s="262">
        <f>SUM(F131)</f>
        <v>43012.28</v>
      </c>
      <c r="G130" s="211">
        <f t="shared" si="5"/>
        <v>0.8602455999999999</v>
      </c>
    </row>
    <row r="131" spans="1:7" s="6" customFormat="1" ht="20.25" customHeight="1">
      <c r="A131" s="62"/>
      <c r="B131" s="91"/>
      <c r="C131" s="91" t="s">
        <v>212</v>
      </c>
      <c r="D131" s="93"/>
      <c r="E131" s="93">
        <v>50000</v>
      </c>
      <c r="F131" s="331">
        <f>32602.28+10410</f>
        <v>43012.28</v>
      </c>
      <c r="G131" s="296">
        <f t="shared" si="5"/>
        <v>0.8602455999999999</v>
      </c>
    </row>
    <row r="132" spans="1:7" s="102" customFormat="1" ht="20.25" customHeight="1">
      <c r="A132" s="263"/>
      <c r="B132" s="297"/>
      <c r="C132" s="311" t="s">
        <v>164</v>
      </c>
      <c r="D132" s="344"/>
      <c r="E132" s="344">
        <v>10500</v>
      </c>
      <c r="F132" s="345">
        <v>10410</v>
      </c>
      <c r="G132" s="359">
        <f t="shared" si="5"/>
        <v>0.9914285714285714</v>
      </c>
    </row>
    <row r="133" spans="1:7" s="6" customFormat="1" ht="20.25" customHeight="1">
      <c r="A133" s="62"/>
      <c r="B133" s="207">
        <v>75495</v>
      </c>
      <c r="C133" s="207" t="s">
        <v>13</v>
      </c>
      <c r="D133" s="209">
        <v>978000</v>
      </c>
      <c r="E133" s="209">
        <f>E134+E136+E137+E138</f>
        <v>978000</v>
      </c>
      <c r="F133" s="262">
        <f>SUM(F134:F138)-F135</f>
        <v>479305.55000000005</v>
      </c>
      <c r="G133" s="211">
        <f t="shared" si="5"/>
        <v>0.49008747443762785</v>
      </c>
    </row>
    <row r="134" spans="1:7" s="6" customFormat="1" ht="20.25" customHeight="1">
      <c r="A134" s="62"/>
      <c r="B134" s="91"/>
      <c r="C134" s="282" t="s">
        <v>213</v>
      </c>
      <c r="D134" s="274">
        <v>743000</v>
      </c>
      <c r="E134" s="274">
        <v>743000</v>
      </c>
      <c r="F134" s="275">
        <v>251461.82</v>
      </c>
      <c r="G134" s="276">
        <f t="shared" si="5"/>
        <v>0.3384412113055182</v>
      </c>
    </row>
    <row r="135" spans="1:7" s="102" customFormat="1" ht="19.5" customHeight="1">
      <c r="A135" s="263"/>
      <c r="B135" s="263"/>
      <c r="C135" s="303" t="s">
        <v>164</v>
      </c>
      <c r="D135" s="304">
        <v>700000</v>
      </c>
      <c r="E135" s="304">
        <v>677000</v>
      </c>
      <c r="F135" s="305">
        <v>193258.49</v>
      </c>
      <c r="G135" s="306">
        <f t="shared" si="5"/>
        <v>0.28546305760709006</v>
      </c>
    </row>
    <row r="136" spans="1:7" s="6" customFormat="1" ht="18.75" customHeight="1">
      <c r="A136" s="62"/>
      <c r="B136" s="62"/>
      <c r="C136" s="336" t="s">
        <v>214</v>
      </c>
      <c r="D136" s="337">
        <v>30000</v>
      </c>
      <c r="E136" s="337">
        <v>30000</v>
      </c>
      <c r="F136" s="338">
        <v>29185.38</v>
      </c>
      <c r="G136" s="339">
        <f t="shared" si="5"/>
        <v>0.972846</v>
      </c>
    </row>
    <row r="137" spans="1:7" s="6" customFormat="1" ht="20.25" customHeight="1">
      <c r="A137" s="62"/>
      <c r="B137" s="62"/>
      <c r="C137" s="302" t="s">
        <v>215</v>
      </c>
      <c r="D137" s="284">
        <v>5000</v>
      </c>
      <c r="E137" s="284">
        <v>5000</v>
      </c>
      <c r="F137" s="285">
        <v>4980.26</v>
      </c>
      <c r="G137" s="286">
        <f t="shared" si="5"/>
        <v>0.996052</v>
      </c>
    </row>
    <row r="138" spans="1:7" s="6" customFormat="1" ht="21" customHeight="1">
      <c r="A138" s="62"/>
      <c r="B138" s="62"/>
      <c r="C138" s="302" t="s">
        <v>216</v>
      </c>
      <c r="D138" s="284">
        <v>200000</v>
      </c>
      <c r="E138" s="284">
        <v>200000</v>
      </c>
      <c r="F138" s="285">
        <v>193678.09</v>
      </c>
      <c r="G138" s="286">
        <f t="shared" si="5"/>
        <v>0.96839045</v>
      </c>
    </row>
    <row r="139" spans="1:7" s="102" customFormat="1" ht="21" customHeight="1">
      <c r="A139" s="263"/>
      <c r="B139" s="263"/>
      <c r="C139" s="111" t="s">
        <v>164</v>
      </c>
      <c r="D139" s="341"/>
      <c r="E139" s="341">
        <v>161000</v>
      </c>
      <c r="F139" s="342">
        <f>149439.63+10993.46</f>
        <v>160433.09</v>
      </c>
      <c r="G139" s="343">
        <f t="shared" si="5"/>
        <v>0.9964788198757764</v>
      </c>
    </row>
    <row r="140" spans="1:7" s="102" customFormat="1" ht="19.5" customHeight="1">
      <c r="A140" s="297"/>
      <c r="B140" s="297"/>
      <c r="C140" s="360" t="s">
        <v>217</v>
      </c>
      <c r="D140" s="361"/>
      <c r="E140" s="361">
        <v>18000</v>
      </c>
      <c r="F140" s="362">
        <v>18000</v>
      </c>
      <c r="G140" s="363">
        <f t="shared" si="5"/>
        <v>1</v>
      </c>
    </row>
    <row r="141" spans="1:7" s="6" customFormat="1" ht="31.5" customHeight="1" thickBot="1">
      <c r="A141" s="212">
        <v>756</v>
      </c>
      <c r="B141" s="212"/>
      <c r="C141" s="216" t="s">
        <v>218</v>
      </c>
      <c r="D141" s="225">
        <v>324000</v>
      </c>
      <c r="E141" s="225">
        <f>E142</f>
        <v>324000</v>
      </c>
      <c r="F141" s="266">
        <f>F142</f>
        <v>238764.93</v>
      </c>
      <c r="G141" s="227">
        <f t="shared" si="5"/>
        <v>0.7369287962962963</v>
      </c>
    </row>
    <row r="142" spans="1:7" s="6" customFormat="1" ht="20.25" customHeight="1">
      <c r="A142" s="62"/>
      <c r="B142" s="312">
        <v>75647</v>
      </c>
      <c r="C142" s="208" t="s">
        <v>219</v>
      </c>
      <c r="D142" s="209">
        <v>324000</v>
      </c>
      <c r="E142" s="209">
        <f>E143</f>
        <v>324000</v>
      </c>
      <c r="F142" s="262">
        <f>F143</f>
        <v>238764.93</v>
      </c>
      <c r="G142" s="211">
        <f t="shared" si="5"/>
        <v>0.7369287962962963</v>
      </c>
    </row>
    <row r="143" spans="1:7" s="6" customFormat="1" ht="20.25" customHeight="1">
      <c r="A143" s="62"/>
      <c r="B143" s="62"/>
      <c r="C143" s="273" t="s">
        <v>220</v>
      </c>
      <c r="D143" s="274">
        <v>324000</v>
      </c>
      <c r="E143" s="274">
        <v>324000</v>
      </c>
      <c r="F143" s="275">
        <v>238764.93</v>
      </c>
      <c r="G143" s="276">
        <f t="shared" si="5"/>
        <v>0.7369287962962963</v>
      </c>
    </row>
    <row r="144" spans="1:7" s="102" customFormat="1" ht="20.25" customHeight="1">
      <c r="A144" s="297"/>
      <c r="B144" s="297"/>
      <c r="C144" s="298" t="s">
        <v>146</v>
      </c>
      <c r="D144" s="299">
        <v>10000</v>
      </c>
      <c r="E144" s="299">
        <v>10000</v>
      </c>
      <c r="F144" s="300">
        <v>6896.23</v>
      </c>
      <c r="G144" s="307">
        <f t="shared" si="5"/>
        <v>0.689623</v>
      </c>
    </row>
    <row r="145" spans="1:7" s="102" customFormat="1" ht="30.75" customHeight="1">
      <c r="A145" s="364"/>
      <c r="B145" s="364"/>
      <c r="C145" s="365"/>
      <c r="D145" s="366"/>
      <c r="E145" s="366"/>
      <c r="F145" s="367"/>
      <c r="G145" s="368"/>
    </row>
    <row r="146" spans="1:7" s="6" customFormat="1" ht="16.5" customHeight="1" thickBot="1">
      <c r="A146" s="202">
        <v>757</v>
      </c>
      <c r="B146" s="202"/>
      <c r="C146" s="202" t="s">
        <v>221</v>
      </c>
      <c r="D146" s="204">
        <v>8354000</v>
      </c>
      <c r="E146" s="204">
        <f>E147</f>
        <v>8354000</v>
      </c>
      <c r="F146" s="260">
        <f>F147</f>
        <v>7422761.09</v>
      </c>
      <c r="G146" s="206">
        <f aca="true" t="shared" si="6" ref="G146:G152">F146/E146</f>
        <v>0.8885277819008858</v>
      </c>
    </row>
    <row r="147" spans="1:7" s="6" customFormat="1" ht="19.5" customHeight="1">
      <c r="A147" s="62"/>
      <c r="B147" s="312">
        <v>75702</v>
      </c>
      <c r="C147" s="208" t="s">
        <v>222</v>
      </c>
      <c r="D147" s="209">
        <v>8354000</v>
      </c>
      <c r="E147" s="209">
        <f>SUM(E148:E149)</f>
        <v>8354000</v>
      </c>
      <c r="F147" s="262">
        <f>SUM(F148:F149)</f>
        <v>7422761.09</v>
      </c>
      <c r="G147" s="211">
        <f t="shared" si="6"/>
        <v>0.8885277819008858</v>
      </c>
    </row>
    <row r="148" spans="1:7" s="6" customFormat="1" ht="19.5" customHeight="1">
      <c r="A148" s="62"/>
      <c r="B148" s="62"/>
      <c r="C148" s="273" t="s">
        <v>223</v>
      </c>
      <c r="D148" s="274">
        <v>5054000</v>
      </c>
      <c r="E148" s="274">
        <v>5054000</v>
      </c>
      <c r="F148" s="275">
        <v>5034800</v>
      </c>
      <c r="G148" s="276">
        <f t="shared" si="6"/>
        <v>0.9962010288880095</v>
      </c>
    </row>
    <row r="149" spans="1:7" s="6" customFormat="1" ht="19.5" customHeight="1">
      <c r="A149" s="287"/>
      <c r="B149" s="287"/>
      <c r="C149" s="325" t="s">
        <v>224</v>
      </c>
      <c r="D149" s="288">
        <v>3300000</v>
      </c>
      <c r="E149" s="288">
        <v>3300000</v>
      </c>
      <c r="F149" s="289">
        <v>2387961.09</v>
      </c>
      <c r="G149" s="290">
        <f t="shared" si="6"/>
        <v>0.7236245727272727</v>
      </c>
    </row>
    <row r="150" spans="1:7" s="6" customFormat="1" ht="19.5" customHeight="1" thickBot="1">
      <c r="A150" s="212">
        <v>758</v>
      </c>
      <c r="B150" s="212"/>
      <c r="C150" s="212" t="s">
        <v>225</v>
      </c>
      <c r="D150" s="225">
        <v>16782600</v>
      </c>
      <c r="E150" s="225">
        <f>E153+E151+E159</f>
        <v>5105697</v>
      </c>
      <c r="F150" s="266">
        <f>F153+F151+F159</f>
        <v>3157307.11</v>
      </c>
      <c r="G150" s="227">
        <f t="shared" si="6"/>
        <v>0.6183890485471425</v>
      </c>
    </row>
    <row r="151" spans="1:7" s="6" customFormat="1" ht="19.5" customHeight="1">
      <c r="A151" s="62"/>
      <c r="B151" s="207">
        <v>75814</v>
      </c>
      <c r="C151" s="207" t="s">
        <v>226</v>
      </c>
      <c r="D151" s="209">
        <v>2754784</v>
      </c>
      <c r="E151" s="209">
        <f>SUM(E152:E152)</f>
        <v>2754784</v>
      </c>
      <c r="F151" s="262">
        <f>SUM(F152:F152)</f>
        <v>2754784</v>
      </c>
      <c r="G151" s="211">
        <f t="shared" si="6"/>
        <v>1</v>
      </c>
    </row>
    <row r="152" spans="1:7" s="6" customFormat="1" ht="19.5" customHeight="1">
      <c r="A152" s="62"/>
      <c r="B152" s="287"/>
      <c r="C152" s="317" t="s">
        <v>227</v>
      </c>
      <c r="D152" s="294">
        <v>2754784</v>
      </c>
      <c r="E152" s="294">
        <v>2754784</v>
      </c>
      <c r="F152" s="295">
        <v>2754784</v>
      </c>
      <c r="G152" s="318">
        <f t="shared" si="6"/>
        <v>1</v>
      </c>
    </row>
    <row r="153" spans="1:7" s="6" customFormat="1" ht="19.5" customHeight="1">
      <c r="A153" s="62"/>
      <c r="B153" s="207">
        <v>75818</v>
      </c>
      <c r="C153" s="207" t="s">
        <v>228</v>
      </c>
      <c r="D153" s="209">
        <v>13836736</v>
      </c>
      <c r="E153" s="209">
        <f>SUM(E154:E158)-E157</f>
        <v>1889267</v>
      </c>
      <c r="F153" s="262"/>
      <c r="G153" s="211"/>
    </row>
    <row r="154" spans="1:7" s="6" customFormat="1" ht="17.25" customHeight="1">
      <c r="A154" s="62"/>
      <c r="B154" s="91"/>
      <c r="C154" s="273" t="s">
        <v>229</v>
      </c>
      <c r="D154" s="274">
        <v>8136736</v>
      </c>
      <c r="E154" s="274">
        <v>229607</v>
      </c>
      <c r="F154" s="275"/>
      <c r="G154" s="276"/>
    </row>
    <row r="155" spans="1:7" s="6" customFormat="1" ht="18.75" customHeight="1">
      <c r="A155" s="62"/>
      <c r="B155" s="62"/>
      <c r="C155" s="302" t="s">
        <v>230</v>
      </c>
      <c r="D155" s="284">
        <v>100000</v>
      </c>
      <c r="E155" s="284">
        <v>50000</v>
      </c>
      <c r="F155" s="285"/>
      <c r="G155" s="286"/>
    </row>
    <row r="156" spans="1:7" s="6" customFormat="1" ht="18.75" customHeight="1">
      <c r="A156" s="62"/>
      <c r="B156" s="62"/>
      <c r="C156" s="302" t="s">
        <v>231</v>
      </c>
      <c r="D156" s="284">
        <v>4800000</v>
      </c>
      <c r="E156" s="284">
        <v>1609660</v>
      </c>
      <c r="F156" s="285"/>
      <c r="G156" s="286"/>
    </row>
    <row r="157" spans="1:7" s="6" customFormat="1" ht="18" customHeight="1">
      <c r="A157" s="62"/>
      <c r="B157" s="62"/>
      <c r="C157" s="303" t="s">
        <v>164</v>
      </c>
      <c r="D157" s="304">
        <v>4400000</v>
      </c>
      <c r="E157" s="304">
        <v>1535253</v>
      </c>
      <c r="F157" s="305"/>
      <c r="G157" s="306"/>
    </row>
    <row r="158" spans="1:7" s="6" customFormat="1" ht="19.5" customHeight="1">
      <c r="A158" s="62"/>
      <c r="B158" s="287"/>
      <c r="C158" s="325" t="s">
        <v>232</v>
      </c>
      <c r="D158" s="288">
        <v>800000</v>
      </c>
      <c r="E158" s="288"/>
      <c r="F158" s="289"/>
      <c r="G158" s="290"/>
    </row>
    <row r="159" spans="1:7" s="6" customFormat="1" ht="18.75" customHeight="1">
      <c r="A159" s="62"/>
      <c r="B159" s="207">
        <v>75860</v>
      </c>
      <c r="C159" s="207" t="s">
        <v>233</v>
      </c>
      <c r="D159" s="209">
        <v>191080</v>
      </c>
      <c r="E159" s="209">
        <f>E160+E161+E163+E165+E167+E169</f>
        <v>461646</v>
      </c>
      <c r="F159" s="262">
        <f>F160+F161+F163+F165+F167+F169</f>
        <v>402523.11000000004</v>
      </c>
      <c r="G159" s="211">
        <f aca="true" t="shared" si="7" ref="G159:G186">F159/E159</f>
        <v>0.8719302452528562</v>
      </c>
    </row>
    <row r="160" spans="1:7" s="6" customFormat="1" ht="19.5" customHeight="1">
      <c r="A160" s="62"/>
      <c r="B160" s="62"/>
      <c r="C160" s="283" t="s">
        <v>234</v>
      </c>
      <c r="D160" s="284">
        <v>25000</v>
      </c>
      <c r="E160" s="284">
        <v>25000</v>
      </c>
      <c r="F160" s="285">
        <v>20320.3</v>
      </c>
      <c r="G160" s="286">
        <f t="shared" si="7"/>
        <v>0.812812</v>
      </c>
    </row>
    <row r="161" spans="1:7" s="6" customFormat="1" ht="28.5" customHeight="1">
      <c r="A161" s="62"/>
      <c r="B161" s="62"/>
      <c r="C161" s="332" t="s">
        <v>235</v>
      </c>
      <c r="D161" s="333">
        <v>31080</v>
      </c>
      <c r="E161" s="333">
        <v>37594</v>
      </c>
      <c r="F161" s="334">
        <v>37093.92</v>
      </c>
      <c r="G161" s="335">
        <f t="shared" si="7"/>
        <v>0.986697877320849</v>
      </c>
    </row>
    <row r="162" spans="1:7" s="102" customFormat="1" ht="18" customHeight="1">
      <c r="A162" s="263"/>
      <c r="B162" s="263"/>
      <c r="C162" s="303" t="s">
        <v>146</v>
      </c>
      <c r="D162" s="304">
        <v>5740</v>
      </c>
      <c r="E162" s="304">
        <f>1440+5690</f>
        <v>7130</v>
      </c>
      <c r="F162" s="305">
        <f>1400+5689.4</f>
        <v>7089.4</v>
      </c>
      <c r="G162" s="306">
        <f t="shared" si="7"/>
        <v>0.9943057503506311</v>
      </c>
    </row>
    <row r="163" spans="1:7" s="6" customFormat="1" ht="19.5" customHeight="1">
      <c r="A163" s="62"/>
      <c r="B163" s="62"/>
      <c r="C163" s="340" t="s">
        <v>236</v>
      </c>
      <c r="D163" s="337">
        <v>135000</v>
      </c>
      <c r="E163" s="337">
        <v>135000</v>
      </c>
      <c r="F163" s="338">
        <v>111966.21</v>
      </c>
      <c r="G163" s="339">
        <f t="shared" si="7"/>
        <v>0.8293793333333334</v>
      </c>
    </row>
    <row r="164" spans="1:7" s="102" customFormat="1" ht="18" customHeight="1">
      <c r="A164" s="263"/>
      <c r="B164" s="263"/>
      <c r="C164" s="303" t="s">
        <v>146</v>
      </c>
      <c r="D164" s="304">
        <v>47000</v>
      </c>
      <c r="E164" s="304">
        <v>47000</v>
      </c>
      <c r="F164" s="305">
        <f>4025+14359+13322</f>
        <v>31706</v>
      </c>
      <c r="G164" s="306">
        <f t="shared" si="7"/>
        <v>0.674595744680851</v>
      </c>
    </row>
    <row r="165" spans="1:7" s="6" customFormat="1" ht="18" customHeight="1">
      <c r="A165" s="62"/>
      <c r="B165" s="62"/>
      <c r="C165" s="332" t="s">
        <v>237</v>
      </c>
      <c r="D165" s="333"/>
      <c r="E165" s="333">
        <v>76577</v>
      </c>
      <c r="F165" s="334">
        <v>62843.19</v>
      </c>
      <c r="G165" s="339">
        <f t="shared" si="7"/>
        <v>0.820653590503676</v>
      </c>
    </row>
    <row r="166" spans="1:7" s="102" customFormat="1" ht="15.75" customHeight="1">
      <c r="A166" s="263"/>
      <c r="B166" s="263"/>
      <c r="C166" s="303" t="s">
        <v>146</v>
      </c>
      <c r="D166" s="304"/>
      <c r="E166" s="304">
        <f>4230+1410+2200+9330+3110</f>
        <v>20280</v>
      </c>
      <c r="F166" s="305">
        <f>2850+950+2200+9257.25+3085.75</f>
        <v>18343</v>
      </c>
      <c r="G166" s="306">
        <f t="shared" si="7"/>
        <v>0.9044871794871795</v>
      </c>
    </row>
    <row r="167" spans="1:7" s="6" customFormat="1" ht="28.5" customHeight="1">
      <c r="A167" s="62"/>
      <c r="B167" s="62"/>
      <c r="C167" s="340" t="s">
        <v>238</v>
      </c>
      <c r="D167" s="337"/>
      <c r="E167" s="337">
        <v>181500</v>
      </c>
      <c r="F167" s="338">
        <v>164999.66</v>
      </c>
      <c r="G167" s="339">
        <f t="shared" si="7"/>
        <v>0.9090890358126722</v>
      </c>
    </row>
    <row r="168" spans="1:7" s="102" customFormat="1" ht="18" customHeight="1">
      <c r="A168" s="263"/>
      <c r="B168" s="263"/>
      <c r="C168" s="303" t="s">
        <v>146</v>
      </c>
      <c r="D168" s="304"/>
      <c r="E168" s="304">
        <v>75739</v>
      </c>
      <c r="F168" s="305">
        <f>14480+44467.5+14822.5</f>
        <v>73770</v>
      </c>
      <c r="G168" s="306">
        <f t="shared" si="7"/>
        <v>0.9740028254928108</v>
      </c>
    </row>
    <row r="169" spans="1:7" s="6" customFormat="1" ht="25.5">
      <c r="A169" s="62"/>
      <c r="B169" s="62"/>
      <c r="C169" s="332" t="s">
        <v>239</v>
      </c>
      <c r="D169" s="333"/>
      <c r="E169" s="333">
        <v>5975</v>
      </c>
      <c r="F169" s="334">
        <v>5299.83</v>
      </c>
      <c r="G169" s="335">
        <f t="shared" si="7"/>
        <v>0.8870008368200837</v>
      </c>
    </row>
    <row r="170" spans="1:7" s="102" customFormat="1" ht="18" customHeight="1">
      <c r="A170" s="297"/>
      <c r="B170" s="297"/>
      <c r="C170" s="328" t="s">
        <v>146</v>
      </c>
      <c r="D170" s="329"/>
      <c r="E170" s="329">
        <f>1410+470</f>
        <v>1880</v>
      </c>
      <c r="F170" s="330">
        <f>1177.5+392.5</f>
        <v>1570</v>
      </c>
      <c r="G170" s="301">
        <f t="shared" si="7"/>
        <v>0.8351063829787234</v>
      </c>
    </row>
    <row r="171" spans="1:7" s="6" customFormat="1" ht="19.5" customHeight="1" thickBot="1">
      <c r="A171" s="212">
        <v>801</v>
      </c>
      <c r="B171" s="212"/>
      <c r="C171" s="212" t="s">
        <v>42</v>
      </c>
      <c r="D171" s="225">
        <v>345417000</v>
      </c>
      <c r="E171" s="225">
        <f>E172+E185+E195+E208+E216+E220+E222+E230+E234+E244+E260+E264+E270+E272+E275+E283+E203+E240+E253+E191</f>
        <v>356255920</v>
      </c>
      <c r="F171" s="266">
        <f>F172+F185+F195+F208+F216+F220+F222+F230+F234+F244+F260+F264+F270+F272+F275+F283+F203+F240+F253+F191</f>
        <v>355648217.85999995</v>
      </c>
      <c r="G171" s="227">
        <f t="shared" si="7"/>
        <v>0.998294197777822</v>
      </c>
    </row>
    <row r="172" spans="1:7" s="6" customFormat="1" ht="19.5" customHeight="1">
      <c r="A172" s="62"/>
      <c r="B172" s="207">
        <v>80101</v>
      </c>
      <c r="C172" s="207" t="s">
        <v>43</v>
      </c>
      <c r="D172" s="209">
        <v>95850000</v>
      </c>
      <c r="E172" s="209">
        <f>E173+E174+E176+E177+E179+E180+E181+E184+E182</f>
        <v>99146806</v>
      </c>
      <c r="F172" s="262">
        <f>F173+F174+F176+F177+F179+F180+F181+F184+F182</f>
        <v>98921397.86</v>
      </c>
      <c r="G172" s="211">
        <f t="shared" si="7"/>
        <v>0.9977265214171398</v>
      </c>
    </row>
    <row r="173" spans="1:8" s="6" customFormat="1" ht="17.25" customHeight="1">
      <c r="A173" s="62"/>
      <c r="B173" s="62"/>
      <c r="C173" s="282" t="s">
        <v>190</v>
      </c>
      <c r="D173" s="274">
        <v>57842800</v>
      </c>
      <c r="E173" s="274">
        <v>57906170</v>
      </c>
      <c r="F173" s="275">
        <v>57858294.83</v>
      </c>
      <c r="G173" s="276">
        <f t="shared" si="7"/>
        <v>0.99917322851779</v>
      </c>
      <c r="H173" s="248"/>
    </row>
    <row r="174" spans="1:8" s="6" customFormat="1" ht="18" customHeight="1">
      <c r="A174" s="62"/>
      <c r="B174" s="62"/>
      <c r="C174" s="283" t="s">
        <v>191</v>
      </c>
      <c r="D174" s="284">
        <v>11517670</v>
      </c>
      <c r="E174" s="284">
        <v>12656301</v>
      </c>
      <c r="F174" s="285">
        <v>12623409.44</v>
      </c>
      <c r="G174" s="286">
        <f t="shared" si="7"/>
        <v>0.9974011711636757</v>
      </c>
      <c r="H174" s="248"/>
    </row>
    <row r="175" spans="1:7" s="102" customFormat="1" ht="15.75" customHeight="1">
      <c r="A175" s="297"/>
      <c r="B175" s="297"/>
      <c r="C175" s="328" t="s">
        <v>162</v>
      </c>
      <c r="D175" s="329">
        <v>580000</v>
      </c>
      <c r="E175" s="329">
        <v>1577979</v>
      </c>
      <c r="F175" s="330">
        <v>1564127.71</v>
      </c>
      <c r="G175" s="301">
        <f t="shared" si="7"/>
        <v>0.9912221328674209</v>
      </c>
    </row>
    <row r="176" spans="1:8" s="6" customFormat="1" ht="18.75" customHeight="1">
      <c r="A176" s="62"/>
      <c r="B176" s="62"/>
      <c r="C176" s="336" t="s">
        <v>192</v>
      </c>
      <c r="D176" s="337">
        <v>11293400</v>
      </c>
      <c r="E176" s="337">
        <v>11135441</v>
      </c>
      <c r="F176" s="338">
        <v>11102915.33</v>
      </c>
      <c r="G176" s="339">
        <f t="shared" si="7"/>
        <v>0.9970790855970589</v>
      </c>
      <c r="H176" s="248"/>
    </row>
    <row r="177" spans="1:8" s="6" customFormat="1" ht="17.25" customHeight="1">
      <c r="A177" s="62"/>
      <c r="B177" s="62"/>
      <c r="C177" s="62" t="s">
        <v>240</v>
      </c>
      <c r="D177" s="291">
        <v>402000</v>
      </c>
      <c r="E177" s="291">
        <v>415196</v>
      </c>
      <c r="F177" s="292">
        <v>411077.89</v>
      </c>
      <c r="G177" s="327">
        <f t="shared" si="7"/>
        <v>0.990081527760383</v>
      </c>
      <c r="H177" s="248"/>
    </row>
    <row r="178" spans="1:8" s="102" customFormat="1" ht="18" customHeight="1">
      <c r="A178" s="263"/>
      <c r="B178" s="263"/>
      <c r="C178" s="369" t="s">
        <v>146</v>
      </c>
      <c r="D178" s="304">
        <v>315000</v>
      </c>
      <c r="E178" s="304">
        <f>304750+21258</f>
        <v>326008</v>
      </c>
      <c r="F178" s="305">
        <f>302696.32+21204.94</f>
        <v>323901.26</v>
      </c>
      <c r="G178" s="306">
        <f t="shared" si="7"/>
        <v>0.993537765944394</v>
      </c>
      <c r="H178" s="370"/>
    </row>
    <row r="179" spans="1:8" s="6" customFormat="1" ht="18.75" customHeight="1">
      <c r="A179" s="62"/>
      <c r="B179" s="62"/>
      <c r="C179" s="336" t="s">
        <v>44</v>
      </c>
      <c r="D179" s="337">
        <v>1200000</v>
      </c>
      <c r="E179" s="337">
        <v>1161787</v>
      </c>
      <c r="F179" s="338">
        <v>1159231</v>
      </c>
      <c r="G179" s="339">
        <f t="shared" si="7"/>
        <v>0.9977999409530318</v>
      </c>
      <c r="H179" s="248"/>
    </row>
    <row r="180" spans="1:8" s="6" customFormat="1" ht="18.75" customHeight="1">
      <c r="A180" s="62"/>
      <c r="B180" s="62"/>
      <c r="C180" s="371" t="s">
        <v>241</v>
      </c>
      <c r="D180" s="314"/>
      <c r="E180" s="314">
        <v>30992</v>
      </c>
      <c r="F180" s="315">
        <v>28675.69</v>
      </c>
      <c r="G180" s="316">
        <f t="shared" si="7"/>
        <v>0.9252610351058337</v>
      </c>
      <c r="H180" s="248"/>
    </row>
    <row r="181" spans="1:7" s="6" customFormat="1" ht="18.75" customHeight="1">
      <c r="A181" s="62"/>
      <c r="B181" s="62"/>
      <c r="C181" s="283" t="s">
        <v>242</v>
      </c>
      <c r="D181" s="284"/>
      <c r="E181" s="284">
        <v>42029</v>
      </c>
      <c r="F181" s="285">
        <v>42029</v>
      </c>
      <c r="G181" s="286">
        <f t="shared" si="7"/>
        <v>1</v>
      </c>
    </row>
    <row r="182" spans="1:7" s="6" customFormat="1" ht="18.75" customHeight="1">
      <c r="A182" s="62"/>
      <c r="B182" s="62"/>
      <c r="C182" s="371" t="s">
        <v>118</v>
      </c>
      <c r="D182" s="314"/>
      <c r="E182" s="314">
        <v>184212</v>
      </c>
      <c r="F182" s="315">
        <v>86958.51</v>
      </c>
      <c r="G182" s="316">
        <f t="shared" si="7"/>
        <v>0.4720567064034916</v>
      </c>
    </row>
    <row r="183" spans="1:7" s="6" customFormat="1" ht="15.75" customHeight="1">
      <c r="A183" s="62"/>
      <c r="B183" s="62"/>
      <c r="C183" s="372" t="s">
        <v>146</v>
      </c>
      <c r="D183" s="373"/>
      <c r="E183" s="106">
        <v>153614</v>
      </c>
      <c r="F183" s="374">
        <v>73178.61</v>
      </c>
      <c r="G183" s="375">
        <f t="shared" si="7"/>
        <v>0.47637982215162683</v>
      </c>
    </row>
    <row r="184" spans="1:7" s="6" customFormat="1" ht="18.75" customHeight="1">
      <c r="A184" s="62"/>
      <c r="B184" s="62"/>
      <c r="C184" s="376" t="s">
        <v>152</v>
      </c>
      <c r="D184" s="351">
        <v>13594130</v>
      </c>
      <c r="E184" s="351">
        <v>15614678</v>
      </c>
      <c r="F184" s="352">
        <v>15608806.17</v>
      </c>
      <c r="G184" s="346">
        <f t="shared" si="7"/>
        <v>0.9996239544613088</v>
      </c>
    </row>
    <row r="185" spans="1:7" s="6" customFormat="1" ht="19.5" customHeight="1">
      <c r="A185" s="62"/>
      <c r="B185" s="52">
        <v>80102</v>
      </c>
      <c r="C185" s="207" t="s">
        <v>243</v>
      </c>
      <c r="D185" s="209">
        <v>6000000</v>
      </c>
      <c r="E185" s="209">
        <f>SUM(E186:E189)</f>
        <v>6777789</v>
      </c>
      <c r="F185" s="262">
        <f>SUM(F186:F189)</f>
        <v>6768270.709999999</v>
      </c>
      <c r="G185" s="211">
        <f t="shared" si="7"/>
        <v>0.9985956644563587</v>
      </c>
    </row>
    <row r="186" spans="1:7" s="6" customFormat="1" ht="18.75" customHeight="1">
      <c r="A186" s="62"/>
      <c r="B186" s="62"/>
      <c r="C186" s="282" t="s">
        <v>190</v>
      </c>
      <c r="D186" s="274">
        <v>4624200</v>
      </c>
      <c r="E186" s="274">
        <v>5252567</v>
      </c>
      <c r="F186" s="275">
        <v>5243706.89</v>
      </c>
      <c r="G186" s="276">
        <f t="shared" si="7"/>
        <v>0.9983131847723218</v>
      </c>
    </row>
    <row r="187" spans="1:7" s="6" customFormat="1" ht="18.75" customHeight="1">
      <c r="A187" s="62"/>
      <c r="B187" s="62"/>
      <c r="C187" s="283" t="s">
        <v>191</v>
      </c>
      <c r="D187" s="284">
        <v>493400</v>
      </c>
      <c r="E187" s="284">
        <v>495640</v>
      </c>
      <c r="F187" s="285">
        <v>495636.5</v>
      </c>
      <c r="G187" s="286">
        <v>0.9999</v>
      </c>
    </row>
    <row r="188" spans="1:7" s="6" customFormat="1" ht="18.75" customHeight="1">
      <c r="A188" s="62"/>
      <c r="B188" s="62"/>
      <c r="C188" s="371" t="s">
        <v>192</v>
      </c>
      <c r="D188" s="314">
        <v>882400</v>
      </c>
      <c r="E188" s="314">
        <v>1028120</v>
      </c>
      <c r="F188" s="315">
        <v>1028117.22</v>
      </c>
      <c r="G188" s="316">
        <v>0.9999</v>
      </c>
    </row>
    <row r="189" spans="1:7" s="6" customFormat="1" ht="18.75" customHeight="1">
      <c r="A189" s="62"/>
      <c r="B189" s="62"/>
      <c r="C189" s="371" t="s">
        <v>244</v>
      </c>
      <c r="D189" s="314"/>
      <c r="E189" s="314">
        <v>1462</v>
      </c>
      <c r="F189" s="315">
        <v>810.1</v>
      </c>
      <c r="G189" s="316">
        <f aca="true" t="shared" si="8" ref="G189:G195">F189/E189</f>
        <v>0.5541039671682627</v>
      </c>
    </row>
    <row r="190" spans="1:7" s="6" customFormat="1" ht="18.75" customHeight="1">
      <c r="A190" s="62"/>
      <c r="B190" s="287"/>
      <c r="C190" s="377" t="s">
        <v>146</v>
      </c>
      <c r="D190" s="294"/>
      <c r="E190" s="378">
        <v>1219</v>
      </c>
      <c r="F190" s="379">
        <v>569.04</v>
      </c>
      <c r="G190" s="318">
        <f t="shared" si="8"/>
        <v>0.4668088597210828</v>
      </c>
    </row>
    <row r="191" spans="1:7" s="6" customFormat="1" ht="16.5" customHeight="1">
      <c r="A191" s="62"/>
      <c r="B191" s="52">
        <v>80103</v>
      </c>
      <c r="C191" s="52" t="s">
        <v>245</v>
      </c>
      <c r="D191" s="54">
        <v>1650000</v>
      </c>
      <c r="E191" s="54">
        <f>SUM(E192:E194)</f>
        <v>1714227</v>
      </c>
      <c r="F191" s="319">
        <f>SUM(F192:F194)</f>
        <v>1709900.29</v>
      </c>
      <c r="G191" s="320">
        <f t="shared" si="8"/>
        <v>0.9974759993863124</v>
      </c>
    </row>
    <row r="192" spans="1:7" s="6" customFormat="1" ht="18.75" customHeight="1">
      <c r="A192" s="62"/>
      <c r="B192" s="62"/>
      <c r="C192" s="282" t="s">
        <v>190</v>
      </c>
      <c r="D192" s="274">
        <v>1244600</v>
      </c>
      <c r="E192" s="274">
        <v>1291181</v>
      </c>
      <c r="F192" s="275">
        <v>1289337.51</v>
      </c>
      <c r="G192" s="276">
        <f t="shared" si="8"/>
        <v>0.9985722450996414</v>
      </c>
    </row>
    <row r="193" spans="1:7" s="6" customFormat="1" ht="15.75" customHeight="1">
      <c r="A193" s="62"/>
      <c r="B193" s="62"/>
      <c r="C193" s="283" t="s">
        <v>191</v>
      </c>
      <c r="D193" s="284">
        <v>162900</v>
      </c>
      <c r="E193" s="284">
        <v>169634</v>
      </c>
      <c r="F193" s="285">
        <v>169160.09</v>
      </c>
      <c r="G193" s="286">
        <f t="shared" si="8"/>
        <v>0.9972062794015351</v>
      </c>
    </row>
    <row r="194" spans="1:7" s="6" customFormat="1" ht="18.75" customHeight="1">
      <c r="A194" s="62"/>
      <c r="B194" s="287"/>
      <c r="C194" s="293" t="s">
        <v>192</v>
      </c>
      <c r="D194" s="294">
        <v>242500</v>
      </c>
      <c r="E194" s="294">
        <v>253412</v>
      </c>
      <c r="F194" s="295">
        <v>251402.69</v>
      </c>
      <c r="G194" s="318">
        <f t="shared" si="8"/>
        <v>0.9920709753287137</v>
      </c>
    </row>
    <row r="195" spans="1:7" s="36" customFormat="1" ht="16.5" customHeight="1">
      <c r="A195" s="51"/>
      <c r="B195" s="312">
        <v>80104</v>
      </c>
      <c r="C195" s="208" t="s">
        <v>246</v>
      </c>
      <c r="D195" s="209">
        <v>48697500</v>
      </c>
      <c r="E195" s="209">
        <f>SUM(E196:E202)-E198</f>
        <v>51180147</v>
      </c>
      <c r="F195" s="262">
        <f>SUM(F196:F202)-F198</f>
        <v>51139572.76</v>
      </c>
      <c r="G195" s="211">
        <f t="shared" si="8"/>
        <v>0.9992072269741624</v>
      </c>
    </row>
    <row r="196" spans="1:7" s="6" customFormat="1" ht="19.5" customHeight="1">
      <c r="A196" s="62"/>
      <c r="B196" s="62"/>
      <c r="C196" s="336" t="s">
        <v>190</v>
      </c>
      <c r="D196" s="337">
        <v>31127000</v>
      </c>
      <c r="E196" s="337">
        <v>31537471</v>
      </c>
      <c r="F196" s="338">
        <v>31536152.47</v>
      </c>
      <c r="G196" s="339">
        <v>0.9999</v>
      </c>
    </row>
    <row r="197" spans="1:7" s="6" customFormat="1" ht="19.5" customHeight="1">
      <c r="A197" s="62"/>
      <c r="B197" s="62"/>
      <c r="C197" s="283" t="s">
        <v>191</v>
      </c>
      <c r="D197" s="284">
        <v>6179095</v>
      </c>
      <c r="E197" s="284">
        <v>7329730</v>
      </c>
      <c r="F197" s="285">
        <v>7328935.77</v>
      </c>
      <c r="G197" s="286">
        <f>F197/E197</f>
        <v>0.9998916426662373</v>
      </c>
    </row>
    <row r="198" spans="1:7" s="102" customFormat="1" ht="18" customHeight="1">
      <c r="A198" s="263"/>
      <c r="B198" s="263"/>
      <c r="C198" s="303" t="s">
        <v>162</v>
      </c>
      <c r="D198" s="304">
        <v>100000</v>
      </c>
      <c r="E198" s="304">
        <v>809660</v>
      </c>
      <c r="F198" s="305">
        <v>809260.58</v>
      </c>
      <c r="G198" s="306">
        <f>F198/E198</f>
        <v>0.9995066818170589</v>
      </c>
    </row>
    <row r="199" spans="1:7" s="6" customFormat="1" ht="17.25" customHeight="1">
      <c r="A199" s="62"/>
      <c r="B199" s="62"/>
      <c r="C199" s="336" t="s">
        <v>192</v>
      </c>
      <c r="D199" s="337">
        <v>5890100</v>
      </c>
      <c r="E199" s="337">
        <v>6124455</v>
      </c>
      <c r="F199" s="338">
        <v>6124202.95</v>
      </c>
      <c r="G199" s="339">
        <v>0.9999</v>
      </c>
    </row>
    <row r="200" spans="1:7" s="6" customFormat="1" ht="16.5" customHeight="1">
      <c r="A200" s="62"/>
      <c r="B200" s="62"/>
      <c r="C200" s="283" t="s">
        <v>247</v>
      </c>
      <c r="D200" s="284">
        <v>10000</v>
      </c>
      <c r="E200" s="284">
        <v>24487</v>
      </c>
      <c r="F200" s="285">
        <v>23973</v>
      </c>
      <c r="G200" s="286">
        <f aca="true" t="shared" si="9" ref="G200:G206">F200/E200</f>
        <v>0.9790092702250174</v>
      </c>
    </row>
    <row r="201" spans="1:7" s="6" customFormat="1" ht="15.75" customHeight="1">
      <c r="A201" s="62"/>
      <c r="B201" s="62"/>
      <c r="C201" s="283" t="s">
        <v>248</v>
      </c>
      <c r="D201" s="284">
        <v>4400000</v>
      </c>
      <c r="E201" s="284">
        <v>4789543</v>
      </c>
      <c r="F201" s="285">
        <v>4777384</v>
      </c>
      <c r="G201" s="286">
        <f t="shared" si="9"/>
        <v>0.9974613444330701</v>
      </c>
    </row>
    <row r="202" spans="1:7" s="6" customFormat="1" ht="19.5" customHeight="1">
      <c r="A202" s="62"/>
      <c r="B202" s="287"/>
      <c r="C202" s="287" t="s">
        <v>152</v>
      </c>
      <c r="D202" s="288">
        <v>1091305</v>
      </c>
      <c r="E202" s="288">
        <v>1374461</v>
      </c>
      <c r="F202" s="289">
        <v>1348924.57</v>
      </c>
      <c r="G202" s="290">
        <f t="shared" si="9"/>
        <v>0.9814207678500881</v>
      </c>
    </row>
    <row r="203" spans="1:7" s="36" customFormat="1" ht="18.75" customHeight="1">
      <c r="A203" s="51"/>
      <c r="B203" s="312">
        <v>80105</v>
      </c>
      <c r="C203" s="208" t="s">
        <v>249</v>
      </c>
      <c r="D203" s="209">
        <v>1600000</v>
      </c>
      <c r="E203" s="209">
        <f>SUM(E204:E207)-E206</f>
        <v>1769260</v>
      </c>
      <c r="F203" s="262">
        <f>SUM(F204:F207)-F206</f>
        <v>1767879.14</v>
      </c>
      <c r="G203" s="211">
        <f t="shared" si="9"/>
        <v>0.9992195268078179</v>
      </c>
    </row>
    <row r="204" spans="1:7" s="6" customFormat="1" ht="15.75" customHeight="1">
      <c r="A204" s="62"/>
      <c r="B204" s="62"/>
      <c r="C204" s="282" t="s">
        <v>190</v>
      </c>
      <c r="D204" s="274">
        <v>1217900</v>
      </c>
      <c r="E204" s="274">
        <v>1285160</v>
      </c>
      <c r="F204" s="275">
        <v>1283846.13</v>
      </c>
      <c r="G204" s="276">
        <f t="shared" si="9"/>
        <v>0.9989776603691368</v>
      </c>
    </row>
    <row r="205" spans="1:7" s="6" customFormat="1" ht="17.25" customHeight="1">
      <c r="A205" s="62"/>
      <c r="B205" s="62"/>
      <c r="C205" s="283" t="s">
        <v>191</v>
      </c>
      <c r="D205" s="284">
        <v>155600</v>
      </c>
      <c r="E205" s="284">
        <v>229310</v>
      </c>
      <c r="F205" s="285">
        <v>229253.04</v>
      </c>
      <c r="G205" s="286">
        <f t="shared" si="9"/>
        <v>0.999751602633989</v>
      </c>
    </row>
    <row r="206" spans="1:7" s="6" customFormat="1" ht="17.25" customHeight="1">
      <c r="A206" s="62"/>
      <c r="B206" s="62"/>
      <c r="C206" s="372" t="s">
        <v>162</v>
      </c>
      <c r="D206" s="106"/>
      <c r="E206" s="106">
        <v>60000</v>
      </c>
      <c r="F206" s="374">
        <v>60000</v>
      </c>
      <c r="G206" s="375">
        <f t="shared" si="9"/>
        <v>1</v>
      </c>
    </row>
    <row r="207" spans="1:7" s="6" customFormat="1" ht="15.75" customHeight="1">
      <c r="A207" s="287"/>
      <c r="B207" s="287"/>
      <c r="C207" s="287" t="s">
        <v>192</v>
      </c>
      <c r="D207" s="288">
        <v>226500</v>
      </c>
      <c r="E207" s="288">
        <v>254790</v>
      </c>
      <c r="F207" s="289">
        <v>254779.97</v>
      </c>
      <c r="G207" s="290">
        <v>0.9999</v>
      </c>
    </row>
    <row r="208" spans="1:7" s="36" customFormat="1" ht="15.75" customHeight="1">
      <c r="A208" s="51"/>
      <c r="B208" s="207">
        <v>80110</v>
      </c>
      <c r="C208" s="207" t="s">
        <v>46</v>
      </c>
      <c r="D208" s="209">
        <v>54267000</v>
      </c>
      <c r="E208" s="209">
        <f>SUM(E209:E215)-E211</f>
        <v>56378915</v>
      </c>
      <c r="F208" s="262">
        <f>SUM(F209:F215)-F211</f>
        <v>56341549.77999999</v>
      </c>
      <c r="G208" s="211">
        <f>F208/E208</f>
        <v>0.9993372483312243</v>
      </c>
    </row>
    <row r="209" spans="1:7" s="6" customFormat="1" ht="18" customHeight="1">
      <c r="A209" s="62"/>
      <c r="B209" s="62"/>
      <c r="C209" s="282" t="s">
        <v>190</v>
      </c>
      <c r="D209" s="274">
        <v>34381400</v>
      </c>
      <c r="E209" s="274">
        <v>35772180</v>
      </c>
      <c r="F209" s="275">
        <v>35771477.66</v>
      </c>
      <c r="G209" s="276">
        <v>0.9999</v>
      </c>
    </row>
    <row r="210" spans="1:7" s="6" customFormat="1" ht="16.5" customHeight="1">
      <c r="A210" s="62"/>
      <c r="B210" s="62"/>
      <c r="C210" s="371" t="s">
        <v>191</v>
      </c>
      <c r="D210" s="314">
        <v>6143300</v>
      </c>
      <c r="E210" s="314">
        <v>7483789</v>
      </c>
      <c r="F210" s="315">
        <v>7473429.3</v>
      </c>
      <c r="G210" s="316">
        <f aca="true" t="shared" si="10" ref="G210:G218">F210/E210</f>
        <v>0.9986157145798739</v>
      </c>
    </row>
    <row r="211" spans="1:7" s="102" customFormat="1" ht="15.75" customHeight="1">
      <c r="A211" s="263"/>
      <c r="B211" s="263"/>
      <c r="C211" s="303" t="s">
        <v>162</v>
      </c>
      <c r="D211" s="304">
        <v>300000</v>
      </c>
      <c r="E211" s="304">
        <v>1221332</v>
      </c>
      <c r="F211" s="305">
        <v>1212068.18</v>
      </c>
      <c r="G211" s="306">
        <f t="shared" si="10"/>
        <v>0.992414986260902</v>
      </c>
    </row>
    <row r="212" spans="1:7" s="6" customFormat="1" ht="16.5" customHeight="1">
      <c r="A212" s="62"/>
      <c r="B212" s="62"/>
      <c r="C212" s="336" t="s">
        <v>192</v>
      </c>
      <c r="D212" s="337">
        <v>6773000</v>
      </c>
      <c r="E212" s="337">
        <v>6915040</v>
      </c>
      <c r="F212" s="338">
        <v>6913364.44</v>
      </c>
      <c r="G212" s="339">
        <f t="shared" si="10"/>
        <v>0.9997576933755987</v>
      </c>
    </row>
    <row r="213" spans="1:7" s="6" customFormat="1" ht="17.25" customHeight="1">
      <c r="A213" s="62"/>
      <c r="B213" s="62"/>
      <c r="C213" s="283" t="s">
        <v>250</v>
      </c>
      <c r="D213" s="284">
        <v>2886000</v>
      </c>
      <c r="E213" s="284">
        <v>3395561</v>
      </c>
      <c r="F213" s="285">
        <v>3391704</v>
      </c>
      <c r="G213" s="286">
        <f t="shared" si="10"/>
        <v>0.9988641052244386</v>
      </c>
    </row>
    <row r="214" spans="1:7" s="6" customFormat="1" ht="16.5" customHeight="1">
      <c r="A214" s="62"/>
      <c r="B214" s="62"/>
      <c r="C214" s="62" t="s">
        <v>241</v>
      </c>
      <c r="D214" s="291"/>
      <c r="E214" s="291">
        <v>36984</v>
      </c>
      <c r="F214" s="292">
        <v>17209.05</v>
      </c>
      <c r="G214" s="327">
        <f t="shared" si="10"/>
        <v>0.46531067488643735</v>
      </c>
    </row>
    <row r="215" spans="1:7" s="6" customFormat="1" ht="16.5" customHeight="1">
      <c r="A215" s="62"/>
      <c r="B215" s="287"/>
      <c r="C215" s="293" t="s">
        <v>152</v>
      </c>
      <c r="D215" s="294">
        <v>4083300</v>
      </c>
      <c r="E215" s="294">
        <v>2775361</v>
      </c>
      <c r="F215" s="295">
        <v>2774365.33</v>
      </c>
      <c r="G215" s="318">
        <f t="shared" si="10"/>
        <v>0.999641246670253</v>
      </c>
    </row>
    <row r="216" spans="1:7" s="36" customFormat="1" ht="16.5" customHeight="1">
      <c r="A216" s="51"/>
      <c r="B216" s="207">
        <v>80111</v>
      </c>
      <c r="C216" s="207" t="s">
        <v>251</v>
      </c>
      <c r="D216" s="209">
        <v>4580000</v>
      </c>
      <c r="E216" s="209">
        <f>SUM(E217:E219)</f>
        <v>4662659</v>
      </c>
      <c r="F216" s="262">
        <f>SUM(F217:F219)</f>
        <v>4659303.0600000005</v>
      </c>
      <c r="G216" s="211">
        <f t="shared" si="10"/>
        <v>0.9992802518906059</v>
      </c>
    </row>
    <row r="217" spans="1:7" s="6" customFormat="1" ht="19.5" customHeight="1">
      <c r="A217" s="62"/>
      <c r="B217" s="62"/>
      <c r="C217" s="282" t="s">
        <v>190</v>
      </c>
      <c r="D217" s="274">
        <v>3550800</v>
      </c>
      <c r="E217" s="274">
        <v>3617159</v>
      </c>
      <c r="F217" s="275">
        <v>3613872.35</v>
      </c>
      <c r="G217" s="276">
        <f t="shared" si="10"/>
        <v>0.9990913725385033</v>
      </c>
    </row>
    <row r="218" spans="1:7" s="6" customFormat="1" ht="16.5" customHeight="1">
      <c r="A218" s="62"/>
      <c r="B218" s="62"/>
      <c r="C218" s="371" t="s">
        <v>191</v>
      </c>
      <c r="D218" s="314">
        <v>345400</v>
      </c>
      <c r="E218" s="314">
        <v>350140</v>
      </c>
      <c r="F218" s="315">
        <v>350077.12</v>
      </c>
      <c r="G218" s="316">
        <f t="shared" si="10"/>
        <v>0.9998204146912664</v>
      </c>
    </row>
    <row r="219" spans="1:7" s="6" customFormat="1" ht="17.25" customHeight="1">
      <c r="A219" s="62"/>
      <c r="B219" s="287"/>
      <c r="C219" s="293" t="s">
        <v>192</v>
      </c>
      <c r="D219" s="294">
        <v>683800</v>
      </c>
      <c r="E219" s="294">
        <v>695360</v>
      </c>
      <c r="F219" s="295">
        <v>695353.59</v>
      </c>
      <c r="G219" s="318">
        <v>0.9999</v>
      </c>
    </row>
    <row r="220" spans="1:7" s="36" customFormat="1" ht="17.25" customHeight="1">
      <c r="A220" s="51"/>
      <c r="B220" s="207">
        <v>80113</v>
      </c>
      <c r="C220" s="207" t="s">
        <v>252</v>
      </c>
      <c r="D220" s="209">
        <v>600000</v>
      </c>
      <c r="E220" s="209">
        <f>E221</f>
        <v>534888</v>
      </c>
      <c r="F220" s="262">
        <f>F221</f>
        <v>527313.57</v>
      </c>
      <c r="G220" s="211">
        <f aca="true" t="shared" si="11" ref="G220:G225">F220/E220</f>
        <v>0.9858392224166553</v>
      </c>
    </row>
    <row r="221" spans="1:7" s="6" customFormat="1" ht="18" customHeight="1">
      <c r="A221" s="62"/>
      <c r="B221" s="119"/>
      <c r="C221" s="119" t="s">
        <v>253</v>
      </c>
      <c r="D221" s="121">
        <v>600000</v>
      </c>
      <c r="E221" s="121">
        <v>534888</v>
      </c>
      <c r="F221" s="264">
        <v>527313.57</v>
      </c>
      <c r="G221" s="134">
        <f t="shared" si="11"/>
        <v>0.9858392224166553</v>
      </c>
    </row>
    <row r="222" spans="1:7" s="36" customFormat="1" ht="17.25" customHeight="1">
      <c r="A222" s="51"/>
      <c r="B222" s="52">
        <v>80120</v>
      </c>
      <c r="C222" s="52" t="s">
        <v>47</v>
      </c>
      <c r="D222" s="54">
        <v>48639000</v>
      </c>
      <c r="E222" s="54">
        <f>SUM(E223:E229)-E225</f>
        <v>51755994</v>
      </c>
      <c r="F222" s="319">
        <f>SUM(F223:F229)-F225</f>
        <v>51724322.57</v>
      </c>
      <c r="G222" s="320">
        <f t="shared" si="11"/>
        <v>0.9993880625691394</v>
      </c>
    </row>
    <row r="223" spans="1:7" s="6" customFormat="1" ht="17.25" customHeight="1">
      <c r="A223" s="62"/>
      <c r="B223" s="62"/>
      <c r="C223" s="282" t="s">
        <v>190</v>
      </c>
      <c r="D223" s="274">
        <v>32178000</v>
      </c>
      <c r="E223" s="274">
        <v>32705614</v>
      </c>
      <c r="F223" s="275">
        <v>32700888.74</v>
      </c>
      <c r="G223" s="276">
        <f t="shared" si="11"/>
        <v>0.9998555214404474</v>
      </c>
    </row>
    <row r="224" spans="1:7" s="6" customFormat="1" ht="17.25" customHeight="1">
      <c r="A224" s="62"/>
      <c r="B224" s="62"/>
      <c r="C224" s="283" t="s">
        <v>191</v>
      </c>
      <c r="D224" s="284">
        <v>5129000</v>
      </c>
      <c r="E224" s="284">
        <v>6069238</v>
      </c>
      <c r="F224" s="285">
        <v>6066293.43</v>
      </c>
      <c r="G224" s="286">
        <f t="shared" si="11"/>
        <v>0.9995148369531727</v>
      </c>
    </row>
    <row r="225" spans="1:7" s="102" customFormat="1" ht="16.5" customHeight="1">
      <c r="A225" s="263"/>
      <c r="B225" s="263"/>
      <c r="C225" s="303" t="s">
        <v>162</v>
      </c>
      <c r="D225" s="304">
        <v>350000</v>
      </c>
      <c r="E225" s="304">
        <v>1001769</v>
      </c>
      <c r="F225" s="305">
        <v>999604.18</v>
      </c>
      <c r="G225" s="306">
        <f t="shared" si="11"/>
        <v>0.9978390028040397</v>
      </c>
    </row>
    <row r="226" spans="1:7" s="6" customFormat="1" ht="15.75" customHeight="1">
      <c r="A226" s="62"/>
      <c r="B226" s="62"/>
      <c r="C226" s="336" t="s">
        <v>192</v>
      </c>
      <c r="D226" s="337">
        <v>6158000</v>
      </c>
      <c r="E226" s="337">
        <v>6356750</v>
      </c>
      <c r="F226" s="338">
        <v>6356734.55</v>
      </c>
      <c r="G226" s="339">
        <v>0.9999</v>
      </c>
    </row>
    <row r="227" spans="1:7" s="6" customFormat="1" ht="17.25" customHeight="1">
      <c r="A227" s="62"/>
      <c r="B227" s="62"/>
      <c r="C227" s="302" t="s">
        <v>74</v>
      </c>
      <c r="D227" s="284">
        <v>4100000</v>
      </c>
      <c r="E227" s="284">
        <v>4477590</v>
      </c>
      <c r="F227" s="285">
        <v>4472669</v>
      </c>
      <c r="G227" s="286">
        <f aca="true" t="shared" si="12" ref="G227:G234">F227/E227</f>
        <v>0.998900971281426</v>
      </c>
    </row>
    <row r="228" spans="1:7" s="6" customFormat="1" ht="17.25" customHeight="1">
      <c r="A228" s="62"/>
      <c r="B228" s="62"/>
      <c r="C228" s="283" t="s">
        <v>241</v>
      </c>
      <c r="D228" s="284"/>
      <c r="E228" s="284">
        <v>24582</v>
      </c>
      <c r="F228" s="285">
        <v>19034.61</v>
      </c>
      <c r="G228" s="286">
        <f t="shared" si="12"/>
        <v>0.7743312179643642</v>
      </c>
    </row>
    <row r="229" spans="1:7" s="6" customFormat="1" ht="15.75" customHeight="1">
      <c r="A229" s="62"/>
      <c r="B229" s="287"/>
      <c r="C229" s="287" t="s">
        <v>152</v>
      </c>
      <c r="D229" s="288">
        <v>1074000</v>
      </c>
      <c r="E229" s="288">
        <v>2122220</v>
      </c>
      <c r="F229" s="289">
        <v>2108702.24</v>
      </c>
      <c r="G229" s="290">
        <f t="shared" si="12"/>
        <v>0.9936303681993386</v>
      </c>
    </row>
    <row r="230" spans="1:7" s="36" customFormat="1" ht="15.75" customHeight="1">
      <c r="A230" s="51"/>
      <c r="B230" s="207">
        <v>80121</v>
      </c>
      <c r="C230" s="207" t="s">
        <v>254</v>
      </c>
      <c r="D230" s="209">
        <v>810000</v>
      </c>
      <c r="E230" s="209">
        <f>SUM(E231:E233)</f>
        <v>901931</v>
      </c>
      <c r="F230" s="262">
        <f>SUM(F231:F233)</f>
        <v>899811.19</v>
      </c>
      <c r="G230" s="211">
        <f t="shared" si="12"/>
        <v>0.9976496982585141</v>
      </c>
    </row>
    <row r="231" spans="1:7" s="6" customFormat="1" ht="18" customHeight="1">
      <c r="A231" s="62"/>
      <c r="B231" s="62"/>
      <c r="C231" s="282" t="s">
        <v>190</v>
      </c>
      <c r="D231" s="274">
        <v>614700</v>
      </c>
      <c r="E231" s="274">
        <v>681940</v>
      </c>
      <c r="F231" s="275">
        <v>681625.34</v>
      </c>
      <c r="G231" s="276">
        <f t="shared" si="12"/>
        <v>0.9995385811068422</v>
      </c>
    </row>
    <row r="232" spans="1:7" s="6" customFormat="1" ht="16.5" customHeight="1">
      <c r="A232" s="62"/>
      <c r="B232" s="62"/>
      <c r="C232" s="283" t="s">
        <v>191</v>
      </c>
      <c r="D232" s="284">
        <v>77500</v>
      </c>
      <c r="E232" s="284">
        <v>82916</v>
      </c>
      <c r="F232" s="285">
        <v>82128.98</v>
      </c>
      <c r="G232" s="286">
        <f t="shared" si="12"/>
        <v>0.9905082251917603</v>
      </c>
    </row>
    <row r="233" spans="1:7" s="6" customFormat="1" ht="16.5" customHeight="1">
      <c r="A233" s="62"/>
      <c r="B233" s="287"/>
      <c r="C233" s="293" t="s">
        <v>192</v>
      </c>
      <c r="D233" s="294">
        <v>117800</v>
      </c>
      <c r="E233" s="294">
        <v>137075</v>
      </c>
      <c r="F233" s="295">
        <v>136056.87</v>
      </c>
      <c r="G233" s="318">
        <f t="shared" si="12"/>
        <v>0.992572460331935</v>
      </c>
    </row>
    <row r="234" spans="1:7" s="36" customFormat="1" ht="17.25" customHeight="1">
      <c r="A234" s="51"/>
      <c r="B234" s="207">
        <v>80123</v>
      </c>
      <c r="C234" s="207" t="s">
        <v>48</v>
      </c>
      <c r="D234" s="209">
        <v>8592000</v>
      </c>
      <c r="E234" s="209">
        <f>SUM(E235:E239)-E237</f>
        <v>8761991</v>
      </c>
      <c r="F234" s="262">
        <f>SUM(F235:F239)-F237</f>
        <v>8747515.36</v>
      </c>
      <c r="G234" s="211">
        <f t="shared" si="12"/>
        <v>0.9983479051736072</v>
      </c>
    </row>
    <row r="235" spans="1:7" s="6" customFormat="1" ht="16.5" customHeight="1">
      <c r="A235" s="62"/>
      <c r="B235" s="62"/>
      <c r="C235" s="282" t="s">
        <v>190</v>
      </c>
      <c r="D235" s="274">
        <v>6249300</v>
      </c>
      <c r="E235" s="274">
        <v>6271807</v>
      </c>
      <c r="F235" s="275">
        <v>6271791.04</v>
      </c>
      <c r="G235" s="276">
        <v>0.9999</v>
      </c>
    </row>
    <row r="236" spans="1:7" s="6" customFormat="1" ht="17.25" customHeight="1">
      <c r="A236" s="62"/>
      <c r="B236" s="62"/>
      <c r="C236" s="283" t="s">
        <v>191</v>
      </c>
      <c r="D236" s="337">
        <v>635400</v>
      </c>
      <c r="E236" s="337">
        <v>729992</v>
      </c>
      <c r="F236" s="338">
        <v>728858.29</v>
      </c>
      <c r="G236" s="339">
        <f aca="true" t="shared" si="13" ref="G236:G253">F236/E236</f>
        <v>0.998446955583075</v>
      </c>
    </row>
    <row r="237" spans="1:7" s="102" customFormat="1" ht="16.5" customHeight="1">
      <c r="A237" s="263"/>
      <c r="B237" s="263"/>
      <c r="C237" s="303" t="s">
        <v>162</v>
      </c>
      <c r="D237" s="304"/>
      <c r="E237" s="304">
        <v>30000</v>
      </c>
      <c r="F237" s="305">
        <v>30000</v>
      </c>
      <c r="G237" s="306">
        <f t="shared" si="13"/>
        <v>1</v>
      </c>
    </row>
    <row r="238" spans="1:7" s="6" customFormat="1" ht="16.5" customHeight="1">
      <c r="A238" s="62"/>
      <c r="B238" s="62"/>
      <c r="C238" s="336" t="s">
        <v>192</v>
      </c>
      <c r="D238" s="337">
        <v>1267300</v>
      </c>
      <c r="E238" s="337">
        <v>1226120</v>
      </c>
      <c r="F238" s="338">
        <v>1215650.03</v>
      </c>
      <c r="G238" s="339">
        <f t="shared" si="13"/>
        <v>0.9914608928979219</v>
      </c>
    </row>
    <row r="239" spans="1:7" s="6" customFormat="1" ht="17.25" customHeight="1">
      <c r="A239" s="62"/>
      <c r="B239" s="287"/>
      <c r="C239" s="317" t="s">
        <v>49</v>
      </c>
      <c r="D239" s="294">
        <v>440000</v>
      </c>
      <c r="E239" s="294">
        <v>534072</v>
      </c>
      <c r="F239" s="295">
        <v>531216</v>
      </c>
      <c r="G239" s="318">
        <f t="shared" si="13"/>
        <v>0.9946524064171123</v>
      </c>
    </row>
    <row r="240" spans="1:7" s="36" customFormat="1" ht="18" customHeight="1">
      <c r="A240" s="51"/>
      <c r="B240" s="207">
        <v>80124</v>
      </c>
      <c r="C240" s="207" t="s">
        <v>255</v>
      </c>
      <c r="D240" s="209">
        <v>630000</v>
      </c>
      <c r="E240" s="209">
        <f>SUM(E241:E243)</f>
        <v>553500</v>
      </c>
      <c r="F240" s="262">
        <f>SUM(F241:F243)</f>
        <v>553325.57</v>
      </c>
      <c r="G240" s="211">
        <f t="shared" si="13"/>
        <v>0.999684859981933</v>
      </c>
    </row>
    <row r="241" spans="1:7" s="6" customFormat="1" ht="18.75" customHeight="1">
      <c r="A241" s="287"/>
      <c r="B241" s="287"/>
      <c r="C241" s="119" t="s">
        <v>190</v>
      </c>
      <c r="D241" s="121">
        <v>486700</v>
      </c>
      <c r="E241" s="121">
        <v>419200</v>
      </c>
      <c r="F241" s="264">
        <v>419034.72</v>
      </c>
      <c r="G241" s="134">
        <f t="shared" si="13"/>
        <v>0.9996057251908397</v>
      </c>
    </row>
    <row r="242" spans="1:7" s="6" customFormat="1" ht="18" customHeight="1">
      <c r="A242" s="62"/>
      <c r="B242" s="62"/>
      <c r="C242" s="62" t="s">
        <v>191</v>
      </c>
      <c r="D242" s="291">
        <v>49100</v>
      </c>
      <c r="E242" s="291">
        <v>49990</v>
      </c>
      <c r="F242" s="292">
        <v>49990</v>
      </c>
      <c r="G242" s="327">
        <f t="shared" si="13"/>
        <v>1</v>
      </c>
    </row>
    <row r="243" spans="1:7" s="6" customFormat="1" ht="18.75" customHeight="1">
      <c r="A243" s="62"/>
      <c r="B243" s="287"/>
      <c r="C243" s="293" t="s">
        <v>192</v>
      </c>
      <c r="D243" s="294">
        <v>94200</v>
      </c>
      <c r="E243" s="294">
        <v>84310</v>
      </c>
      <c r="F243" s="295">
        <v>84300.85</v>
      </c>
      <c r="G243" s="318">
        <f t="shared" si="13"/>
        <v>0.9998914719487606</v>
      </c>
    </row>
    <row r="244" spans="1:7" s="36" customFormat="1" ht="21" customHeight="1">
      <c r="A244" s="51"/>
      <c r="B244" s="52">
        <v>80130</v>
      </c>
      <c r="C244" s="52" t="s">
        <v>256</v>
      </c>
      <c r="D244" s="54">
        <v>49403000</v>
      </c>
      <c r="E244" s="54">
        <f>SUM(E245:E252)-E247</f>
        <v>47904102</v>
      </c>
      <c r="F244" s="319">
        <f>SUM(F245:F252)-F247</f>
        <v>47807909.96</v>
      </c>
      <c r="G244" s="320">
        <f t="shared" si="13"/>
        <v>0.9979919874085105</v>
      </c>
    </row>
    <row r="245" spans="1:7" s="6" customFormat="1" ht="19.5" customHeight="1">
      <c r="A245" s="62"/>
      <c r="B245" s="62"/>
      <c r="C245" s="282" t="s">
        <v>190</v>
      </c>
      <c r="D245" s="274">
        <v>24907700</v>
      </c>
      <c r="E245" s="274">
        <v>24649631</v>
      </c>
      <c r="F245" s="275">
        <v>24632853.51</v>
      </c>
      <c r="G245" s="276">
        <f t="shared" si="13"/>
        <v>0.9993193614135645</v>
      </c>
    </row>
    <row r="246" spans="1:7" s="6" customFormat="1" ht="21" customHeight="1">
      <c r="A246" s="62"/>
      <c r="B246" s="62"/>
      <c r="C246" s="283" t="s">
        <v>191</v>
      </c>
      <c r="D246" s="284">
        <v>4870900</v>
      </c>
      <c r="E246" s="284">
        <v>5362863</v>
      </c>
      <c r="F246" s="285">
        <v>5341642.02</v>
      </c>
      <c r="G246" s="286">
        <f t="shared" si="13"/>
        <v>0.996042975552424</v>
      </c>
    </row>
    <row r="247" spans="1:7" s="102" customFormat="1" ht="18.75" customHeight="1">
      <c r="A247" s="263"/>
      <c r="B247" s="263"/>
      <c r="C247" s="303" t="s">
        <v>162</v>
      </c>
      <c r="D247" s="304">
        <v>300000</v>
      </c>
      <c r="E247" s="304">
        <v>715880</v>
      </c>
      <c r="F247" s="305">
        <v>714286.1</v>
      </c>
      <c r="G247" s="306">
        <f t="shared" si="13"/>
        <v>0.9977735095267363</v>
      </c>
    </row>
    <row r="248" spans="1:7" s="6" customFormat="1" ht="19.5" customHeight="1">
      <c r="A248" s="62"/>
      <c r="B248" s="62"/>
      <c r="C248" s="336" t="s">
        <v>192</v>
      </c>
      <c r="D248" s="337">
        <v>4550100</v>
      </c>
      <c r="E248" s="337">
        <v>4659424</v>
      </c>
      <c r="F248" s="338">
        <v>4656962.8</v>
      </c>
      <c r="G248" s="339">
        <f t="shared" si="13"/>
        <v>0.9994717802028749</v>
      </c>
    </row>
    <row r="249" spans="1:7" s="6" customFormat="1" ht="21" customHeight="1">
      <c r="A249" s="62"/>
      <c r="B249" s="62"/>
      <c r="C249" s="283" t="s">
        <v>257</v>
      </c>
      <c r="D249" s="284">
        <v>5200000</v>
      </c>
      <c r="E249" s="284">
        <v>5938703</v>
      </c>
      <c r="F249" s="285">
        <v>5918067</v>
      </c>
      <c r="G249" s="286">
        <f t="shared" si="13"/>
        <v>0.9965251671955981</v>
      </c>
    </row>
    <row r="250" spans="1:7" s="6" customFormat="1" ht="21" customHeight="1">
      <c r="A250" s="62"/>
      <c r="B250" s="62"/>
      <c r="C250" s="336" t="s">
        <v>258</v>
      </c>
      <c r="D250" s="337"/>
      <c r="E250" s="337">
        <v>58500</v>
      </c>
      <c r="F250" s="338">
        <v>57146.73</v>
      </c>
      <c r="G250" s="339">
        <f t="shared" si="13"/>
        <v>0.9768671794871795</v>
      </c>
    </row>
    <row r="251" spans="1:7" s="6" customFormat="1" ht="21" customHeight="1">
      <c r="A251" s="62"/>
      <c r="B251" s="62"/>
      <c r="C251" s="283" t="s">
        <v>241</v>
      </c>
      <c r="D251" s="284"/>
      <c r="E251" s="284">
        <v>19791</v>
      </c>
      <c r="F251" s="285">
        <v>11896.84</v>
      </c>
      <c r="G251" s="286">
        <f t="shared" si="13"/>
        <v>0.6011237431155576</v>
      </c>
    </row>
    <row r="252" spans="1:7" s="6" customFormat="1" ht="19.5" customHeight="1">
      <c r="A252" s="62"/>
      <c r="B252" s="287"/>
      <c r="C252" s="287" t="s">
        <v>152</v>
      </c>
      <c r="D252" s="288">
        <v>9874300</v>
      </c>
      <c r="E252" s="288">
        <v>7215190</v>
      </c>
      <c r="F252" s="289">
        <v>7189341.06</v>
      </c>
      <c r="G252" s="290">
        <f t="shared" si="13"/>
        <v>0.9964174276768871</v>
      </c>
    </row>
    <row r="253" spans="1:7" s="36" customFormat="1" ht="19.5" customHeight="1">
      <c r="A253" s="51"/>
      <c r="B253" s="207">
        <v>80132</v>
      </c>
      <c r="C253" s="207" t="s">
        <v>259</v>
      </c>
      <c r="D253" s="209">
        <v>3650000</v>
      </c>
      <c r="E253" s="209">
        <f>E254+E255+E256+E257+E259</f>
        <v>3618400</v>
      </c>
      <c r="F253" s="262">
        <f>F254+F255+F256+F257+F259</f>
        <v>3610282.49</v>
      </c>
      <c r="G253" s="211">
        <f t="shared" si="13"/>
        <v>0.9977566023656865</v>
      </c>
    </row>
    <row r="254" spans="1:7" s="6" customFormat="1" ht="19.5" customHeight="1">
      <c r="A254" s="62"/>
      <c r="B254" s="62"/>
      <c r="C254" s="282" t="s">
        <v>190</v>
      </c>
      <c r="D254" s="274">
        <v>2801900</v>
      </c>
      <c r="E254" s="274">
        <v>2767300</v>
      </c>
      <c r="F254" s="275">
        <v>2767296.6</v>
      </c>
      <c r="G254" s="276">
        <v>0.9999</v>
      </c>
    </row>
    <row r="255" spans="1:7" s="6" customFormat="1" ht="19.5" customHeight="1">
      <c r="A255" s="62"/>
      <c r="B255" s="62"/>
      <c r="C255" s="283" t="s">
        <v>191</v>
      </c>
      <c r="D255" s="284">
        <v>279000</v>
      </c>
      <c r="E255" s="284">
        <v>257264</v>
      </c>
      <c r="F255" s="285">
        <v>257261.21</v>
      </c>
      <c r="G255" s="286">
        <v>0.9999</v>
      </c>
    </row>
    <row r="256" spans="1:7" s="6" customFormat="1" ht="19.5" customHeight="1">
      <c r="A256" s="62"/>
      <c r="B256" s="62"/>
      <c r="C256" s="371" t="s">
        <v>192</v>
      </c>
      <c r="D256" s="314">
        <v>569100</v>
      </c>
      <c r="E256" s="314">
        <v>540836</v>
      </c>
      <c r="F256" s="315">
        <v>540834.31</v>
      </c>
      <c r="G256" s="316">
        <v>0.9999</v>
      </c>
    </row>
    <row r="257" spans="1:7" s="6" customFormat="1" ht="19.5" customHeight="1">
      <c r="A257" s="62"/>
      <c r="B257" s="62"/>
      <c r="C257" s="302" t="s">
        <v>260</v>
      </c>
      <c r="D257" s="284"/>
      <c r="E257" s="284">
        <v>45000</v>
      </c>
      <c r="F257" s="285">
        <v>36919.13</v>
      </c>
      <c r="G257" s="286">
        <f>F257/E257</f>
        <v>0.820425111111111</v>
      </c>
    </row>
    <row r="258" spans="1:7" s="6" customFormat="1" ht="18.75" customHeight="1">
      <c r="A258" s="62"/>
      <c r="B258" s="62"/>
      <c r="C258" s="303" t="s">
        <v>146</v>
      </c>
      <c r="D258" s="304"/>
      <c r="E258" s="304">
        <f>800+7000+3000</f>
        <v>10800</v>
      </c>
      <c r="F258" s="305">
        <f>780+6600+2200</f>
        <v>9580</v>
      </c>
      <c r="G258" s="306">
        <f>F258/E258</f>
        <v>0.8870370370370371</v>
      </c>
    </row>
    <row r="259" spans="1:7" s="6" customFormat="1" ht="16.5" customHeight="1">
      <c r="A259" s="62"/>
      <c r="B259" s="287"/>
      <c r="C259" s="287" t="s">
        <v>152</v>
      </c>
      <c r="D259" s="288"/>
      <c r="E259" s="288">
        <v>8000</v>
      </c>
      <c r="F259" s="289">
        <v>7971.24</v>
      </c>
      <c r="G259" s="290">
        <f>F259/E259</f>
        <v>0.996405</v>
      </c>
    </row>
    <row r="260" spans="1:7" s="36" customFormat="1" ht="18" customHeight="1">
      <c r="A260" s="51"/>
      <c r="B260" s="207">
        <v>80134</v>
      </c>
      <c r="C260" s="207" t="s">
        <v>261</v>
      </c>
      <c r="D260" s="209">
        <v>5100000</v>
      </c>
      <c r="E260" s="209">
        <f>SUM(E261:E263)</f>
        <v>5265156</v>
      </c>
      <c r="F260" s="262">
        <f>SUM(F261:F263)</f>
        <v>5262345.03</v>
      </c>
      <c r="G260" s="211">
        <f>F260/E260</f>
        <v>0.9994661183828172</v>
      </c>
    </row>
    <row r="261" spans="1:7" s="6" customFormat="1" ht="19.5" customHeight="1">
      <c r="A261" s="62"/>
      <c r="B261" s="62"/>
      <c r="C261" s="282" t="s">
        <v>190</v>
      </c>
      <c r="D261" s="274">
        <v>3896200</v>
      </c>
      <c r="E261" s="274">
        <v>4000016</v>
      </c>
      <c r="F261" s="275">
        <v>4000014.55</v>
      </c>
      <c r="G261" s="276">
        <v>0.9999</v>
      </c>
    </row>
    <row r="262" spans="1:7" s="6" customFormat="1" ht="19.5" customHeight="1">
      <c r="A262" s="62"/>
      <c r="B262" s="62"/>
      <c r="C262" s="283" t="s">
        <v>191</v>
      </c>
      <c r="D262" s="284">
        <v>465600</v>
      </c>
      <c r="E262" s="284">
        <v>483100</v>
      </c>
      <c r="F262" s="285">
        <v>482285.94</v>
      </c>
      <c r="G262" s="286">
        <f>F262/E262</f>
        <v>0.9983149244462844</v>
      </c>
    </row>
    <row r="263" spans="1:7" s="6" customFormat="1" ht="19.5" customHeight="1">
      <c r="A263" s="62"/>
      <c r="B263" s="287"/>
      <c r="C263" s="293" t="s">
        <v>192</v>
      </c>
      <c r="D263" s="294">
        <v>738200</v>
      </c>
      <c r="E263" s="294">
        <v>782040</v>
      </c>
      <c r="F263" s="295">
        <v>780044.54</v>
      </c>
      <c r="G263" s="318">
        <f>F263/E263</f>
        <v>0.9974483913866299</v>
      </c>
    </row>
    <row r="264" spans="1:7" s="36" customFormat="1" ht="18.75" customHeight="1">
      <c r="A264" s="51"/>
      <c r="B264" s="207">
        <v>80140</v>
      </c>
      <c r="C264" s="208" t="s">
        <v>262</v>
      </c>
      <c r="D264" s="209">
        <v>10700000</v>
      </c>
      <c r="E264" s="209">
        <f>SUM(E265:E269)-E267</f>
        <v>10961966</v>
      </c>
      <c r="F264" s="262">
        <f>SUM(F265:F269)-F267</f>
        <v>10956980.79</v>
      </c>
      <c r="G264" s="211">
        <f>F264/E264</f>
        <v>0.999545226650037</v>
      </c>
    </row>
    <row r="265" spans="1:7" s="6" customFormat="1" ht="20.25" customHeight="1">
      <c r="A265" s="62"/>
      <c r="B265" s="91"/>
      <c r="C265" s="282" t="s">
        <v>190</v>
      </c>
      <c r="D265" s="274">
        <v>8095100</v>
      </c>
      <c r="E265" s="274">
        <v>8142560</v>
      </c>
      <c r="F265" s="275">
        <v>8142558.64</v>
      </c>
      <c r="G265" s="276">
        <v>0.9999</v>
      </c>
    </row>
    <row r="266" spans="1:7" s="6" customFormat="1" ht="19.5" customHeight="1">
      <c r="A266" s="62"/>
      <c r="B266" s="62"/>
      <c r="C266" s="283" t="s">
        <v>191</v>
      </c>
      <c r="D266" s="284">
        <v>1080200</v>
      </c>
      <c r="E266" s="284">
        <v>1244532</v>
      </c>
      <c r="F266" s="285">
        <v>1242019.14</v>
      </c>
      <c r="G266" s="286">
        <f>F266/E266</f>
        <v>0.9979808795595452</v>
      </c>
    </row>
    <row r="267" spans="1:7" s="102" customFormat="1" ht="19.5" customHeight="1">
      <c r="A267" s="263"/>
      <c r="B267" s="263"/>
      <c r="C267" s="114" t="s">
        <v>162</v>
      </c>
      <c r="D267" s="308"/>
      <c r="E267" s="308">
        <v>29000</v>
      </c>
      <c r="F267" s="309">
        <v>27521.08</v>
      </c>
      <c r="G267" s="310">
        <f>F267/E267</f>
        <v>0.9490027586206897</v>
      </c>
    </row>
    <row r="268" spans="1:7" s="6" customFormat="1" ht="19.5" customHeight="1">
      <c r="A268" s="62"/>
      <c r="B268" s="62"/>
      <c r="C268" s="336" t="s">
        <v>192</v>
      </c>
      <c r="D268" s="337">
        <v>1524700</v>
      </c>
      <c r="E268" s="337">
        <v>1561254</v>
      </c>
      <c r="F268" s="338">
        <v>1561251.92</v>
      </c>
      <c r="G268" s="339">
        <v>0.9999</v>
      </c>
    </row>
    <row r="269" spans="1:7" s="6" customFormat="1" ht="19.5" customHeight="1">
      <c r="A269" s="62"/>
      <c r="B269" s="287"/>
      <c r="C269" s="293" t="s">
        <v>241</v>
      </c>
      <c r="D269" s="294"/>
      <c r="E269" s="294">
        <v>13620</v>
      </c>
      <c r="F269" s="295">
        <v>11151.09</v>
      </c>
      <c r="G269" s="318">
        <f aca="true" t="shared" si="14" ref="G269:G300">F269/E269</f>
        <v>0.8187290748898679</v>
      </c>
    </row>
    <row r="270" spans="1:7" s="6" customFormat="1" ht="18" customHeight="1">
      <c r="A270" s="62"/>
      <c r="B270" s="207">
        <v>80145</v>
      </c>
      <c r="C270" s="207" t="s">
        <v>263</v>
      </c>
      <c r="D270" s="209">
        <v>50000</v>
      </c>
      <c r="E270" s="209">
        <f>E271</f>
        <v>10400</v>
      </c>
      <c r="F270" s="262">
        <f>F271</f>
        <v>10400</v>
      </c>
      <c r="G270" s="380">
        <f t="shared" si="14"/>
        <v>1</v>
      </c>
    </row>
    <row r="271" spans="1:7" s="6" customFormat="1" ht="19.5" customHeight="1">
      <c r="A271" s="287"/>
      <c r="B271" s="119"/>
      <c r="C271" s="120" t="s">
        <v>264</v>
      </c>
      <c r="D271" s="121">
        <v>50000</v>
      </c>
      <c r="E271" s="121">
        <v>10400</v>
      </c>
      <c r="F271" s="264">
        <v>10400</v>
      </c>
      <c r="G271" s="134">
        <f t="shared" si="14"/>
        <v>1</v>
      </c>
    </row>
    <row r="272" spans="1:7" s="6" customFormat="1" ht="20.25" customHeight="1">
      <c r="A272" s="91"/>
      <c r="B272" s="52">
        <v>80146</v>
      </c>
      <c r="C272" s="52" t="s">
        <v>265</v>
      </c>
      <c r="D272" s="54">
        <v>1630000</v>
      </c>
      <c r="E272" s="54">
        <f>E273</f>
        <v>1554211</v>
      </c>
      <c r="F272" s="319">
        <f>F273</f>
        <v>1457165.92</v>
      </c>
      <c r="G272" s="320">
        <f t="shared" si="14"/>
        <v>0.937559906602128</v>
      </c>
    </row>
    <row r="273" spans="1:7" s="6" customFormat="1" ht="19.5" customHeight="1">
      <c r="A273" s="62"/>
      <c r="B273" s="91"/>
      <c r="C273" s="273" t="s">
        <v>266</v>
      </c>
      <c r="D273" s="274">
        <v>1630000</v>
      </c>
      <c r="E273" s="274">
        <v>1554211</v>
      </c>
      <c r="F273" s="275">
        <v>1457165.92</v>
      </c>
      <c r="G273" s="276">
        <f t="shared" si="14"/>
        <v>0.937559906602128</v>
      </c>
    </row>
    <row r="274" spans="1:7" s="102" customFormat="1" ht="18" customHeight="1">
      <c r="A274" s="263"/>
      <c r="B274" s="297"/>
      <c r="C274" s="298" t="s">
        <v>146</v>
      </c>
      <c r="D274" s="299">
        <v>652000</v>
      </c>
      <c r="E274" s="299">
        <f>537833+80924</f>
        <v>618757</v>
      </c>
      <c r="F274" s="300">
        <f>526526.02+60778.04</f>
        <v>587304.06</v>
      </c>
      <c r="G274" s="307">
        <f t="shared" si="14"/>
        <v>0.9491675407308524</v>
      </c>
    </row>
    <row r="275" spans="1:7" s="36" customFormat="1" ht="19.5" customHeight="1">
      <c r="A275" s="51"/>
      <c r="B275" s="207">
        <v>80195</v>
      </c>
      <c r="C275" s="207" t="s">
        <v>13</v>
      </c>
      <c r="D275" s="209">
        <v>2873500</v>
      </c>
      <c r="E275" s="209">
        <f>E276+E277+E278+E281+E282+E279+E280</f>
        <v>2708578</v>
      </c>
      <c r="F275" s="262">
        <f>F276+F277+F278+F281+F282+F279+F280</f>
        <v>2694421.81</v>
      </c>
      <c r="G275" s="211">
        <f t="shared" si="14"/>
        <v>0.994773571224458</v>
      </c>
    </row>
    <row r="276" spans="1:7" s="6" customFormat="1" ht="19.5" customHeight="1">
      <c r="A276" s="62"/>
      <c r="B276" s="62"/>
      <c r="C276" s="273" t="s">
        <v>267</v>
      </c>
      <c r="D276" s="274">
        <v>11000</v>
      </c>
      <c r="E276" s="274">
        <v>11000</v>
      </c>
      <c r="F276" s="275">
        <v>10841.01</v>
      </c>
      <c r="G276" s="276">
        <f t="shared" si="14"/>
        <v>0.9855463636363636</v>
      </c>
    </row>
    <row r="277" spans="1:7" s="6" customFormat="1" ht="19.5" customHeight="1">
      <c r="A277" s="62"/>
      <c r="B277" s="62"/>
      <c r="C277" s="302" t="s">
        <v>268</v>
      </c>
      <c r="D277" s="284">
        <v>15000</v>
      </c>
      <c r="E277" s="284">
        <v>9000</v>
      </c>
      <c r="F277" s="285">
        <v>8506.36</v>
      </c>
      <c r="G277" s="286">
        <f t="shared" si="14"/>
        <v>0.9451511111111112</v>
      </c>
    </row>
    <row r="278" spans="1:7" s="6" customFormat="1" ht="19.5" customHeight="1">
      <c r="A278" s="62"/>
      <c r="B278" s="62"/>
      <c r="C278" s="302" t="s">
        <v>269</v>
      </c>
      <c r="D278" s="284"/>
      <c r="E278" s="284">
        <v>23114</v>
      </c>
      <c r="F278" s="285">
        <v>23114</v>
      </c>
      <c r="G278" s="286">
        <f t="shared" si="14"/>
        <v>1</v>
      </c>
    </row>
    <row r="279" spans="1:7" s="6" customFormat="1" ht="18.75" customHeight="1">
      <c r="A279" s="62"/>
      <c r="B279" s="62"/>
      <c r="C279" s="313" t="s">
        <v>270</v>
      </c>
      <c r="D279" s="314"/>
      <c r="E279" s="314">
        <v>35855</v>
      </c>
      <c r="F279" s="315">
        <v>35854.44</v>
      </c>
      <c r="G279" s="286">
        <f t="shared" si="14"/>
        <v>0.9999843815367453</v>
      </c>
    </row>
    <row r="280" spans="1:7" s="6" customFormat="1" ht="17.25" customHeight="1">
      <c r="A280" s="62"/>
      <c r="B280" s="62"/>
      <c r="C280" s="313" t="s">
        <v>271</v>
      </c>
      <c r="D280" s="314"/>
      <c r="E280" s="314">
        <v>25200</v>
      </c>
      <c r="F280" s="315">
        <v>25200</v>
      </c>
      <c r="G280" s="286">
        <f t="shared" si="14"/>
        <v>1</v>
      </c>
    </row>
    <row r="281" spans="1:7" s="6" customFormat="1" ht="19.5" customHeight="1">
      <c r="A281" s="62"/>
      <c r="B281" s="62"/>
      <c r="C281" s="302" t="s">
        <v>272</v>
      </c>
      <c r="D281" s="284">
        <v>2567500</v>
      </c>
      <c r="E281" s="284">
        <v>2491110</v>
      </c>
      <c r="F281" s="285">
        <v>2491110</v>
      </c>
      <c r="G281" s="286">
        <f t="shared" si="14"/>
        <v>1</v>
      </c>
    </row>
    <row r="282" spans="1:7" s="6" customFormat="1" ht="19.5" customHeight="1">
      <c r="A282" s="62"/>
      <c r="B282" s="287"/>
      <c r="C282" s="287" t="s">
        <v>152</v>
      </c>
      <c r="D282" s="288">
        <v>280000</v>
      </c>
      <c r="E282" s="288">
        <v>113299</v>
      </c>
      <c r="F282" s="289">
        <v>99796</v>
      </c>
      <c r="G282" s="290">
        <f t="shared" si="14"/>
        <v>0.8808197777562026</v>
      </c>
    </row>
    <row r="283" spans="1:7" s="36" customFormat="1" ht="19.5" customHeight="1">
      <c r="A283" s="51"/>
      <c r="B283" s="207">
        <v>80197</v>
      </c>
      <c r="C283" s="207" t="s">
        <v>273</v>
      </c>
      <c r="D283" s="209">
        <v>95000</v>
      </c>
      <c r="E283" s="209">
        <f>E284</f>
        <v>95000</v>
      </c>
      <c r="F283" s="262">
        <f>F284</f>
        <v>88550</v>
      </c>
      <c r="G283" s="211">
        <f t="shared" si="14"/>
        <v>0.9321052631578948</v>
      </c>
    </row>
    <row r="284" spans="1:7" s="6" customFormat="1" ht="20.25" customHeight="1">
      <c r="A284" s="287"/>
      <c r="B284" s="119"/>
      <c r="C284" s="120" t="s">
        <v>274</v>
      </c>
      <c r="D284" s="288">
        <v>95000</v>
      </c>
      <c r="E284" s="288">
        <v>95000</v>
      </c>
      <c r="F284" s="289">
        <v>88550</v>
      </c>
      <c r="G284" s="290">
        <f t="shared" si="14"/>
        <v>0.9321052631578948</v>
      </c>
    </row>
    <row r="285" spans="1:7" s="6" customFormat="1" ht="19.5" customHeight="1" thickBot="1">
      <c r="A285" s="212">
        <v>851</v>
      </c>
      <c r="B285" s="212"/>
      <c r="C285" s="212" t="s">
        <v>19</v>
      </c>
      <c r="D285" s="225">
        <v>6260000</v>
      </c>
      <c r="E285" s="225">
        <f>E286+E291+E294+E297+E301</f>
        <v>6195000</v>
      </c>
      <c r="F285" s="266">
        <f>F286+F291+F294+F297+F301</f>
        <v>5686300.8</v>
      </c>
      <c r="G285" s="227">
        <f t="shared" si="14"/>
        <v>0.9178855205811137</v>
      </c>
    </row>
    <row r="286" spans="1:7" s="36" customFormat="1" ht="19.5" customHeight="1">
      <c r="A286" s="51"/>
      <c r="B286" s="207">
        <v>85121</v>
      </c>
      <c r="C286" s="207" t="s">
        <v>275</v>
      </c>
      <c r="D286" s="209">
        <v>1020000</v>
      </c>
      <c r="E286" s="209">
        <f>SUM(E287:E290)-E288</f>
        <v>1003500</v>
      </c>
      <c r="F286" s="262">
        <f>SUM(F287:F290)-F288</f>
        <v>829971.67</v>
      </c>
      <c r="G286" s="211">
        <f t="shared" si="14"/>
        <v>0.8270769008470354</v>
      </c>
    </row>
    <row r="287" spans="1:7" s="6" customFormat="1" ht="19.5" customHeight="1">
      <c r="A287" s="62"/>
      <c r="B287" s="62"/>
      <c r="C287" s="282" t="s">
        <v>276</v>
      </c>
      <c r="D287" s="274">
        <v>800000</v>
      </c>
      <c r="E287" s="274">
        <v>783500</v>
      </c>
      <c r="F287" s="275">
        <v>739927.6</v>
      </c>
      <c r="G287" s="296">
        <f t="shared" si="14"/>
        <v>0.9443874920229738</v>
      </c>
    </row>
    <row r="288" spans="1:7" s="102" customFormat="1" ht="18" customHeight="1">
      <c r="A288" s="263"/>
      <c r="B288" s="263"/>
      <c r="C288" s="107" t="s">
        <v>146</v>
      </c>
      <c r="D288" s="106"/>
      <c r="E288" s="106">
        <v>10000</v>
      </c>
      <c r="F288" s="374">
        <v>6000</v>
      </c>
      <c r="G288" s="375">
        <f t="shared" si="14"/>
        <v>0.6</v>
      </c>
    </row>
    <row r="289" spans="1:7" s="6" customFormat="1" ht="19.5" customHeight="1">
      <c r="A289" s="62"/>
      <c r="B289" s="62"/>
      <c r="C289" s="340" t="s">
        <v>277</v>
      </c>
      <c r="D289" s="337">
        <v>100000</v>
      </c>
      <c r="E289" s="337">
        <v>100000</v>
      </c>
      <c r="F289" s="338">
        <v>37649.27</v>
      </c>
      <c r="G289" s="339">
        <f t="shared" si="14"/>
        <v>0.37649269999999996</v>
      </c>
    </row>
    <row r="290" spans="1:7" s="6" customFormat="1" ht="19.5" customHeight="1">
      <c r="A290" s="62"/>
      <c r="B290" s="287"/>
      <c r="C290" s="287" t="s">
        <v>152</v>
      </c>
      <c r="D290" s="288">
        <v>120000</v>
      </c>
      <c r="E290" s="288">
        <v>120000</v>
      </c>
      <c r="F290" s="289">
        <v>52394.8</v>
      </c>
      <c r="G290" s="290">
        <f t="shared" si="14"/>
        <v>0.43662333333333336</v>
      </c>
    </row>
    <row r="291" spans="1:7" s="36" customFormat="1" ht="19.5" customHeight="1">
      <c r="A291" s="51"/>
      <c r="B291" s="207">
        <v>85149</v>
      </c>
      <c r="C291" s="207" t="s">
        <v>278</v>
      </c>
      <c r="D291" s="209">
        <v>200000</v>
      </c>
      <c r="E291" s="209">
        <f>E292</f>
        <v>216500</v>
      </c>
      <c r="F291" s="262">
        <f>F292</f>
        <v>113874.81</v>
      </c>
      <c r="G291" s="320">
        <f t="shared" si="14"/>
        <v>0.5259806466512702</v>
      </c>
    </row>
    <row r="292" spans="1:7" s="6" customFormat="1" ht="19.5" customHeight="1">
      <c r="A292" s="62"/>
      <c r="B292" s="91"/>
      <c r="C292" s="282" t="s">
        <v>279</v>
      </c>
      <c r="D292" s="274">
        <v>200000</v>
      </c>
      <c r="E292" s="274">
        <v>216500</v>
      </c>
      <c r="F292" s="275">
        <v>113874.81</v>
      </c>
      <c r="G292" s="276">
        <f t="shared" si="14"/>
        <v>0.5259806466512702</v>
      </c>
    </row>
    <row r="293" spans="1:7" s="6" customFormat="1" ht="18" customHeight="1">
      <c r="A293" s="62"/>
      <c r="B293" s="287"/>
      <c r="C293" s="297" t="s">
        <v>146</v>
      </c>
      <c r="D293" s="299"/>
      <c r="E293" s="299">
        <v>12200</v>
      </c>
      <c r="F293" s="300">
        <v>12162</v>
      </c>
      <c r="G293" s="307">
        <f t="shared" si="14"/>
        <v>0.9968852459016393</v>
      </c>
    </row>
    <row r="294" spans="1:7" s="36" customFormat="1" ht="19.5" customHeight="1">
      <c r="A294" s="51"/>
      <c r="B294" s="207">
        <v>85153</v>
      </c>
      <c r="C294" s="52" t="s">
        <v>21</v>
      </c>
      <c r="D294" s="54">
        <v>250000</v>
      </c>
      <c r="E294" s="54">
        <f>E295</f>
        <v>250000</v>
      </c>
      <c r="F294" s="319">
        <f>F295</f>
        <v>246714.72</v>
      </c>
      <c r="G294" s="320">
        <f t="shared" si="14"/>
        <v>0.98685888</v>
      </c>
    </row>
    <row r="295" spans="1:7" s="6" customFormat="1" ht="19.5" customHeight="1">
      <c r="A295" s="62"/>
      <c r="B295" s="91"/>
      <c r="C295" s="273" t="s">
        <v>280</v>
      </c>
      <c r="D295" s="274">
        <v>250000</v>
      </c>
      <c r="E295" s="274">
        <v>250000</v>
      </c>
      <c r="F295" s="275">
        <v>246714.72</v>
      </c>
      <c r="G295" s="276">
        <f t="shared" si="14"/>
        <v>0.98685888</v>
      </c>
    </row>
    <row r="296" spans="1:7" s="102" customFormat="1" ht="17.25" customHeight="1">
      <c r="A296" s="263"/>
      <c r="B296" s="297"/>
      <c r="C296" s="298" t="s">
        <v>146</v>
      </c>
      <c r="D296" s="299">
        <v>12090</v>
      </c>
      <c r="E296" s="299">
        <v>82360</v>
      </c>
      <c r="F296" s="300">
        <f>12000+69566.02+503.5</f>
        <v>82069.52</v>
      </c>
      <c r="G296" s="307">
        <f t="shared" si="14"/>
        <v>0.9964730451675571</v>
      </c>
    </row>
    <row r="297" spans="1:7" s="36" customFormat="1" ht="18.75" customHeight="1">
      <c r="A297" s="51"/>
      <c r="B297" s="207">
        <v>85154</v>
      </c>
      <c r="C297" s="207" t="s">
        <v>20</v>
      </c>
      <c r="D297" s="209">
        <v>4370000</v>
      </c>
      <c r="E297" s="209">
        <f>E298</f>
        <v>4305000</v>
      </c>
      <c r="F297" s="262">
        <f>F298</f>
        <v>4076007.05</v>
      </c>
      <c r="G297" s="211">
        <f t="shared" si="14"/>
        <v>0.9468076771196283</v>
      </c>
    </row>
    <row r="298" spans="1:7" s="6" customFormat="1" ht="29.25" customHeight="1">
      <c r="A298" s="62"/>
      <c r="B298" s="91"/>
      <c r="C298" s="273" t="s">
        <v>281</v>
      </c>
      <c r="D298" s="274">
        <v>4370000</v>
      </c>
      <c r="E298" s="274">
        <v>4305000</v>
      </c>
      <c r="F298" s="275">
        <v>4076007.05</v>
      </c>
      <c r="G298" s="276">
        <f t="shared" si="14"/>
        <v>0.9468076771196283</v>
      </c>
    </row>
    <row r="299" spans="1:7" s="102" customFormat="1" ht="18" customHeight="1">
      <c r="A299" s="263"/>
      <c r="B299" s="263"/>
      <c r="C299" s="303" t="s">
        <v>146</v>
      </c>
      <c r="D299" s="304">
        <v>710000</v>
      </c>
      <c r="E299" s="304">
        <v>887420</v>
      </c>
      <c r="F299" s="305">
        <f>15223.99+189157.07+75000+348254.64+183893.4+4976</f>
        <v>816505.1</v>
      </c>
      <c r="G299" s="306">
        <f t="shared" si="14"/>
        <v>0.9200886840503932</v>
      </c>
    </row>
    <row r="300" spans="1:7" s="102" customFormat="1" ht="18" customHeight="1">
      <c r="A300" s="297"/>
      <c r="B300" s="297"/>
      <c r="C300" s="311" t="s">
        <v>164</v>
      </c>
      <c r="D300" s="344">
        <f>700000+65000</f>
        <v>765000</v>
      </c>
      <c r="E300" s="344">
        <v>853803</v>
      </c>
      <c r="F300" s="345">
        <f>79955.12+698150+50727.8</f>
        <v>828832.92</v>
      </c>
      <c r="G300" s="359">
        <f t="shared" si="14"/>
        <v>0.9707542840678705</v>
      </c>
    </row>
    <row r="301" spans="1:7" s="36" customFormat="1" ht="19.5" customHeight="1">
      <c r="A301" s="381"/>
      <c r="B301" s="52">
        <v>85195</v>
      </c>
      <c r="C301" s="52" t="s">
        <v>13</v>
      </c>
      <c r="D301" s="54">
        <v>420000</v>
      </c>
      <c r="E301" s="54">
        <f>E302+E305</f>
        <v>420000</v>
      </c>
      <c r="F301" s="319">
        <f>F302+F305</f>
        <v>419732.55</v>
      </c>
      <c r="G301" s="320">
        <f aca="true" t="shared" si="15" ref="G301:G325">F301/E301</f>
        <v>0.9993632142857143</v>
      </c>
    </row>
    <row r="302" spans="1:7" s="6" customFormat="1" ht="19.5" customHeight="1">
      <c r="A302" s="62"/>
      <c r="B302" s="62"/>
      <c r="C302" s="313" t="s">
        <v>282</v>
      </c>
      <c r="D302" s="314">
        <v>400000</v>
      </c>
      <c r="E302" s="314">
        <v>400000</v>
      </c>
      <c r="F302" s="315">
        <v>399732.55</v>
      </c>
      <c r="G302" s="316">
        <f t="shared" si="15"/>
        <v>0.999331375</v>
      </c>
    </row>
    <row r="303" spans="1:7" s="102" customFormat="1" ht="18" customHeight="1">
      <c r="A303" s="263"/>
      <c r="B303" s="263"/>
      <c r="C303" s="303" t="s">
        <v>146</v>
      </c>
      <c r="D303" s="304">
        <v>7000</v>
      </c>
      <c r="E303" s="304">
        <v>26702</v>
      </c>
      <c r="F303" s="305">
        <f>11750+4052.2+7968+1600+1326.4</f>
        <v>26696.600000000002</v>
      </c>
      <c r="G303" s="306">
        <f t="shared" si="15"/>
        <v>0.9997977679574565</v>
      </c>
    </row>
    <row r="304" spans="1:7" s="102" customFormat="1" ht="18" customHeight="1">
      <c r="A304" s="263"/>
      <c r="B304" s="263"/>
      <c r="C304" s="112" t="s">
        <v>164</v>
      </c>
      <c r="D304" s="322"/>
      <c r="E304" s="322">
        <f>8000+6000+15000</f>
        <v>29000</v>
      </c>
      <c r="F304" s="323">
        <f>7994.53+6000+15000</f>
        <v>28994.53</v>
      </c>
      <c r="G304" s="324">
        <f t="shared" si="15"/>
        <v>0.9998113793103448</v>
      </c>
    </row>
    <row r="305" spans="1:7" s="6" customFormat="1" ht="19.5" customHeight="1">
      <c r="A305" s="287"/>
      <c r="B305" s="287"/>
      <c r="C305" s="287" t="s">
        <v>283</v>
      </c>
      <c r="D305" s="288">
        <v>20000</v>
      </c>
      <c r="E305" s="288">
        <v>20000</v>
      </c>
      <c r="F305" s="289">
        <v>20000</v>
      </c>
      <c r="G305" s="290">
        <f t="shared" si="15"/>
        <v>1</v>
      </c>
    </row>
    <row r="306" spans="1:10" s="6" customFormat="1" ht="19.5" customHeight="1" thickBot="1">
      <c r="A306" s="212">
        <v>852</v>
      </c>
      <c r="B306" s="212"/>
      <c r="C306" s="212" t="s">
        <v>54</v>
      </c>
      <c r="D306" s="225">
        <v>91697995</v>
      </c>
      <c r="E306" s="225">
        <f>E307+E315+E324+E330+E333+E335+E337+E349+E363+E367+E376+E374+E369</f>
        <v>100146862</v>
      </c>
      <c r="F306" s="266">
        <f>F307+F315+F324+F330+F333+F335+F337+F349+F363+F367+F376+F374+F369</f>
        <v>96528529.05000001</v>
      </c>
      <c r="G306" s="227">
        <f t="shared" si="15"/>
        <v>0.9638697321339935</v>
      </c>
      <c r="H306" s="248"/>
      <c r="J306" s="248"/>
    </row>
    <row r="307" spans="1:10" s="6" customFormat="1" ht="19.5" customHeight="1">
      <c r="A307" s="62"/>
      <c r="B307" s="207">
        <v>85201</v>
      </c>
      <c r="C307" s="207" t="s">
        <v>284</v>
      </c>
      <c r="D307" s="209">
        <v>10549300</v>
      </c>
      <c r="E307" s="209">
        <f>SUM(E308:E314)-E310</f>
        <v>12531625</v>
      </c>
      <c r="F307" s="262">
        <f>SUM(F308:F314)-F310</f>
        <v>11898061.539999997</v>
      </c>
      <c r="G307" s="211">
        <f t="shared" si="15"/>
        <v>0.9494428328329325</v>
      </c>
      <c r="H307" s="248"/>
      <c r="J307" s="248"/>
    </row>
    <row r="308" spans="1:7" s="6" customFormat="1" ht="18.75" customHeight="1">
      <c r="A308" s="62"/>
      <c r="B308" s="51"/>
      <c r="C308" s="282" t="s">
        <v>190</v>
      </c>
      <c r="D308" s="274">
        <v>3490700</v>
      </c>
      <c r="E308" s="274">
        <v>3610971</v>
      </c>
      <c r="F308" s="275">
        <v>3374877.98</v>
      </c>
      <c r="G308" s="276">
        <f t="shared" si="15"/>
        <v>0.9346178576344146</v>
      </c>
    </row>
    <row r="309" spans="1:7" s="6" customFormat="1" ht="18.75" customHeight="1">
      <c r="A309" s="62"/>
      <c r="B309" s="51"/>
      <c r="C309" s="283" t="s">
        <v>191</v>
      </c>
      <c r="D309" s="284">
        <v>1701600</v>
      </c>
      <c r="E309" s="284">
        <v>1763388</v>
      </c>
      <c r="F309" s="285">
        <v>1675047.4</v>
      </c>
      <c r="G309" s="286">
        <f t="shared" si="15"/>
        <v>0.9499029141629635</v>
      </c>
    </row>
    <row r="310" spans="1:7" s="102" customFormat="1" ht="18" customHeight="1">
      <c r="A310" s="263"/>
      <c r="B310" s="263"/>
      <c r="C310" s="303" t="s">
        <v>162</v>
      </c>
      <c r="D310" s="304">
        <v>25000</v>
      </c>
      <c r="E310" s="304">
        <f>10000+8999</f>
        <v>18999</v>
      </c>
      <c r="F310" s="305">
        <v>18800.56</v>
      </c>
      <c r="G310" s="306">
        <f t="shared" si="15"/>
        <v>0.9895552397494606</v>
      </c>
    </row>
    <row r="311" spans="1:7" s="6" customFormat="1" ht="19.5" customHeight="1">
      <c r="A311" s="62"/>
      <c r="B311" s="62"/>
      <c r="C311" s="62" t="s">
        <v>192</v>
      </c>
      <c r="D311" s="291">
        <v>677000</v>
      </c>
      <c r="E311" s="291">
        <v>696592</v>
      </c>
      <c r="F311" s="292">
        <v>644716.39</v>
      </c>
      <c r="G311" s="327">
        <f t="shared" si="15"/>
        <v>0.9255294203780693</v>
      </c>
    </row>
    <row r="312" spans="1:7" s="6" customFormat="1" ht="19.5" customHeight="1">
      <c r="A312" s="62"/>
      <c r="B312" s="62"/>
      <c r="C312" s="302" t="s">
        <v>56</v>
      </c>
      <c r="D312" s="284">
        <v>1400000</v>
      </c>
      <c r="E312" s="284">
        <v>1410000</v>
      </c>
      <c r="F312" s="285">
        <v>1398558.49</v>
      </c>
      <c r="G312" s="286">
        <f t="shared" si="15"/>
        <v>0.9918854539007093</v>
      </c>
    </row>
    <row r="313" spans="1:7" s="6" customFormat="1" ht="27.75" customHeight="1">
      <c r="A313" s="62"/>
      <c r="B313" s="62"/>
      <c r="C313" s="302" t="s">
        <v>285</v>
      </c>
      <c r="D313" s="314">
        <v>2300000</v>
      </c>
      <c r="E313" s="314">
        <v>2720000</v>
      </c>
      <c r="F313" s="315">
        <v>2617347.42</v>
      </c>
      <c r="G313" s="316">
        <f t="shared" si="15"/>
        <v>0.9622600808823529</v>
      </c>
    </row>
    <row r="314" spans="1:7" s="6" customFormat="1" ht="18.75" customHeight="1">
      <c r="A314" s="62"/>
      <c r="B314" s="287"/>
      <c r="C314" s="293" t="s">
        <v>152</v>
      </c>
      <c r="D314" s="294">
        <v>980000</v>
      </c>
      <c r="E314" s="294">
        <v>2330674</v>
      </c>
      <c r="F314" s="295">
        <v>2187513.86</v>
      </c>
      <c r="G314" s="318">
        <f t="shared" si="15"/>
        <v>0.9385756480743338</v>
      </c>
    </row>
    <row r="315" spans="1:7" s="6" customFormat="1" ht="17.25" customHeight="1">
      <c r="A315" s="62"/>
      <c r="B315" s="207">
        <v>85202</v>
      </c>
      <c r="C315" s="207" t="s">
        <v>57</v>
      </c>
      <c r="D315" s="209">
        <v>16846695</v>
      </c>
      <c r="E315" s="209">
        <f>SUM(E316:E323)-E318</f>
        <v>19557501</v>
      </c>
      <c r="F315" s="262">
        <f>SUM(F316:F323)-F318</f>
        <v>19235229.2</v>
      </c>
      <c r="G315" s="211">
        <f t="shared" si="15"/>
        <v>0.983521831342358</v>
      </c>
    </row>
    <row r="316" spans="1:7" s="6" customFormat="1" ht="19.5" customHeight="1">
      <c r="A316" s="62"/>
      <c r="B316" s="62"/>
      <c r="C316" s="282" t="s">
        <v>190</v>
      </c>
      <c r="D316" s="274">
        <v>8027500</v>
      </c>
      <c r="E316" s="274">
        <v>8057500</v>
      </c>
      <c r="F316" s="275">
        <v>8057088.45</v>
      </c>
      <c r="G316" s="276">
        <f t="shared" si="15"/>
        <v>0.9999489233633261</v>
      </c>
    </row>
    <row r="317" spans="1:7" s="6" customFormat="1" ht="19.5" customHeight="1">
      <c r="A317" s="62"/>
      <c r="B317" s="51"/>
      <c r="C317" s="283" t="s">
        <v>191</v>
      </c>
      <c r="D317" s="284">
        <v>3684000</v>
      </c>
      <c r="E317" s="284">
        <v>3872494</v>
      </c>
      <c r="F317" s="285">
        <v>3870983.63</v>
      </c>
      <c r="G317" s="286">
        <f t="shared" si="15"/>
        <v>0.9996099748637441</v>
      </c>
    </row>
    <row r="318" spans="1:7" s="102" customFormat="1" ht="18" customHeight="1">
      <c r="A318" s="263"/>
      <c r="B318" s="263"/>
      <c r="C318" s="303" t="s">
        <v>162</v>
      </c>
      <c r="D318" s="304">
        <v>70000</v>
      </c>
      <c r="E318" s="304">
        <v>80000</v>
      </c>
      <c r="F318" s="305">
        <v>79911.53</v>
      </c>
      <c r="G318" s="306">
        <f t="shared" si="15"/>
        <v>0.998894125</v>
      </c>
    </row>
    <row r="319" spans="1:7" s="6" customFormat="1" ht="19.5" customHeight="1">
      <c r="A319" s="62"/>
      <c r="B319" s="62"/>
      <c r="C319" s="62" t="s">
        <v>192</v>
      </c>
      <c r="D319" s="291">
        <v>1561200</v>
      </c>
      <c r="E319" s="291">
        <v>1547118</v>
      </c>
      <c r="F319" s="292">
        <v>1546924.41</v>
      </c>
      <c r="G319" s="327">
        <f t="shared" si="15"/>
        <v>0.9998748705657874</v>
      </c>
    </row>
    <row r="320" spans="1:7" s="6" customFormat="1" ht="19.5" customHeight="1">
      <c r="A320" s="62"/>
      <c r="B320" s="62"/>
      <c r="C320" s="302" t="s">
        <v>286</v>
      </c>
      <c r="D320" s="284">
        <v>340000</v>
      </c>
      <c r="E320" s="284">
        <v>340000</v>
      </c>
      <c r="F320" s="285">
        <v>340000</v>
      </c>
      <c r="G320" s="286">
        <f t="shared" si="15"/>
        <v>1</v>
      </c>
    </row>
    <row r="321" spans="1:7" s="6" customFormat="1" ht="19.5" customHeight="1">
      <c r="A321" s="62"/>
      <c r="B321" s="62"/>
      <c r="C321" s="313" t="s">
        <v>637</v>
      </c>
      <c r="D321" s="314">
        <v>600000</v>
      </c>
      <c r="E321" s="314">
        <v>920000</v>
      </c>
      <c r="F321" s="315">
        <v>827581.97</v>
      </c>
      <c r="G321" s="316">
        <f t="shared" si="15"/>
        <v>0.8995456195652174</v>
      </c>
    </row>
    <row r="322" spans="1:7" s="6" customFormat="1" ht="19.5" customHeight="1">
      <c r="A322" s="62"/>
      <c r="B322" s="62"/>
      <c r="C322" s="313" t="s">
        <v>638</v>
      </c>
      <c r="D322" s="314"/>
      <c r="E322" s="314">
        <v>788200</v>
      </c>
      <c r="F322" s="315">
        <v>731080</v>
      </c>
      <c r="G322" s="316">
        <f t="shared" si="15"/>
        <v>0.9275310834813499</v>
      </c>
    </row>
    <row r="323" spans="1:7" s="6" customFormat="1" ht="19.5" customHeight="1">
      <c r="A323" s="62"/>
      <c r="B323" s="287"/>
      <c r="C323" s="293" t="s">
        <v>152</v>
      </c>
      <c r="D323" s="294">
        <v>2633995</v>
      </c>
      <c r="E323" s="294">
        <v>4032189</v>
      </c>
      <c r="F323" s="295">
        <v>3861570.74</v>
      </c>
      <c r="G323" s="318">
        <f t="shared" si="15"/>
        <v>0.9576859467648963</v>
      </c>
    </row>
    <row r="324" spans="1:7" s="6" customFormat="1" ht="21" customHeight="1">
      <c r="A324" s="62"/>
      <c r="B324" s="207">
        <v>85203</v>
      </c>
      <c r="C324" s="207" t="s">
        <v>59</v>
      </c>
      <c r="D324" s="209">
        <v>2911000</v>
      </c>
      <c r="E324" s="209">
        <f>SUM(E325:E329)</f>
        <v>3038800</v>
      </c>
      <c r="F324" s="262">
        <f>SUM(F325:F329)</f>
        <v>3028693.31</v>
      </c>
      <c r="G324" s="211">
        <f t="shared" si="15"/>
        <v>0.9966741180729235</v>
      </c>
    </row>
    <row r="325" spans="1:7" s="6" customFormat="1" ht="19.5" customHeight="1">
      <c r="A325" s="62"/>
      <c r="B325" s="62"/>
      <c r="C325" s="282" t="s">
        <v>190</v>
      </c>
      <c r="D325" s="274">
        <v>1749600</v>
      </c>
      <c r="E325" s="274">
        <v>1755260</v>
      </c>
      <c r="F325" s="275">
        <v>1755260</v>
      </c>
      <c r="G325" s="276">
        <f t="shared" si="15"/>
        <v>1</v>
      </c>
    </row>
    <row r="326" spans="1:7" s="6" customFormat="1" ht="19.5" customHeight="1">
      <c r="A326" s="62"/>
      <c r="B326" s="51"/>
      <c r="C326" s="283" t="s">
        <v>191</v>
      </c>
      <c r="D326" s="284">
        <v>363900</v>
      </c>
      <c r="E326" s="284">
        <v>394175</v>
      </c>
      <c r="F326" s="285">
        <v>394169.87</v>
      </c>
      <c r="G326" s="286">
        <v>0.9999</v>
      </c>
    </row>
    <row r="327" spans="1:7" s="6" customFormat="1" ht="19.5" customHeight="1">
      <c r="A327" s="62"/>
      <c r="B327" s="62"/>
      <c r="C327" s="283" t="s">
        <v>192</v>
      </c>
      <c r="D327" s="284">
        <v>347500</v>
      </c>
      <c r="E327" s="284">
        <v>333365</v>
      </c>
      <c r="F327" s="285">
        <v>333363.44</v>
      </c>
      <c r="G327" s="286">
        <v>0.9999</v>
      </c>
    </row>
    <row r="328" spans="1:7" s="6" customFormat="1" ht="19.5" customHeight="1">
      <c r="A328" s="62"/>
      <c r="B328" s="62"/>
      <c r="C328" s="313" t="s">
        <v>639</v>
      </c>
      <c r="D328" s="314">
        <v>450000</v>
      </c>
      <c r="E328" s="314">
        <v>450000</v>
      </c>
      <c r="F328" s="315">
        <v>450000</v>
      </c>
      <c r="G328" s="316">
        <f aca="true" t="shared" si="16" ref="G328:G359">F328/E328</f>
        <v>1</v>
      </c>
    </row>
    <row r="329" spans="1:7" s="6" customFormat="1" ht="19.5" customHeight="1">
      <c r="A329" s="287"/>
      <c r="B329" s="287"/>
      <c r="C329" s="317" t="s">
        <v>638</v>
      </c>
      <c r="D329" s="294"/>
      <c r="E329" s="294">
        <v>106000</v>
      </c>
      <c r="F329" s="295">
        <v>95900</v>
      </c>
      <c r="G329" s="318">
        <f t="shared" si="16"/>
        <v>0.9047169811320754</v>
      </c>
    </row>
    <row r="330" spans="1:10" s="6" customFormat="1" ht="19.5" customHeight="1">
      <c r="A330" s="62"/>
      <c r="B330" s="207">
        <v>85204</v>
      </c>
      <c r="C330" s="208" t="s">
        <v>640</v>
      </c>
      <c r="D330" s="209">
        <v>5750000</v>
      </c>
      <c r="E330" s="209">
        <f>SUM(E331:E332)</f>
        <v>5899300</v>
      </c>
      <c r="F330" s="262">
        <f>SUM(F331:F332)</f>
        <v>5833177.850000001</v>
      </c>
      <c r="G330" s="211">
        <f t="shared" si="16"/>
        <v>0.9887915261132678</v>
      </c>
      <c r="H330" s="248"/>
      <c r="J330" s="248"/>
    </row>
    <row r="331" spans="1:7" s="6" customFormat="1" ht="18.75" customHeight="1">
      <c r="A331" s="62"/>
      <c r="B331" s="62"/>
      <c r="C331" s="282" t="s">
        <v>641</v>
      </c>
      <c r="D331" s="274">
        <v>5400000</v>
      </c>
      <c r="E331" s="274">
        <v>5487800</v>
      </c>
      <c r="F331" s="275">
        <v>5421965.65</v>
      </c>
      <c r="G331" s="276">
        <f t="shared" si="16"/>
        <v>0.9880035077808959</v>
      </c>
    </row>
    <row r="332" spans="1:7" s="6" customFormat="1" ht="20.25" customHeight="1">
      <c r="A332" s="62"/>
      <c r="B332" s="207"/>
      <c r="C332" s="317" t="s">
        <v>642</v>
      </c>
      <c r="D332" s="294">
        <v>350000</v>
      </c>
      <c r="E332" s="294">
        <v>411500</v>
      </c>
      <c r="F332" s="295">
        <v>411212.2</v>
      </c>
      <c r="G332" s="318">
        <f t="shared" si="16"/>
        <v>0.9993006075334143</v>
      </c>
    </row>
    <row r="333" spans="1:7" s="36" customFormat="1" ht="19.5" customHeight="1">
      <c r="A333" s="51"/>
      <c r="B333" s="207">
        <v>85214</v>
      </c>
      <c r="C333" s="208" t="s">
        <v>643</v>
      </c>
      <c r="D333" s="209">
        <v>9200000</v>
      </c>
      <c r="E333" s="209">
        <f>E334</f>
        <v>9820000</v>
      </c>
      <c r="F333" s="262">
        <f>F334</f>
        <v>9160475.55</v>
      </c>
      <c r="G333" s="211">
        <f t="shared" si="16"/>
        <v>0.932838650712831</v>
      </c>
    </row>
    <row r="334" spans="1:7" s="6" customFormat="1" ht="18.75" customHeight="1">
      <c r="A334" s="62"/>
      <c r="B334" s="119"/>
      <c r="C334" s="119" t="s">
        <v>641</v>
      </c>
      <c r="D334" s="121">
        <v>9200000</v>
      </c>
      <c r="E334" s="121">
        <v>9820000</v>
      </c>
      <c r="F334" s="264">
        <v>9160475.55</v>
      </c>
      <c r="G334" s="134">
        <f t="shared" si="16"/>
        <v>0.932838650712831</v>
      </c>
    </row>
    <row r="335" spans="1:7" s="36" customFormat="1" ht="19.5" customHeight="1">
      <c r="A335" s="51"/>
      <c r="B335" s="207">
        <v>85215</v>
      </c>
      <c r="C335" s="207" t="s">
        <v>644</v>
      </c>
      <c r="D335" s="209">
        <v>20000000</v>
      </c>
      <c r="E335" s="209">
        <f>E336</f>
        <v>20000000</v>
      </c>
      <c r="F335" s="262">
        <f>F336</f>
        <v>18614962.14</v>
      </c>
      <c r="G335" s="211">
        <f t="shared" si="16"/>
        <v>0.930748107</v>
      </c>
    </row>
    <row r="336" spans="1:7" s="6" customFormat="1" ht="19.5" customHeight="1">
      <c r="A336" s="62"/>
      <c r="B336" s="119"/>
      <c r="C336" s="119" t="s">
        <v>645</v>
      </c>
      <c r="D336" s="121">
        <v>20000000</v>
      </c>
      <c r="E336" s="121">
        <v>20000000</v>
      </c>
      <c r="F336" s="264">
        <v>18614962.14</v>
      </c>
      <c r="G336" s="134">
        <f t="shared" si="16"/>
        <v>0.930748107</v>
      </c>
    </row>
    <row r="337" spans="1:7" s="6" customFormat="1" ht="19.5" customHeight="1">
      <c r="A337" s="62"/>
      <c r="B337" s="207">
        <v>85219</v>
      </c>
      <c r="C337" s="207" t="s">
        <v>646</v>
      </c>
      <c r="D337" s="209">
        <v>12173000</v>
      </c>
      <c r="E337" s="209">
        <f>E338+E339+E341+E348+E346+E344+E342</f>
        <v>13782385</v>
      </c>
      <c r="F337" s="262">
        <f>F338+F339+F341+F348+F346+F344+F342</f>
        <v>13647733.21</v>
      </c>
      <c r="G337" s="211">
        <f t="shared" si="16"/>
        <v>0.9902301531991742</v>
      </c>
    </row>
    <row r="338" spans="1:7" s="6" customFormat="1" ht="18.75" customHeight="1">
      <c r="A338" s="62"/>
      <c r="B338" s="62"/>
      <c r="C338" s="282" t="s">
        <v>190</v>
      </c>
      <c r="D338" s="274">
        <v>8821000</v>
      </c>
      <c r="E338" s="274">
        <v>9458785</v>
      </c>
      <c r="F338" s="275">
        <v>9370434.32</v>
      </c>
      <c r="G338" s="276">
        <f t="shared" si="16"/>
        <v>0.9906594049870042</v>
      </c>
    </row>
    <row r="339" spans="1:7" s="6" customFormat="1" ht="18.75" customHeight="1">
      <c r="A339" s="62"/>
      <c r="B339" s="62"/>
      <c r="C339" s="283" t="s">
        <v>191</v>
      </c>
      <c r="D339" s="284">
        <v>1539000</v>
      </c>
      <c r="E339" s="284">
        <v>1648109</v>
      </c>
      <c r="F339" s="285">
        <v>1641370.39</v>
      </c>
      <c r="G339" s="286">
        <f t="shared" si="16"/>
        <v>0.9959113080506203</v>
      </c>
    </row>
    <row r="340" spans="1:7" s="102" customFormat="1" ht="19.5" customHeight="1">
      <c r="A340" s="263"/>
      <c r="B340" s="263"/>
      <c r="C340" s="303" t="s">
        <v>162</v>
      </c>
      <c r="D340" s="304">
        <v>40000</v>
      </c>
      <c r="E340" s="304">
        <v>5000</v>
      </c>
      <c r="F340" s="305">
        <v>5000</v>
      </c>
      <c r="G340" s="306">
        <f t="shared" si="16"/>
        <v>1</v>
      </c>
    </row>
    <row r="341" spans="1:7" s="6" customFormat="1" ht="18.75" customHeight="1">
      <c r="A341" s="62"/>
      <c r="B341" s="62"/>
      <c r="C341" s="382" t="s">
        <v>192</v>
      </c>
      <c r="D341" s="333">
        <v>1713000</v>
      </c>
      <c r="E341" s="333">
        <v>1832258</v>
      </c>
      <c r="F341" s="334">
        <v>1832257.99</v>
      </c>
      <c r="G341" s="335">
        <f t="shared" si="16"/>
        <v>0.9999999945422533</v>
      </c>
    </row>
    <row r="342" spans="1:7" s="6" customFormat="1" ht="29.25" customHeight="1">
      <c r="A342" s="62"/>
      <c r="B342" s="62"/>
      <c r="C342" s="302" t="s">
        <v>647</v>
      </c>
      <c r="D342" s="284"/>
      <c r="E342" s="284">
        <v>62657</v>
      </c>
      <c r="F342" s="285">
        <v>58324.29</v>
      </c>
      <c r="G342" s="286">
        <f t="shared" si="16"/>
        <v>0.9308503439360327</v>
      </c>
    </row>
    <row r="343" spans="1:7" s="102" customFormat="1" ht="16.5" customHeight="1">
      <c r="A343" s="263"/>
      <c r="B343" s="263"/>
      <c r="C343" s="303" t="s">
        <v>146</v>
      </c>
      <c r="D343" s="304"/>
      <c r="E343" s="304">
        <f>11000+6525</f>
        <v>17525</v>
      </c>
      <c r="F343" s="305">
        <f>11000+6525</f>
        <v>17525</v>
      </c>
      <c r="G343" s="306">
        <f t="shared" si="16"/>
        <v>1</v>
      </c>
    </row>
    <row r="344" spans="1:7" s="6" customFormat="1" ht="19.5" customHeight="1">
      <c r="A344" s="62"/>
      <c r="B344" s="62"/>
      <c r="C344" s="340" t="s">
        <v>648</v>
      </c>
      <c r="D344" s="337"/>
      <c r="E344" s="337">
        <v>100753</v>
      </c>
      <c r="F344" s="338">
        <v>88552.49</v>
      </c>
      <c r="G344" s="339">
        <f t="shared" si="16"/>
        <v>0.8789067323057378</v>
      </c>
    </row>
    <row r="345" spans="1:7" s="6" customFormat="1" ht="18" customHeight="1">
      <c r="A345" s="62"/>
      <c r="B345" s="62"/>
      <c r="C345" s="303" t="s">
        <v>146</v>
      </c>
      <c r="D345" s="304"/>
      <c r="E345" s="304">
        <f>19990+52785</f>
        <v>72775</v>
      </c>
      <c r="F345" s="305">
        <f>19396.34+46964.69</f>
        <v>66361.03</v>
      </c>
      <c r="G345" s="306">
        <f t="shared" si="16"/>
        <v>0.9118657506011679</v>
      </c>
    </row>
    <row r="346" spans="1:7" s="6" customFormat="1" ht="25.5">
      <c r="A346" s="62"/>
      <c r="B346" s="62"/>
      <c r="C346" s="340" t="s">
        <v>649</v>
      </c>
      <c r="D346" s="337"/>
      <c r="E346" s="337">
        <v>289823</v>
      </c>
      <c r="F346" s="338">
        <v>282523.73</v>
      </c>
      <c r="G346" s="339">
        <f t="shared" si="16"/>
        <v>0.974814731750068</v>
      </c>
    </row>
    <row r="347" spans="1:7" s="6" customFormat="1" ht="16.5" customHeight="1">
      <c r="A347" s="62"/>
      <c r="B347" s="62"/>
      <c r="C347" s="303" t="s">
        <v>146</v>
      </c>
      <c r="D347" s="304"/>
      <c r="E347" s="304">
        <f>36640+52116+15810</f>
        <v>104566</v>
      </c>
      <c r="F347" s="305">
        <f>35508.71+52116+14562</f>
        <v>102186.70999999999</v>
      </c>
      <c r="G347" s="306">
        <f t="shared" si="16"/>
        <v>0.9772460455597421</v>
      </c>
    </row>
    <row r="348" spans="1:7" s="6" customFormat="1" ht="18.75" customHeight="1">
      <c r="A348" s="62"/>
      <c r="B348" s="287"/>
      <c r="C348" s="287" t="s">
        <v>152</v>
      </c>
      <c r="D348" s="288">
        <v>100000</v>
      </c>
      <c r="E348" s="288">
        <v>390000</v>
      </c>
      <c r="F348" s="289">
        <v>374270</v>
      </c>
      <c r="G348" s="310">
        <f t="shared" si="16"/>
        <v>0.9596666666666667</v>
      </c>
    </row>
    <row r="349" spans="1:7" s="36" customFormat="1" ht="27" customHeight="1">
      <c r="A349" s="51"/>
      <c r="B349" s="207">
        <v>85220</v>
      </c>
      <c r="C349" s="53" t="s">
        <v>650</v>
      </c>
      <c r="D349" s="54">
        <v>660000</v>
      </c>
      <c r="E349" s="54">
        <f>E350+E355+E359</f>
        <v>523974</v>
      </c>
      <c r="F349" s="319">
        <f>F350+F355+F359</f>
        <v>512347.52</v>
      </c>
      <c r="G349" s="320">
        <f t="shared" si="16"/>
        <v>0.9778109600858058</v>
      </c>
    </row>
    <row r="350" spans="1:7" s="6" customFormat="1" ht="18.75" customHeight="1">
      <c r="A350" s="62"/>
      <c r="B350" s="62"/>
      <c r="C350" s="383" t="s">
        <v>651</v>
      </c>
      <c r="D350" s="384">
        <v>250000</v>
      </c>
      <c r="E350" s="384">
        <f>SUM(E351:E354)-E353</f>
        <v>217724</v>
      </c>
      <c r="F350" s="385">
        <f>SUM(F351:F354)-F353</f>
        <v>207477.86000000002</v>
      </c>
      <c r="G350" s="386">
        <f t="shared" si="16"/>
        <v>0.9529397769653323</v>
      </c>
    </row>
    <row r="351" spans="1:7" s="6" customFormat="1" ht="18.75" customHeight="1">
      <c r="A351" s="62"/>
      <c r="B351" s="62"/>
      <c r="C351" s="336" t="s">
        <v>190</v>
      </c>
      <c r="D351" s="337">
        <v>52200</v>
      </c>
      <c r="E351" s="337">
        <v>43860</v>
      </c>
      <c r="F351" s="338">
        <v>41408.86</v>
      </c>
      <c r="G351" s="339">
        <f t="shared" si="16"/>
        <v>0.9441144550843593</v>
      </c>
    </row>
    <row r="352" spans="1:7" s="6" customFormat="1" ht="18.75" customHeight="1">
      <c r="A352" s="62"/>
      <c r="B352" s="62"/>
      <c r="C352" s="283" t="s">
        <v>191</v>
      </c>
      <c r="D352" s="284">
        <v>188600</v>
      </c>
      <c r="E352" s="284">
        <v>167222</v>
      </c>
      <c r="F352" s="285">
        <v>159517.48</v>
      </c>
      <c r="G352" s="286">
        <f t="shared" si="16"/>
        <v>0.9539263972443818</v>
      </c>
    </row>
    <row r="353" spans="1:7" s="102" customFormat="1" ht="18.75" customHeight="1">
      <c r="A353" s="263"/>
      <c r="B353" s="263"/>
      <c r="C353" s="303" t="s">
        <v>162</v>
      </c>
      <c r="D353" s="304">
        <v>80000</v>
      </c>
      <c r="E353" s="304">
        <v>37155</v>
      </c>
      <c r="F353" s="305">
        <v>37155</v>
      </c>
      <c r="G353" s="306">
        <f t="shared" si="16"/>
        <v>1</v>
      </c>
    </row>
    <row r="354" spans="1:7" s="6" customFormat="1" ht="18.75" customHeight="1">
      <c r="A354" s="62"/>
      <c r="B354" s="62"/>
      <c r="C354" s="336" t="s">
        <v>192</v>
      </c>
      <c r="D354" s="337">
        <v>9200</v>
      </c>
      <c r="E354" s="337">
        <v>6642</v>
      </c>
      <c r="F354" s="338">
        <v>6551.52</v>
      </c>
      <c r="G354" s="339">
        <f t="shared" si="16"/>
        <v>0.9863775971093045</v>
      </c>
    </row>
    <row r="355" spans="1:7" s="6" customFormat="1" ht="18.75" customHeight="1">
      <c r="A355" s="62"/>
      <c r="B355" s="62"/>
      <c r="C355" s="387" t="s">
        <v>652</v>
      </c>
      <c r="D355" s="388">
        <v>210000</v>
      </c>
      <c r="E355" s="388">
        <f>SUM(E356:E358)</f>
        <v>104500</v>
      </c>
      <c r="F355" s="389">
        <f>SUM(F356:F358)</f>
        <v>103119.66</v>
      </c>
      <c r="G355" s="390">
        <f t="shared" si="16"/>
        <v>0.9867910047846891</v>
      </c>
    </row>
    <row r="356" spans="1:7" s="6" customFormat="1" ht="19.5" customHeight="1">
      <c r="A356" s="62"/>
      <c r="B356" s="62"/>
      <c r="C356" s="336" t="s">
        <v>190</v>
      </c>
      <c r="D356" s="337">
        <v>165700</v>
      </c>
      <c r="E356" s="337">
        <v>82700</v>
      </c>
      <c r="F356" s="338">
        <v>81319.66</v>
      </c>
      <c r="G356" s="339">
        <f t="shared" si="16"/>
        <v>0.9833090689238211</v>
      </c>
    </row>
    <row r="357" spans="1:7" s="6" customFormat="1" ht="19.5" customHeight="1">
      <c r="A357" s="62"/>
      <c r="B357" s="62"/>
      <c r="C357" s="371" t="s">
        <v>191</v>
      </c>
      <c r="D357" s="314">
        <v>13100</v>
      </c>
      <c r="E357" s="314">
        <v>8625</v>
      </c>
      <c r="F357" s="315">
        <v>8625.28</v>
      </c>
      <c r="G357" s="316">
        <f t="shared" si="16"/>
        <v>1.000032463768116</v>
      </c>
    </row>
    <row r="358" spans="1:7" s="6" customFormat="1" ht="19.5" customHeight="1">
      <c r="A358" s="287"/>
      <c r="B358" s="287"/>
      <c r="C358" s="293" t="s">
        <v>192</v>
      </c>
      <c r="D358" s="294">
        <v>31200</v>
      </c>
      <c r="E358" s="294">
        <v>13175</v>
      </c>
      <c r="F358" s="295">
        <v>13174.72</v>
      </c>
      <c r="G358" s="318">
        <f t="shared" si="16"/>
        <v>0.9999787476280835</v>
      </c>
    </row>
    <row r="359" spans="1:7" s="6" customFormat="1" ht="18.75" customHeight="1">
      <c r="A359" s="62"/>
      <c r="B359" s="62"/>
      <c r="C359" s="391" t="s">
        <v>653</v>
      </c>
      <c r="D359" s="392">
        <v>200000</v>
      </c>
      <c r="E359" s="392">
        <f>SUM(E360:E362)</f>
        <v>201750</v>
      </c>
      <c r="F359" s="393">
        <f>SUM(F360:F362)</f>
        <v>201750</v>
      </c>
      <c r="G359" s="394">
        <f t="shared" si="16"/>
        <v>1</v>
      </c>
    </row>
    <row r="360" spans="1:7" s="6" customFormat="1" ht="18.75" customHeight="1">
      <c r="A360" s="62"/>
      <c r="B360" s="62"/>
      <c r="C360" s="336" t="s">
        <v>190</v>
      </c>
      <c r="D360" s="337">
        <v>124000</v>
      </c>
      <c r="E360" s="337">
        <v>125750</v>
      </c>
      <c r="F360" s="338">
        <v>125750</v>
      </c>
      <c r="G360" s="339">
        <f aca="true" t="shared" si="17" ref="G360:G385">F360/E360</f>
        <v>1</v>
      </c>
    </row>
    <row r="361" spans="1:7" s="6" customFormat="1" ht="18.75" customHeight="1">
      <c r="A361" s="62"/>
      <c r="B361" s="62"/>
      <c r="C361" s="283" t="s">
        <v>191</v>
      </c>
      <c r="D361" s="284">
        <v>51000</v>
      </c>
      <c r="E361" s="284">
        <v>51608</v>
      </c>
      <c r="F361" s="285">
        <v>51607.65</v>
      </c>
      <c r="G361" s="286">
        <f t="shared" si="17"/>
        <v>0.9999932181057201</v>
      </c>
    </row>
    <row r="362" spans="1:7" s="6" customFormat="1" ht="19.5" customHeight="1">
      <c r="A362" s="62"/>
      <c r="B362" s="287"/>
      <c r="C362" s="293" t="s">
        <v>192</v>
      </c>
      <c r="D362" s="294">
        <v>25000</v>
      </c>
      <c r="E362" s="294">
        <v>24392</v>
      </c>
      <c r="F362" s="295">
        <v>24392.35</v>
      </c>
      <c r="G362" s="318">
        <f t="shared" si="17"/>
        <v>1.0000143489668742</v>
      </c>
    </row>
    <row r="363" spans="1:7" s="36" customFormat="1" ht="19.5" customHeight="1">
      <c r="A363" s="51"/>
      <c r="B363" s="207">
        <v>85226</v>
      </c>
      <c r="C363" s="207" t="s">
        <v>654</v>
      </c>
      <c r="D363" s="209">
        <v>287000</v>
      </c>
      <c r="E363" s="209">
        <f>SUM(E364:E366)</f>
        <v>290000</v>
      </c>
      <c r="F363" s="262">
        <f>SUM(F364:F366)</f>
        <v>278209.57999999996</v>
      </c>
      <c r="G363" s="211">
        <f t="shared" si="17"/>
        <v>0.9593433793103446</v>
      </c>
    </row>
    <row r="364" spans="1:7" s="6" customFormat="1" ht="18.75" customHeight="1">
      <c r="A364" s="62"/>
      <c r="B364" s="62"/>
      <c r="C364" s="282" t="s">
        <v>190</v>
      </c>
      <c r="D364" s="274">
        <v>206100</v>
      </c>
      <c r="E364" s="274">
        <v>209100</v>
      </c>
      <c r="F364" s="275">
        <v>201560.11</v>
      </c>
      <c r="G364" s="276">
        <f t="shared" si="17"/>
        <v>0.9639412242945958</v>
      </c>
    </row>
    <row r="365" spans="1:7" s="6" customFormat="1" ht="18.75" customHeight="1">
      <c r="A365" s="62"/>
      <c r="B365" s="62"/>
      <c r="C365" s="283" t="s">
        <v>191</v>
      </c>
      <c r="D365" s="284">
        <v>40000</v>
      </c>
      <c r="E365" s="284">
        <v>40000</v>
      </c>
      <c r="F365" s="285">
        <v>39591.78</v>
      </c>
      <c r="G365" s="286">
        <f t="shared" si="17"/>
        <v>0.9897945</v>
      </c>
    </row>
    <row r="366" spans="1:7" s="6" customFormat="1" ht="18.75" customHeight="1">
      <c r="A366" s="62"/>
      <c r="B366" s="287"/>
      <c r="C366" s="293" t="s">
        <v>192</v>
      </c>
      <c r="D366" s="294">
        <v>40900</v>
      </c>
      <c r="E366" s="294">
        <v>40900</v>
      </c>
      <c r="F366" s="295">
        <v>37057.69</v>
      </c>
      <c r="G366" s="318">
        <f t="shared" si="17"/>
        <v>0.9060559902200489</v>
      </c>
    </row>
    <row r="367" spans="1:7" s="36" customFormat="1" ht="17.25" customHeight="1">
      <c r="A367" s="51"/>
      <c r="B367" s="207">
        <v>85228</v>
      </c>
      <c r="C367" s="207" t="s">
        <v>117</v>
      </c>
      <c r="D367" s="209">
        <v>10000000</v>
      </c>
      <c r="E367" s="209">
        <f>E368</f>
        <v>8922116</v>
      </c>
      <c r="F367" s="262">
        <f>F368</f>
        <v>8773919.4</v>
      </c>
      <c r="G367" s="211">
        <f t="shared" si="17"/>
        <v>0.9833899716165986</v>
      </c>
    </row>
    <row r="368" spans="1:7" s="6" customFormat="1" ht="15.75" customHeight="1">
      <c r="A368" s="62"/>
      <c r="B368" s="119"/>
      <c r="C368" s="119" t="s">
        <v>741</v>
      </c>
      <c r="D368" s="121">
        <v>10000000</v>
      </c>
      <c r="E368" s="121">
        <v>8922116</v>
      </c>
      <c r="F368" s="264">
        <v>8773919.4</v>
      </c>
      <c r="G368" s="134">
        <f t="shared" si="17"/>
        <v>0.9833899716165986</v>
      </c>
    </row>
    <row r="369" spans="1:7" s="36" customFormat="1" ht="19.5" customHeight="1">
      <c r="A369" s="51"/>
      <c r="B369" s="207">
        <v>85232</v>
      </c>
      <c r="C369" s="207" t="s">
        <v>655</v>
      </c>
      <c r="D369" s="209">
        <v>480000</v>
      </c>
      <c r="E369" s="209">
        <f>E370+E373+E372</f>
        <v>1219454</v>
      </c>
      <c r="F369" s="262">
        <f>F370+F372+F373</f>
        <v>988761.3499999999</v>
      </c>
      <c r="G369" s="211">
        <f t="shared" si="17"/>
        <v>0.8108229994735348</v>
      </c>
    </row>
    <row r="370" spans="1:7" s="6" customFormat="1" ht="18.75" customHeight="1">
      <c r="A370" s="62"/>
      <c r="B370" s="91"/>
      <c r="C370" s="91" t="s">
        <v>656</v>
      </c>
      <c r="D370" s="93">
        <v>480000</v>
      </c>
      <c r="E370" s="93">
        <v>470000</v>
      </c>
      <c r="F370" s="331">
        <v>470000</v>
      </c>
      <c r="G370" s="296">
        <f t="shared" si="17"/>
        <v>1</v>
      </c>
    </row>
    <row r="371" spans="1:7" s="102" customFormat="1" ht="17.25" customHeight="1">
      <c r="A371" s="263"/>
      <c r="B371" s="263"/>
      <c r="C371" s="303" t="s">
        <v>162</v>
      </c>
      <c r="D371" s="304">
        <v>70500</v>
      </c>
      <c r="E371" s="304">
        <v>20500</v>
      </c>
      <c r="F371" s="305">
        <v>20500</v>
      </c>
      <c r="G371" s="306">
        <f t="shared" si="17"/>
        <v>1</v>
      </c>
    </row>
    <row r="372" spans="1:7" s="6" customFormat="1" ht="18" customHeight="1">
      <c r="A372" s="62"/>
      <c r="B372" s="62"/>
      <c r="C372" s="340" t="s">
        <v>657</v>
      </c>
      <c r="D372" s="337"/>
      <c r="E372" s="337">
        <v>674454</v>
      </c>
      <c r="F372" s="338">
        <v>443772.41</v>
      </c>
      <c r="G372" s="339">
        <f t="shared" si="17"/>
        <v>0.6579728343222814</v>
      </c>
    </row>
    <row r="373" spans="1:7" s="6" customFormat="1" ht="15.75" customHeight="1">
      <c r="A373" s="62"/>
      <c r="B373" s="287"/>
      <c r="C373" s="293" t="s">
        <v>658</v>
      </c>
      <c r="D373" s="294"/>
      <c r="E373" s="294">
        <v>75000</v>
      </c>
      <c r="F373" s="295">
        <v>74988.94</v>
      </c>
      <c r="G373" s="318">
        <f t="shared" si="17"/>
        <v>0.9998525333333333</v>
      </c>
    </row>
    <row r="374" spans="1:7" s="36" customFormat="1" ht="17.25" customHeight="1">
      <c r="A374" s="51"/>
      <c r="B374" s="207">
        <v>85233</v>
      </c>
      <c r="C374" s="207" t="s">
        <v>265</v>
      </c>
      <c r="D374" s="209">
        <v>26000</v>
      </c>
      <c r="E374" s="209">
        <f>E375</f>
        <v>26000</v>
      </c>
      <c r="F374" s="262">
        <f>F375</f>
        <v>22249</v>
      </c>
      <c r="G374" s="211">
        <f t="shared" si="17"/>
        <v>0.8557307692307692</v>
      </c>
    </row>
    <row r="375" spans="1:7" s="6" customFormat="1" ht="15.75" customHeight="1">
      <c r="A375" s="62"/>
      <c r="B375" s="119"/>
      <c r="C375" s="119" t="s">
        <v>266</v>
      </c>
      <c r="D375" s="121">
        <v>26000</v>
      </c>
      <c r="E375" s="121">
        <v>26000</v>
      </c>
      <c r="F375" s="264">
        <v>22249</v>
      </c>
      <c r="G375" s="134">
        <f t="shared" si="17"/>
        <v>0.8557307692307692</v>
      </c>
    </row>
    <row r="376" spans="1:10" s="36" customFormat="1" ht="17.25" customHeight="1">
      <c r="A376" s="51"/>
      <c r="B376" s="207">
        <v>85295</v>
      </c>
      <c r="C376" s="207" t="s">
        <v>13</v>
      </c>
      <c r="D376" s="209">
        <v>2815000</v>
      </c>
      <c r="E376" s="209">
        <f>SUM(E377:E383)</f>
        <v>4535707</v>
      </c>
      <c r="F376" s="262">
        <f>SUM(F377:F383)</f>
        <v>4534709.4</v>
      </c>
      <c r="G376" s="211">
        <f t="shared" si="17"/>
        <v>0.9997800563396182</v>
      </c>
      <c r="H376" s="395"/>
      <c r="J376" s="395"/>
    </row>
    <row r="377" spans="1:7" s="36" customFormat="1" ht="25.5">
      <c r="A377" s="51"/>
      <c r="B377" s="51"/>
      <c r="C377" s="326" t="s">
        <v>659</v>
      </c>
      <c r="D377" s="291">
        <v>1141000</v>
      </c>
      <c r="E377" s="291">
        <v>1154500</v>
      </c>
      <c r="F377" s="292">
        <v>1154500</v>
      </c>
      <c r="G377" s="327">
        <f t="shared" si="17"/>
        <v>1</v>
      </c>
    </row>
    <row r="378" spans="1:7" s="6" customFormat="1" ht="16.5" customHeight="1">
      <c r="A378" s="62"/>
      <c r="B378" s="62"/>
      <c r="C378" s="302" t="s">
        <v>660</v>
      </c>
      <c r="D378" s="284">
        <v>33000</v>
      </c>
      <c r="E378" s="284">
        <v>33000</v>
      </c>
      <c r="F378" s="285">
        <v>33000</v>
      </c>
      <c r="G378" s="286">
        <f t="shared" si="17"/>
        <v>1</v>
      </c>
    </row>
    <row r="379" spans="1:7" s="6" customFormat="1" ht="18.75" customHeight="1">
      <c r="A379" s="62"/>
      <c r="B379" s="62"/>
      <c r="C379" s="302" t="s">
        <v>79</v>
      </c>
      <c r="D379" s="284">
        <v>18000</v>
      </c>
      <c r="E379" s="284">
        <v>4500</v>
      </c>
      <c r="F379" s="285">
        <v>4500</v>
      </c>
      <c r="G379" s="286">
        <f t="shared" si="17"/>
        <v>1</v>
      </c>
    </row>
    <row r="380" spans="1:7" s="6" customFormat="1" ht="18.75" customHeight="1">
      <c r="A380" s="62"/>
      <c r="B380" s="62"/>
      <c r="C380" s="313" t="s">
        <v>661</v>
      </c>
      <c r="D380" s="314">
        <v>14000</v>
      </c>
      <c r="E380" s="314">
        <v>14000</v>
      </c>
      <c r="F380" s="315">
        <v>14000</v>
      </c>
      <c r="G380" s="316">
        <f t="shared" si="17"/>
        <v>1</v>
      </c>
    </row>
    <row r="381" spans="1:7" s="6" customFormat="1" ht="18.75" customHeight="1">
      <c r="A381" s="62"/>
      <c r="B381" s="62"/>
      <c r="C381" s="313" t="s">
        <v>662</v>
      </c>
      <c r="D381" s="314">
        <v>1609000</v>
      </c>
      <c r="E381" s="314">
        <v>3215000</v>
      </c>
      <c r="F381" s="315">
        <v>3215000</v>
      </c>
      <c r="G381" s="316">
        <f t="shared" si="17"/>
        <v>1</v>
      </c>
    </row>
    <row r="382" spans="1:7" s="6" customFormat="1" ht="15.75" customHeight="1">
      <c r="A382" s="62"/>
      <c r="B382" s="62"/>
      <c r="C382" s="313" t="s">
        <v>663</v>
      </c>
      <c r="D382" s="314"/>
      <c r="E382" s="314">
        <v>100000</v>
      </c>
      <c r="F382" s="315">
        <v>100000</v>
      </c>
      <c r="G382" s="316">
        <f t="shared" si="17"/>
        <v>1</v>
      </c>
    </row>
    <row r="383" spans="1:7" s="6" customFormat="1" ht="18.75" customHeight="1">
      <c r="A383" s="287"/>
      <c r="B383" s="287"/>
      <c r="C383" s="317" t="s">
        <v>664</v>
      </c>
      <c r="D383" s="294"/>
      <c r="E383" s="294">
        <v>14707</v>
      </c>
      <c r="F383" s="295">
        <v>13709.4</v>
      </c>
      <c r="G383" s="318">
        <f t="shared" si="17"/>
        <v>0.9321683552050044</v>
      </c>
    </row>
    <row r="384" spans="1:7" s="6" customFormat="1" ht="17.25" customHeight="1" thickBot="1">
      <c r="A384" s="212">
        <v>853</v>
      </c>
      <c r="B384" s="212"/>
      <c r="C384" s="212" t="s">
        <v>737</v>
      </c>
      <c r="D384" s="225">
        <v>9560425</v>
      </c>
      <c r="E384" s="225">
        <f>E385+E395+E412+E391+E414</f>
        <v>9957467</v>
      </c>
      <c r="F384" s="266">
        <f>F385+F395+F412+F391+F414</f>
        <v>9834615.98</v>
      </c>
      <c r="G384" s="227">
        <f t="shared" si="17"/>
        <v>0.9876624225819679</v>
      </c>
    </row>
    <row r="385" spans="1:7" s="6" customFormat="1" ht="17.25" customHeight="1">
      <c r="A385" s="62"/>
      <c r="B385" s="207">
        <v>85305</v>
      </c>
      <c r="C385" s="207" t="s">
        <v>665</v>
      </c>
      <c r="D385" s="209">
        <v>5254800</v>
      </c>
      <c r="E385" s="209">
        <f>SUM(E386:E390)-E388</f>
        <v>5302800</v>
      </c>
      <c r="F385" s="262">
        <f>SUM(F386:F390)-F388</f>
        <v>5302050</v>
      </c>
      <c r="G385" s="211">
        <f t="shared" si="17"/>
        <v>0.9998585652862638</v>
      </c>
    </row>
    <row r="386" spans="1:7" s="6" customFormat="1" ht="15.75" customHeight="1">
      <c r="A386" s="62"/>
      <c r="B386" s="62"/>
      <c r="C386" s="282" t="s">
        <v>190</v>
      </c>
      <c r="D386" s="274">
        <v>3589400</v>
      </c>
      <c r="E386" s="274">
        <v>3589400</v>
      </c>
      <c r="F386" s="275">
        <v>3589393.1</v>
      </c>
      <c r="G386" s="276">
        <v>0.9999</v>
      </c>
    </row>
    <row r="387" spans="1:7" s="6" customFormat="1" ht="16.5" customHeight="1">
      <c r="A387" s="62"/>
      <c r="B387" s="62"/>
      <c r="C387" s="283" t="s">
        <v>191</v>
      </c>
      <c r="D387" s="284">
        <v>704000</v>
      </c>
      <c r="E387" s="284">
        <v>705114</v>
      </c>
      <c r="F387" s="285">
        <v>704993.23</v>
      </c>
      <c r="G387" s="286">
        <f>F387/E387</f>
        <v>0.9998287227313597</v>
      </c>
    </row>
    <row r="388" spans="1:7" s="102" customFormat="1" ht="16.5" customHeight="1">
      <c r="A388" s="263"/>
      <c r="B388" s="263"/>
      <c r="C388" s="303" t="s">
        <v>162</v>
      </c>
      <c r="D388" s="304">
        <v>20000</v>
      </c>
      <c r="E388" s="304">
        <v>20000</v>
      </c>
      <c r="F388" s="305">
        <v>19882.61</v>
      </c>
      <c r="G388" s="306">
        <f>F388/E388</f>
        <v>0.9941305</v>
      </c>
    </row>
    <row r="389" spans="1:7" s="6" customFormat="1" ht="17.25" customHeight="1">
      <c r="A389" s="62"/>
      <c r="B389" s="62"/>
      <c r="C389" s="336" t="s">
        <v>192</v>
      </c>
      <c r="D389" s="337">
        <v>661400</v>
      </c>
      <c r="E389" s="337">
        <v>700286</v>
      </c>
      <c r="F389" s="338">
        <v>700285.07</v>
      </c>
      <c r="G389" s="339">
        <v>1</v>
      </c>
    </row>
    <row r="390" spans="1:7" s="6" customFormat="1" ht="19.5" customHeight="1">
      <c r="A390" s="287"/>
      <c r="B390" s="287"/>
      <c r="C390" s="293" t="s">
        <v>152</v>
      </c>
      <c r="D390" s="294">
        <v>300000</v>
      </c>
      <c r="E390" s="294">
        <v>308000</v>
      </c>
      <c r="F390" s="295">
        <v>307378.6</v>
      </c>
      <c r="G390" s="318">
        <f aca="true" t="shared" si="18" ref="G390:G411">F390/E390</f>
        <v>0.9979824675324674</v>
      </c>
    </row>
    <row r="391" spans="1:7" s="36" customFormat="1" ht="19.5" customHeight="1">
      <c r="A391" s="51"/>
      <c r="B391" s="207">
        <v>85321</v>
      </c>
      <c r="C391" s="207" t="s">
        <v>666</v>
      </c>
      <c r="D391" s="209"/>
      <c r="E391" s="209">
        <f>E392+E393+E394</f>
        <v>132200</v>
      </c>
      <c r="F391" s="262">
        <f>F393+F392+F394</f>
        <v>131380.52</v>
      </c>
      <c r="G391" s="211">
        <f t="shared" si="18"/>
        <v>0.9938012102874432</v>
      </c>
    </row>
    <row r="392" spans="1:7" s="36" customFormat="1" ht="19.5" customHeight="1">
      <c r="A392" s="51"/>
      <c r="B392" s="381"/>
      <c r="C392" s="396" t="s">
        <v>190</v>
      </c>
      <c r="D392" s="397"/>
      <c r="E392" s="398">
        <v>74753</v>
      </c>
      <c r="F392" s="399">
        <v>73943.38</v>
      </c>
      <c r="G392" s="316">
        <f t="shared" si="18"/>
        <v>0.9891693978836971</v>
      </c>
    </row>
    <row r="393" spans="1:7" s="6" customFormat="1" ht="19.5" customHeight="1">
      <c r="A393" s="62"/>
      <c r="B393" s="62"/>
      <c r="C393" s="371" t="s">
        <v>191</v>
      </c>
      <c r="D393" s="314"/>
      <c r="E393" s="314">
        <v>48882</v>
      </c>
      <c r="F393" s="315">
        <v>48882.45</v>
      </c>
      <c r="G393" s="316">
        <f t="shared" si="18"/>
        <v>1.0000092058426413</v>
      </c>
    </row>
    <row r="394" spans="1:7" s="6" customFormat="1" ht="19.5" customHeight="1">
      <c r="A394" s="62"/>
      <c r="B394" s="287"/>
      <c r="C394" s="293" t="s">
        <v>192</v>
      </c>
      <c r="D394" s="294"/>
      <c r="E394" s="294">
        <v>8565</v>
      </c>
      <c r="F394" s="295">
        <v>8554.69</v>
      </c>
      <c r="G394" s="318">
        <f t="shared" si="18"/>
        <v>0.9987962638645651</v>
      </c>
    </row>
    <row r="395" spans="1:7" s="36" customFormat="1" ht="21" customHeight="1">
      <c r="A395" s="51"/>
      <c r="B395" s="207">
        <v>85333</v>
      </c>
      <c r="C395" s="207" t="s">
        <v>667</v>
      </c>
      <c r="D395" s="209">
        <v>4285625</v>
      </c>
      <c r="E395" s="209">
        <f>E396+E397+E399+E400+E402+E411+E404+E406+E408</f>
        <v>4456467</v>
      </c>
      <c r="F395" s="262">
        <f>F396+F397+F399+F400+F402+F411+F404+F406+F408</f>
        <v>4401185.46</v>
      </c>
      <c r="G395" s="211">
        <f t="shared" si="18"/>
        <v>0.9875952093889622</v>
      </c>
    </row>
    <row r="396" spans="1:7" s="6" customFormat="1" ht="18.75" customHeight="1">
      <c r="A396" s="62"/>
      <c r="B396" s="62"/>
      <c r="C396" s="282" t="s">
        <v>190</v>
      </c>
      <c r="D396" s="274">
        <v>2733000</v>
      </c>
      <c r="E396" s="274">
        <v>2745400</v>
      </c>
      <c r="F396" s="275">
        <v>2743232.07</v>
      </c>
      <c r="G396" s="276">
        <f t="shared" si="18"/>
        <v>0.9992103409339258</v>
      </c>
    </row>
    <row r="397" spans="1:7" s="6" customFormat="1" ht="19.5" customHeight="1">
      <c r="A397" s="62"/>
      <c r="B397" s="62"/>
      <c r="C397" s="371" t="s">
        <v>191</v>
      </c>
      <c r="D397" s="314">
        <v>541000</v>
      </c>
      <c r="E397" s="314">
        <v>587970</v>
      </c>
      <c r="F397" s="315">
        <v>584066.75</v>
      </c>
      <c r="G397" s="316">
        <f t="shared" si="18"/>
        <v>0.9933614810279436</v>
      </c>
    </row>
    <row r="398" spans="1:7" s="102" customFormat="1" ht="20.25" customHeight="1">
      <c r="A398" s="263"/>
      <c r="B398" s="263"/>
      <c r="C398" s="369" t="s">
        <v>162</v>
      </c>
      <c r="D398" s="304">
        <v>50000</v>
      </c>
      <c r="E398" s="304">
        <v>100000</v>
      </c>
      <c r="F398" s="305">
        <v>100000</v>
      </c>
      <c r="G398" s="306">
        <f t="shared" si="18"/>
        <v>1</v>
      </c>
    </row>
    <row r="399" spans="1:7" s="6" customFormat="1" ht="19.5" customHeight="1">
      <c r="A399" s="62"/>
      <c r="B399" s="62"/>
      <c r="C399" s="336" t="s">
        <v>192</v>
      </c>
      <c r="D399" s="337">
        <v>521000</v>
      </c>
      <c r="E399" s="337">
        <v>541630</v>
      </c>
      <c r="F399" s="338">
        <v>541394.26</v>
      </c>
      <c r="G399" s="339">
        <f t="shared" si="18"/>
        <v>0.9995647582297879</v>
      </c>
    </row>
    <row r="400" spans="1:7" s="6" customFormat="1" ht="19.5" customHeight="1">
      <c r="A400" s="62"/>
      <c r="B400" s="62"/>
      <c r="C400" s="336" t="s">
        <v>668</v>
      </c>
      <c r="D400" s="337">
        <v>38622</v>
      </c>
      <c r="E400" s="337">
        <v>38622</v>
      </c>
      <c r="F400" s="338">
        <v>11781.17</v>
      </c>
      <c r="G400" s="339">
        <f t="shared" si="18"/>
        <v>0.3050378022888509</v>
      </c>
    </row>
    <row r="401" spans="1:7" s="102" customFormat="1" ht="18" customHeight="1">
      <c r="A401" s="263"/>
      <c r="B401" s="263"/>
      <c r="C401" s="369" t="s">
        <v>146</v>
      </c>
      <c r="D401" s="304">
        <v>7201</v>
      </c>
      <c r="E401" s="304">
        <f>5226+1975</f>
        <v>7201</v>
      </c>
      <c r="F401" s="305">
        <f>5166.13+1952.75</f>
        <v>7118.88</v>
      </c>
      <c r="G401" s="306">
        <f t="shared" si="18"/>
        <v>0.9885960283293987</v>
      </c>
    </row>
    <row r="402" spans="1:7" s="6" customFormat="1" ht="19.5" customHeight="1">
      <c r="A402" s="62"/>
      <c r="B402" s="62"/>
      <c r="C402" s="382" t="s">
        <v>669</v>
      </c>
      <c r="D402" s="333">
        <v>33622</v>
      </c>
      <c r="E402" s="333">
        <v>33622</v>
      </c>
      <c r="F402" s="334">
        <v>11909.52</v>
      </c>
      <c r="G402" s="335">
        <f t="shared" si="18"/>
        <v>0.35421807150080303</v>
      </c>
    </row>
    <row r="403" spans="1:7" s="102" customFormat="1" ht="18" customHeight="1">
      <c r="A403" s="263"/>
      <c r="B403" s="263"/>
      <c r="C403" s="369" t="s">
        <v>146</v>
      </c>
      <c r="D403" s="304">
        <v>7201</v>
      </c>
      <c r="E403" s="304">
        <f>5310+1891</f>
        <v>7201</v>
      </c>
      <c r="F403" s="305">
        <f>5309.29+1890.71</f>
        <v>7200</v>
      </c>
      <c r="G403" s="306">
        <f t="shared" si="18"/>
        <v>0.9998611303985557</v>
      </c>
    </row>
    <row r="404" spans="1:7" s="102" customFormat="1" ht="19.5" customHeight="1">
      <c r="A404" s="263"/>
      <c r="B404" s="263"/>
      <c r="C404" s="382" t="s">
        <v>670</v>
      </c>
      <c r="D404" s="333">
        <v>55631</v>
      </c>
      <c r="E404" s="333">
        <v>55631</v>
      </c>
      <c r="F404" s="334">
        <v>55330.8</v>
      </c>
      <c r="G404" s="335">
        <f t="shared" si="18"/>
        <v>0.9946037281371898</v>
      </c>
    </row>
    <row r="405" spans="1:7" s="102" customFormat="1" ht="18" customHeight="1">
      <c r="A405" s="263"/>
      <c r="B405" s="263"/>
      <c r="C405" s="369" t="s">
        <v>146</v>
      </c>
      <c r="D405" s="304">
        <v>18000</v>
      </c>
      <c r="E405" s="304">
        <v>18000</v>
      </c>
      <c r="F405" s="305">
        <v>17860.56</v>
      </c>
      <c r="G405" s="306">
        <f t="shared" si="18"/>
        <v>0.9922533333333334</v>
      </c>
    </row>
    <row r="406" spans="1:7" s="102" customFormat="1" ht="19.5" customHeight="1">
      <c r="A406" s="263"/>
      <c r="B406" s="263"/>
      <c r="C406" s="382" t="s">
        <v>671</v>
      </c>
      <c r="D406" s="333"/>
      <c r="E406" s="333">
        <v>39384</v>
      </c>
      <c r="F406" s="334">
        <v>39377.88</v>
      </c>
      <c r="G406" s="335">
        <f t="shared" si="18"/>
        <v>0.9998446069469835</v>
      </c>
    </row>
    <row r="407" spans="1:7" s="102" customFormat="1" ht="18" customHeight="1">
      <c r="A407" s="263"/>
      <c r="B407" s="263"/>
      <c r="C407" s="369" t="s">
        <v>146</v>
      </c>
      <c r="D407" s="304"/>
      <c r="E407" s="304">
        <v>6000</v>
      </c>
      <c r="F407" s="305">
        <v>6000</v>
      </c>
      <c r="G407" s="306">
        <f t="shared" si="18"/>
        <v>1</v>
      </c>
    </row>
    <row r="408" spans="1:7" s="102" customFormat="1" ht="19.5" customHeight="1">
      <c r="A408" s="263"/>
      <c r="B408" s="263"/>
      <c r="C408" s="382" t="s">
        <v>672</v>
      </c>
      <c r="D408" s="333"/>
      <c r="E408" s="333">
        <v>51458</v>
      </c>
      <c r="F408" s="334">
        <v>51395.86</v>
      </c>
      <c r="G408" s="335">
        <f t="shared" si="18"/>
        <v>0.9987924132302072</v>
      </c>
    </row>
    <row r="409" spans="1:7" s="102" customFormat="1" ht="18" customHeight="1">
      <c r="A409" s="263"/>
      <c r="B409" s="263"/>
      <c r="C409" s="400" t="s">
        <v>146</v>
      </c>
      <c r="D409" s="347"/>
      <c r="E409" s="347">
        <v>8975</v>
      </c>
      <c r="F409" s="348">
        <v>8944.8</v>
      </c>
      <c r="G409" s="349">
        <f t="shared" si="18"/>
        <v>0.9966350974930361</v>
      </c>
    </row>
    <row r="410" spans="1:7" s="102" customFormat="1" ht="18" customHeight="1">
      <c r="A410" s="263"/>
      <c r="B410" s="263"/>
      <c r="C410" s="401" t="s">
        <v>164</v>
      </c>
      <c r="D410" s="322"/>
      <c r="E410" s="322">
        <v>3416</v>
      </c>
      <c r="F410" s="323">
        <v>3416</v>
      </c>
      <c r="G410" s="324">
        <f t="shared" si="18"/>
        <v>1</v>
      </c>
    </row>
    <row r="411" spans="1:7" s="6" customFormat="1" ht="19.5" customHeight="1">
      <c r="A411" s="62"/>
      <c r="B411" s="287"/>
      <c r="C411" s="287" t="s">
        <v>152</v>
      </c>
      <c r="D411" s="288">
        <v>362750</v>
      </c>
      <c r="E411" s="288">
        <v>362750</v>
      </c>
      <c r="F411" s="289">
        <v>362697.15</v>
      </c>
      <c r="G411" s="290">
        <f t="shared" si="18"/>
        <v>0.9998543073742248</v>
      </c>
    </row>
    <row r="412" spans="1:7" s="36" customFormat="1" ht="20.25" customHeight="1">
      <c r="A412" s="51"/>
      <c r="B412" s="207">
        <v>85334</v>
      </c>
      <c r="C412" s="207" t="s">
        <v>673</v>
      </c>
      <c r="D412" s="209">
        <v>20000</v>
      </c>
      <c r="E412" s="209"/>
      <c r="F412" s="262"/>
      <c r="G412" s="211"/>
    </row>
    <row r="413" spans="1:7" s="6" customFormat="1" ht="21" customHeight="1">
      <c r="A413" s="62"/>
      <c r="B413" s="119"/>
      <c r="C413" s="119" t="s">
        <v>674</v>
      </c>
      <c r="D413" s="121">
        <v>20000</v>
      </c>
      <c r="E413" s="121"/>
      <c r="F413" s="264"/>
      <c r="G413" s="134"/>
    </row>
    <row r="414" spans="1:7" s="36" customFormat="1" ht="22.5" customHeight="1">
      <c r="A414" s="51"/>
      <c r="B414" s="207">
        <v>85395</v>
      </c>
      <c r="C414" s="207" t="s">
        <v>13</v>
      </c>
      <c r="D414" s="209"/>
      <c r="E414" s="209">
        <f>E415</f>
        <v>66000</v>
      </c>
      <c r="F414" s="262"/>
      <c r="G414" s="211"/>
    </row>
    <row r="415" spans="1:7" s="6" customFormat="1" ht="19.5" customHeight="1">
      <c r="A415" s="287"/>
      <c r="B415" s="119"/>
      <c r="C415" s="119" t="s">
        <v>638</v>
      </c>
      <c r="D415" s="121"/>
      <c r="E415" s="121">
        <v>66000</v>
      </c>
      <c r="F415" s="264"/>
      <c r="G415" s="134"/>
    </row>
    <row r="416" spans="1:7" s="6" customFormat="1" ht="18" customHeight="1" thickBot="1">
      <c r="A416" s="212">
        <v>854</v>
      </c>
      <c r="B416" s="212"/>
      <c r="C416" s="212" t="s">
        <v>27</v>
      </c>
      <c r="D416" s="225">
        <v>40198000</v>
      </c>
      <c r="E416" s="225">
        <f>E417+E421+E432+E437+E443+E450+E452+E458+E471+E480+E468+E463</f>
        <v>43869865</v>
      </c>
      <c r="F416" s="266">
        <f>F417+F421+F432+F437+F443+F450+F452+F458+F471+F480+F468+F463</f>
        <v>43111130.11000001</v>
      </c>
      <c r="G416" s="227">
        <f aca="true" t="shared" si="19" ref="G416:G436">F416/E416</f>
        <v>0.9827048729235891</v>
      </c>
    </row>
    <row r="417" spans="1:7" s="6" customFormat="1" ht="20.25" customHeight="1">
      <c r="A417" s="62"/>
      <c r="B417" s="207">
        <v>85401</v>
      </c>
      <c r="C417" s="207" t="s">
        <v>675</v>
      </c>
      <c r="D417" s="209">
        <v>7300000</v>
      </c>
      <c r="E417" s="209">
        <f>SUM(E418:E420)</f>
        <v>6945285</v>
      </c>
      <c r="F417" s="262">
        <f>SUM(F418:F420)</f>
        <v>6929136.52</v>
      </c>
      <c r="G417" s="211">
        <f t="shared" si="19"/>
        <v>0.9976749003100664</v>
      </c>
    </row>
    <row r="418" spans="1:7" s="6" customFormat="1" ht="21" customHeight="1">
      <c r="A418" s="62"/>
      <c r="B418" s="62"/>
      <c r="C418" s="282" t="s">
        <v>190</v>
      </c>
      <c r="D418" s="274">
        <v>5732900</v>
      </c>
      <c r="E418" s="274">
        <v>5415844</v>
      </c>
      <c r="F418" s="275">
        <v>5401660.92</v>
      </c>
      <c r="G418" s="276">
        <f t="shared" si="19"/>
        <v>0.9973811874935836</v>
      </c>
    </row>
    <row r="419" spans="1:7" s="6" customFormat="1" ht="18.75" customHeight="1">
      <c r="A419" s="62"/>
      <c r="B419" s="62"/>
      <c r="C419" s="62" t="s">
        <v>191</v>
      </c>
      <c r="D419" s="291">
        <v>438100</v>
      </c>
      <c r="E419" s="291">
        <v>483055</v>
      </c>
      <c r="F419" s="292">
        <v>482699.17</v>
      </c>
      <c r="G419" s="327">
        <f t="shared" si="19"/>
        <v>0.9992633758060676</v>
      </c>
    </row>
    <row r="420" spans="1:7" s="6" customFormat="1" ht="16.5" customHeight="1">
      <c r="A420" s="287"/>
      <c r="B420" s="287"/>
      <c r="C420" s="293" t="s">
        <v>192</v>
      </c>
      <c r="D420" s="294">
        <v>1129000</v>
      </c>
      <c r="E420" s="294">
        <v>1046386</v>
      </c>
      <c r="F420" s="295">
        <v>1044776.43</v>
      </c>
      <c r="G420" s="318">
        <f t="shared" si="19"/>
        <v>0.998461781789894</v>
      </c>
    </row>
    <row r="421" spans="1:7" s="6" customFormat="1" ht="19.5" customHeight="1">
      <c r="A421" s="62"/>
      <c r="B421" s="207">
        <v>85403</v>
      </c>
      <c r="C421" s="207" t="s">
        <v>676</v>
      </c>
      <c r="D421" s="209">
        <v>8480000</v>
      </c>
      <c r="E421" s="209">
        <f>SUM(E422:E431)-E424-E428</f>
        <v>10882250</v>
      </c>
      <c r="F421" s="262">
        <f>SUM(F422:F431)-F424-F428</f>
        <v>10638506.28</v>
      </c>
      <c r="G421" s="211">
        <f t="shared" si="19"/>
        <v>0.9776017165567782</v>
      </c>
    </row>
    <row r="422" spans="1:7" s="6" customFormat="1" ht="19.5" customHeight="1">
      <c r="A422" s="62"/>
      <c r="B422" s="62"/>
      <c r="C422" s="282" t="s">
        <v>190</v>
      </c>
      <c r="D422" s="274">
        <v>5480200</v>
      </c>
      <c r="E422" s="274">
        <v>5570997</v>
      </c>
      <c r="F422" s="275">
        <v>5568648.5</v>
      </c>
      <c r="G422" s="276">
        <f t="shared" si="19"/>
        <v>0.9995784417044202</v>
      </c>
    </row>
    <row r="423" spans="1:7" s="6" customFormat="1" ht="19.5" customHeight="1">
      <c r="A423" s="62"/>
      <c r="B423" s="62"/>
      <c r="C423" s="336" t="s">
        <v>191</v>
      </c>
      <c r="D423" s="337">
        <v>1279300</v>
      </c>
      <c r="E423" s="337">
        <v>1325424</v>
      </c>
      <c r="F423" s="338">
        <v>1325002.11</v>
      </c>
      <c r="G423" s="339">
        <f t="shared" si="19"/>
        <v>0.9996816943106509</v>
      </c>
    </row>
    <row r="424" spans="1:7" s="102" customFormat="1" ht="18" customHeight="1">
      <c r="A424" s="263"/>
      <c r="B424" s="263"/>
      <c r="C424" s="303" t="s">
        <v>162</v>
      </c>
      <c r="D424" s="304">
        <v>150000</v>
      </c>
      <c r="E424" s="304">
        <v>254073</v>
      </c>
      <c r="F424" s="305">
        <v>254045.6</v>
      </c>
      <c r="G424" s="306">
        <f t="shared" si="19"/>
        <v>0.9998921569785062</v>
      </c>
    </row>
    <row r="425" spans="1:7" s="6" customFormat="1" ht="18.75" customHeight="1">
      <c r="A425" s="62"/>
      <c r="B425" s="62"/>
      <c r="C425" s="336" t="s">
        <v>192</v>
      </c>
      <c r="D425" s="337">
        <v>1040500</v>
      </c>
      <c r="E425" s="337">
        <v>1090104</v>
      </c>
      <c r="F425" s="338">
        <v>1089495.51</v>
      </c>
      <c r="G425" s="339">
        <f t="shared" si="19"/>
        <v>0.9994418055524977</v>
      </c>
    </row>
    <row r="426" spans="1:7" s="6" customFormat="1" ht="19.5" customHeight="1">
      <c r="A426" s="62"/>
      <c r="B426" s="62"/>
      <c r="C426" s="302" t="s">
        <v>1</v>
      </c>
      <c r="D426" s="284">
        <v>580000</v>
      </c>
      <c r="E426" s="284">
        <v>555540</v>
      </c>
      <c r="F426" s="285">
        <v>551310</v>
      </c>
      <c r="G426" s="286">
        <f t="shared" si="19"/>
        <v>0.9923857868020305</v>
      </c>
    </row>
    <row r="427" spans="1:7" s="6" customFormat="1" ht="19.5" customHeight="1">
      <c r="A427" s="62"/>
      <c r="B427" s="62"/>
      <c r="C427" s="302" t="s">
        <v>677</v>
      </c>
      <c r="D427" s="284"/>
      <c r="E427" s="284">
        <v>2301729</v>
      </c>
      <c r="F427" s="285">
        <v>2066636.23</v>
      </c>
      <c r="G427" s="286">
        <f t="shared" si="19"/>
        <v>0.8978625329046122</v>
      </c>
    </row>
    <row r="428" spans="1:7" s="102" customFormat="1" ht="19.5" customHeight="1">
      <c r="A428" s="263"/>
      <c r="B428" s="263"/>
      <c r="C428" s="303" t="s">
        <v>164</v>
      </c>
      <c r="D428" s="304"/>
      <c r="E428" s="304">
        <v>1093307</v>
      </c>
      <c r="F428" s="305">
        <f>687922.37+349422.55</f>
        <v>1037344.9199999999</v>
      </c>
      <c r="G428" s="306">
        <f t="shared" si="19"/>
        <v>0.9488139378966749</v>
      </c>
    </row>
    <row r="429" spans="1:7" s="6" customFormat="1" ht="18.75" customHeight="1">
      <c r="A429" s="62"/>
      <c r="B429" s="62"/>
      <c r="C429" s="336" t="s">
        <v>241</v>
      </c>
      <c r="D429" s="337"/>
      <c r="E429" s="337">
        <v>23056</v>
      </c>
      <c r="F429" s="338">
        <v>22387.93</v>
      </c>
      <c r="G429" s="339">
        <f t="shared" si="19"/>
        <v>0.9710240284524636</v>
      </c>
    </row>
    <row r="430" spans="1:7" s="6" customFormat="1" ht="18.75" customHeight="1">
      <c r="A430" s="62"/>
      <c r="B430" s="62"/>
      <c r="C430" s="283" t="s">
        <v>678</v>
      </c>
      <c r="D430" s="284"/>
      <c r="E430" s="284">
        <v>4900</v>
      </c>
      <c r="F430" s="285">
        <v>4900</v>
      </c>
      <c r="G430" s="286">
        <f t="shared" si="19"/>
        <v>1</v>
      </c>
    </row>
    <row r="431" spans="1:7" s="6" customFormat="1" ht="19.5" customHeight="1">
      <c r="A431" s="62"/>
      <c r="B431" s="287"/>
      <c r="C431" s="287" t="s">
        <v>152</v>
      </c>
      <c r="D431" s="288">
        <v>100000</v>
      </c>
      <c r="E431" s="288">
        <v>10500</v>
      </c>
      <c r="F431" s="289">
        <v>10126</v>
      </c>
      <c r="G431" s="290">
        <f t="shared" si="19"/>
        <v>0.9643809523809523</v>
      </c>
    </row>
    <row r="432" spans="1:7" s="36" customFormat="1" ht="19.5" customHeight="1">
      <c r="A432" s="51"/>
      <c r="B432" s="312">
        <v>85406</v>
      </c>
      <c r="C432" s="208" t="s">
        <v>679</v>
      </c>
      <c r="D432" s="209">
        <v>6200000</v>
      </c>
      <c r="E432" s="209">
        <f>SUM(E433:E436)</f>
        <v>5590262</v>
      </c>
      <c r="F432" s="262">
        <f>SUM(F433:F436)</f>
        <v>5580357.42</v>
      </c>
      <c r="G432" s="211">
        <f t="shared" si="19"/>
        <v>0.9982282440429446</v>
      </c>
    </row>
    <row r="433" spans="1:7" s="6" customFormat="1" ht="18.75" customHeight="1">
      <c r="A433" s="62"/>
      <c r="B433" s="62"/>
      <c r="C433" s="282" t="s">
        <v>190</v>
      </c>
      <c r="D433" s="274">
        <v>4697300</v>
      </c>
      <c r="E433" s="274">
        <v>4195300</v>
      </c>
      <c r="F433" s="275">
        <v>4188025.88</v>
      </c>
      <c r="G433" s="276">
        <f t="shared" si="19"/>
        <v>0.99826612637952</v>
      </c>
    </row>
    <row r="434" spans="1:7" s="6" customFormat="1" ht="18.75" customHeight="1">
      <c r="A434" s="62"/>
      <c r="B434" s="62"/>
      <c r="C434" s="283" t="s">
        <v>191</v>
      </c>
      <c r="D434" s="284">
        <v>584400</v>
      </c>
      <c r="E434" s="284">
        <v>575662</v>
      </c>
      <c r="F434" s="285">
        <v>575232.84</v>
      </c>
      <c r="G434" s="286">
        <f t="shared" si="19"/>
        <v>0.9992544930879578</v>
      </c>
    </row>
    <row r="435" spans="1:7" s="6" customFormat="1" ht="18.75" customHeight="1">
      <c r="A435" s="62"/>
      <c r="B435" s="62"/>
      <c r="C435" s="371" t="s">
        <v>192</v>
      </c>
      <c r="D435" s="314">
        <v>918300</v>
      </c>
      <c r="E435" s="314">
        <v>814700</v>
      </c>
      <c r="F435" s="315">
        <v>812498.7</v>
      </c>
      <c r="G435" s="316">
        <f t="shared" si="19"/>
        <v>0.9972980238124463</v>
      </c>
    </row>
    <row r="436" spans="1:7" s="6" customFormat="1" ht="18.75" customHeight="1">
      <c r="A436" s="62"/>
      <c r="B436" s="287"/>
      <c r="C436" s="293" t="s">
        <v>152</v>
      </c>
      <c r="D436" s="294"/>
      <c r="E436" s="294">
        <v>4600</v>
      </c>
      <c r="F436" s="295">
        <v>4600</v>
      </c>
      <c r="G436" s="318">
        <f t="shared" si="19"/>
        <v>1</v>
      </c>
    </row>
    <row r="437" spans="1:7" s="36" customFormat="1" ht="19.5" customHeight="1">
      <c r="A437" s="51"/>
      <c r="B437" s="207">
        <v>85407</v>
      </c>
      <c r="C437" s="207" t="s">
        <v>680</v>
      </c>
      <c r="D437" s="209">
        <v>2600000</v>
      </c>
      <c r="E437" s="209">
        <f>SUM(E438:E442)-E440</f>
        <v>2431544</v>
      </c>
      <c r="F437" s="262">
        <f>SUM(F438:F442)-F440</f>
        <v>2431507.7600000002</v>
      </c>
      <c r="G437" s="211">
        <v>0.9999</v>
      </c>
    </row>
    <row r="438" spans="1:7" s="6" customFormat="1" ht="18.75" customHeight="1">
      <c r="A438" s="62"/>
      <c r="B438" s="62"/>
      <c r="C438" s="282" t="s">
        <v>190</v>
      </c>
      <c r="D438" s="274">
        <v>1866200</v>
      </c>
      <c r="E438" s="274">
        <v>1703694</v>
      </c>
      <c r="F438" s="275">
        <v>1703689.91</v>
      </c>
      <c r="G438" s="276">
        <v>0.9999</v>
      </c>
    </row>
    <row r="439" spans="1:7" s="6" customFormat="1" ht="18.75" customHeight="1">
      <c r="A439" s="62"/>
      <c r="B439" s="62"/>
      <c r="C439" s="336" t="s">
        <v>191</v>
      </c>
      <c r="D439" s="337">
        <v>380700</v>
      </c>
      <c r="E439" s="337">
        <v>389910</v>
      </c>
      <c r="F439" s="338">
        <v>389893.33</v>
      </c>
      <c r="G439" s="339">
        <v>0.9999</v>
      </c>
    </row>
    <row r="440" spans="1:7" s="102" customFormat="1" ht="18" customHeight="1">
      <c r="A440" s="263"/>
      <c r="B440" s="263"/>
      <c r="C440" s="303" t="s">
        <v>162</v>
      </c>
      <c r="D440" s="304">
        <v>50000</v>
      </c>
      <c r="E440" s="304">
        <v>34500</v>
      </c>
      <c r="F440" s="305">
        <v>34499.73</v>
      </c>
      <c r="G440" s="306">
        <v>1</v>
      </c>
    </row>
    <row r="441" spans="1:7" s="6" customFormat="1" ht="18.75" customHeight="1">
      <c r="A441" s="62"/>
      <c r="B441" s="62"/>
      <c r="C441" s="62" t="s">
        <v>192</v>
      </c>
      <c r="D441" s="291">
        <v>353100</v>
      </c>
      <c r="E441" s="291">
        <v>327940</v>
      </c>
      <c r="F441" s="292">
        <v>327925.4</v>
      </c>
      <c r="G441" s="327">
        <v>0.9999</v>
      </c>
    </row>
    <row r="442" spans="1:7" s="6" customFormat="1" ht="18.75" customHeight="1">
      <c r="A442" s="62"/>
      <c r="B442" s="287"/>
      <c r="C442" s="293" t="s">
        <v>152</v>
      </c>
      <c r="D442" s="294"/>
      <c r="E442" s="294">
        <v>10000</v>
      </c>
      <c r="F442" s="295">
        <v>9999.12</v>
      </c>
      <c r="G442" s="318">
        <v>1</v>
      </c>
    </row>
    <row r="443" spans="1:7" s="36" customFormat="1" ht="19.5" customHeight="1">
      <c r="A443" s="51"/>
      <c r="B443" s="207">
        <v>85410</v>
      </c>
      <c r="C443" s="207" t="s">
        <v>62</v>
      </c>
      <c r="D443" s="209">
        <v>7351200</v>
      </c>
      <c r="E443" s="209">
        <f>SUM(E444:E449)-E446</f>
        <v>7476806</v>
      </c>
      <c r="F443" s="262">
        <f>SUM(F444:F449)-F446</f>
        <v>7464667.779999999</v>
      </c>
      <c r="G443" s="211">
        <f aca="true" t="shared" si="20" ref="G443:G462">F443/E443</f>
        <v>0.9983765500937164</v>
      </c>
    </row>
    <row r="444" spans="1:7" s="6" customFormat="1" ht="19.5" customHeight="1">
      <c r="A444" s="62"/>
      <c r="B444" s="62"/>
      <c r="C444" s="282" t="s">
        <v>190</v>
      </c>
      <c r="D444" s="274">
        <v>4304400</v>
      </c>
      <c r="E444" s="274">
        <v>4306103</v>
      </c>
      <c r="F444" s="275">
        <v>4303461.84</v>
      </c>
      <c r="G444" s="276">
        <f t="shared" si="20"/>
        <v>0.999386647277132</v>
      </c>
    </row>
    <row r="445" spans="1:7" s="6" customFormat="1" ht="19.5" customHeight="1">
      <c r="A445" s="62"/>
      <c r="B445" s="62"/>
      <c r="C445" s="283" t="s">
        <v>191</v>
      </c>
      <c r="D445" s="284">
        <v>1600500</v>
      </c>
      <c r="E445" s="284">
        <v>1566051</v>
      </c>
      <c r="F445" s="285">
        <v>1562635.13</v>
      </c>
      <c r="G445" s="286">
        <f t="shared" si="20"/>
        <v>0.9978188002817276</v>
      </c>
    </row>
    <row r="446" spans="1:7" s="102" customFormat="1" ht="18" customHeight="1">
      <c r="A446" s="263"/>
      <c r="B446" s="263"/>
      <c r="C446" s="303" t="s">
        <v>162</v>
      </c>
      <c r="D446" s="304">
        <v>200000</v>
      </c>
      <c r="E446" s="304">
        <v>124127</v>
      </c>
      <c r="F446" s="305">
        <v>123677.85</v>
      </c>
      <c r="G446" s="306">
        <f t="shared" si="20"/>
        <v>0.9963815285957125</v>
      </c>
    </row>
    <row r="447" spans="1:7" s="6" customFormat="1" ht="18.75" customHeight="1">
      <c r="A447" s="62"/>
      <c r="B447" s="62"/>
      <c r="C447" s="336" t="s">
        <v>192</v>
      </c>
      <c r="D447" s="337">
        <v>856300</v>
      </c>
      <c r="E447" s="337">
        <v>811660</v>
      </c>
      <c r="F447" s="338">
        <v>808059.51</v>
      </c>
      <c r="G447" s="339">
        <f t="shared" si="20"/>
        <v>0.9955640415937708</v>
      </c>
    </row>
    <row r="448" spans="1:7" s="6" customFormat="1" ht="18.75" customHeight="1">
      <c r="A448" s="62"/>
      <c r="B448" s="62"/>
      <c r="C448" s="371" t="s">
        <v>63</v>
      </c>
      <c r="D448" s="314">
        <v>590000</v>
      </c>
      <c r="E448" s="314">
        <v>682992</v>
      </c>
      <c r="F448" s="315">
        <v>680512</v>
      </c>
      <c r="G448" s="316">
        <f t="shared" si="20"/>
        <v>0.9963689179375453</v>
      </c>
    </row>
    <row r="449" spans="1:7" s="6" customFormat="1" ht="18.75" customHeight="1">
      <c r="A449" s="287"/>
      <c r="B449" s="287"/>
      <c r="C449" s="293" t="s">
        <v>152</v>
      </c>
      <c r="D449" s="294"/>
      <c r="E449" s="294">
        <v>110000</v>
      </c>
      <c r="F449" s="295">
        <v>109999.3</v>
      </c>
      <c r="G449" s="318">
        <f t="shared" si="20"/>
        <v>0.9999936363636364</v>
      </c>
    </row>
    <row r="450" spans="1:7" s="36" customFormat="1" ht="29.25" customHeight="1">
      <c r="A450" s="51"/>
      <c r="B450" s="312">
        <v>85412</v>
      </c>
      <c r="C450" s="208" t="s">
        <v>681</v>
      </c>
      <c r="D450" s="209">
        <v>150000</v>
      </c>
      <c r="E450" s="209">
        <f>SUM(E451:E451)</f>
        <v>150000</v>
      </c>
      <c r="F450" s="262">
        <f>SUM(F451:F451)</f>
        <v>145949.78</v>
      </c>
      <c r="G450" s="211">
        <f t="shared" si="20"/>
        <v>0.9729985333333333</v>
      </c>
    </row>
    <row r="451" spans="1:7" s="6" customFormat="1" ht="27.75" customHeight="1">
      <c r="A451" s="62"/>
      <c r="B451" s="119"/>
      <c r="C451" s="120" t="s">
        <v>682</v>
      </c>
      <c r="D451" s="121">
        <v>150000</v>
      </c>
      <c r="E451" s="121">
        <v>150000</v>
      </c>
      <c r="F451" s="264">
        <v>145949.78</v>
      </c>
      <c r="G451" s="134">
        <f t="shared" si="20"/>
        <v>0.9729985333333333</v>
      </c>
    </row>
    <row r="452" spans="1:7" s="36" customFormat="1" ht="19.5" customHeight="1">
      <c r="A452" s="51"/>
      <c r="B452" s="207">
        <v>85415</v>
      </c>
      <c r="C452" s="207" t="s">
        <v>114</v>
      </c>
      <c r="D452" s="209">
        <v>454000</v>
      </c>
      <c r="E452" s="209">
        <f>E453+E454+E455+E457</f>
        <v>2734395</v>
      </c>
      <c r="F452" s="262">
        <f>F453+F454+F455+F457</f>
        <v>2289293.13</v>
      </c>
      <c r="G452" s="211">
        <f t="shared" si="20"/>
        <v>0.8372210781543997</v>
      </c>
    </row>
    <row r="453" spans="1:7" s="6" customFormat="1" ht="19.5" customHeight="1">
      <c r="A453" s="62"/>
      <c r="B453" s="62"/>
      <c r="C453" s="302" t="s">
        <v>683</v>
      </c>
      <c r="D453" s="284">
        <v>454000</v>
      </c>
      <c r="E453" s="284">
        <v>398115</v>
      </c>
      <c r="F453" s="285">
        <v>396225.97</v>
      </c>
      <c r="G453" s="286">
        <f t="shared" si="20"/>
        <v>0.9952550644914158</v>
      </c>
    </row>
    <row r="454" spans="1:7" s="6" customFormat="1" ht="19.5" customHeight="1">
      <c r="A454" s="62"/>
      <c r="B454" s="62"/>
      <c r="C454" s="340" t="s">
        <v>684</v>
      </c>
      <c r="D454" s="337"/>
      <c r="E454" s="337">
        <v>2036680</v>
      </c>
      <c r="F454" s="338">
        <v>1621149.21</v>
      </c>
      <c r="G454" s="339">
        <f t="shared" si="20"/>
        <v>0.7959763978631891</v>
      </c>
    </row>
    <row r="455" spans="1:7" s="6" customFormat="1" ht="19.5" customHeight="1">
      <c r="A455" s="326"/>
      <c r="B455" s="62"/>
      <c r="C455" s="302" t="s">
        <v>685</v>
      </c>
      <c r="D455" s="284"/>
      <c r="E455" s="284">
        <v>200000</v>
      </c>
      <c r="F455" s="285">
        <v>172317.95</v>
      </c>
      <c r="G455" s="286">
        <f t="shared" si="20"/>
        <v>0.86158975</v>
      </c>
    </row>
    <row r="456" spans="1:7" s="102" customFormat="1" ht="19.5" customHeight="1">
      <c r="A456" s="263"/>
      <c r="B456" s="263"/>
      <c r="C456" s="303" t="s">
        <v>146</v>
      </c>
      <c r="D456" s="304"/>
      <c r="E456" s="304">
        <v>164362</v>
      </c>
      <c r="F456" s="305">
        <v>141245.59</v>
      </c>
      <c r="G456" s="349">
        <f t="shared" si="20"/>
        <v>0.8593567247904017</v>
      </c>
    </row>
    <row r="457" spans="1:7" s="6" customFormat="1" ht="25.5">
      <c r="A457" s="326"/>
      <c r="B457" s="287"/>
      <c r="C457" s="350" t="s">
        <v>119</v>
      </c>
      <c r="D457" s="351"/>
      <c r="E457" s="351">
        <v>99600</v>
      </c>
      <c r="F457" s="352">
        <v>99600</v>
      </c>
      <c r="G457" s="346">
        <f t="shared" si="20"/>
        <v>1</v>
      </c>
    </row>
    <row r="458" spans="1:7" s="36" customFormat="1" ht="19.5" customHeight="1">
      <c r="A458" s="51"/>
      <c r="B458" s="207">
        <v>85417</v>
      </c>
      <c r="C458" s="207" t="s">
        <v>686</v>
      </c>
      <c r="D458" s="209">
        <v>282000</v>
      </c>
      <c r="E458" s="209">
        <f>SUM(E459:E462)-E461</f>
        <v>289381</v>
      </c>
      <c r="F458" s="262">
        <f>SUM(F459:F462)-F461</f>
        <v>289096.02</v>
      </c>
      <c r="G458" s="211">
        <f t="shared" si="20"/>
        <v>0.9990152083239744</v>
      </c>
    </row>
    <row r="459" spans="1:7" s="6" customFormat="1" ht="18.75" customHeight="1">
      <c r="A459" s="62"/>
      <c r="B459" s="62"/>
      <c r="C459" s="282" t="s">
        <v>190</v>
      </c>
      <c r="D459" s="274">
        <v>171500</v>
      </c>
      <c r="E459" s="274">
        <v>174500</v>
      </c>
      <c r="F459" s="275">
        <v>174499.12</v>
      </c>
      <c r="G459" s="276">
        <f t="shared" si="20"/>
        <v>0.9999949570200573</v>
      </c>
    </row>
    <row r="460" spans="1:7" s="6" customFormat="1" ht="19.5" customHeight="1">
      <c r="A460" s="326"/>
      <c r="B460" s="62"/>
      <c r="C460" s="302" t="s">
        <v>191</v>
      </c>
      <c r="D460" s="284">
        <v>76100</v>
      </c>
      <c r="E460" s="284">
        <v>79631</v>
      </c>
      <c r="F460" s="285">
        <v>79486.32</v>
      </c>
      <c r="G460" s="286">
        <f t="shared" si="20"/>
        <v>0.9981831196393365</v>
      </c>
    </row>
    <row r="461" spans="1:7" s="102" customFormat="1" ht="19.5" customHeight="1">
      <c r="A461" s="263"/>
      <c r="B461" s="263"/>
      <c r="C461" s="114" t="s">
        <v>162</v>
      </c>
      <c r="D461" s="308">
        <v>10000</v>
      </c>
      <c r="E461" s="308">
        <v>13531</v>
      </c>
      <c r="F461" s="309">
        <v>13445.62</v>
      </c>
      <c r="G461" s="310">
        <f t="shared" si="20"/>
        <v>0.9936900450816644</v>
      </c>
    </row>
    <row r="462" spans="1:7" s="6" customFormat="1" ht="18.75" customHeight="1">
      <c r="A462" s="62"/>
      <c r="B462" s="287"/>
      <c r="C462" s="287" t="s">
        <v>192</v>
      </c>
      <c r="D462" s="288">
        <v>34400</v>
      </c>
      <c r="E462" s="288">
        <v>35250</v>
      </c>
      <c r="F462" s="289">
        <v>35110.58</v>
      </c>
      <c r="G462" s="290">
        <f t="shared" si="20"/>
        <v>0.9960448226950355</v>
      </c>
    </row>
    <row r="463" spans="1:7" s="36" customFormat="1" ht="19.5" customHeight="1">
      <c r="A463" s="51"/>
      <c r="B463" s="207">
        <v>85421</v>
      </c>
      <c r="C463" s="207" t="s">
        <v>687</v>
      </c>
      <c r="D463" s="209">
        <v>570000</v>
      </c>
      <c r="E463" s="209">
        <f>SUM(E464:E467)-E466</f>
        <v>547600</v>
      </c>
      <c r="F463" s="262">
        <f>SUM(F464:F467)</f>
        <v>547594.88</v>
      </c>
      <c r="G463" s="211">
        <v>0.9999</v>
      </c>
    </row>
    <row r="464" spans="1:7" s="6" customFormat="1" ht="19.5" customHeight="1">
      <c r="A464" s="62"/>
      <c r="B464" s="62"/>
      <c r="C464" s="282" t="s">
        <v>190</v>
      </c>
      <c r="D464" s="274">
        <v>417500</v>
      </c>
      <c r="E464" s="274">
        <v>413150</v>
      </c>
      <c r="F464" s="275">
        <v>413149.36</v>
      </c>
      <c r="G464" s="276">
        <f>F464/E464</f>
        <v>0.9999984509258139</v>
      </c>
    </row>
    <row r="465" spans="1:7" s="6" customFormat="1" ht="19.5" customHeight="1">
      <c r="A465" s="62"/>
      <c r="B465" s="62"/>
      <c r="C465" s="283" t="s">
        <v>191</v>
      </c>
      <c r="D465" s="284">
        <v>69800</v>
      </c>
      <c r="E465" s="284">
        <v>55572</v>
      </c>
      <c r="F465" s="285">
        <v>55568.1</v>
      </c>
      <c r="G465" s="286">
        <f>F465/E465</f>
        <v>0.9999298207730511</v>
      </c>
    </row>
    <row r="466" spans="1:7" s="102" customFormat="1" ht="19.5" customHeight="1">
      <c r="A466" s="263"/>
      <c r="B466" s="263"/>
      <c r="C466" s="303" t="s">
        <v>162</v>
      </c>
      <c r="D466" s="304">
        <v>15000</v>
      </c>
      <c r="E466" s="304"/>
      <c r="F466" s="305"/>
      <c r="G466" s="306"/>
    </row>
    <row r="467" spans="1:7" s="6" customFormat="1" ht="18.75" customHeight="1">
      <c r="A467" s="62"/>
      <c r="B467" s="287"/>
      <c r="C467" s="287" t="s">
        <v>192</v>
      </c>
      <c r="D467" s="288">
        <v>82700</v>
      </c>
      <c r="E467" s="288">
        <v>78878</v>
      </c>
      <c r="F467" s="289">
        <v>78877.42</v>
      </c>
      <c r="G467" s="290">
        <f aca="true" t="shared" si="21" ref="G467:G476">F467/E467</f>
        <v>0.9999926468723852</v>
      </c>
    </row>
    <row r="468" spans="1:7" s="36" customFormat="1" ht="19.5" customHeight="1">
      <c r="A468" s="51"/>
      <c r="B468" s="207">
        <v>85446</v>
      </c>
      <c r="C468" s="207" t="s">
        <v>265</v>
      </c>
      <c r="D468" s="209">
        <v>178000</v>
      </c>
      <c r="E468" s="209">
        <f>E469</f>
        <v>178000</v>
      </c>
      <c r="F468" s="262">
        <f>F469</f>
        <v>171541.83</v>
      </c>
      <c r="G468" s="211">
        <f t="shared" si="21"/>
        <v>0.9637181460674157</v>
      </c>
    </row>
    <row r="469" spans="1:7" s="6" customFormat="1" ht="19.5" customHeight="1">
      <c r="A469" s="62"/>
      <c r="B469" s="91"/>
      <c r="C469" s="273" t="s">
        <v>266</v>
      </c>
      <c r="D469" s="274">
        <v>178000</v>
      </c>
      <c r="E469" s="274">
        <v>178000</v>
      </c>
      <c r="F469" s="275">
        <v>171541.83</v>
      </c>
      <c r="G469" s="276">
        <f t="shared" si="21"/>
        <v>0.9637181460674157</v>
      </c>
    </row>
    <row r="470" spans="1:7" s="102" customFormat="1" ht="18" customHeight="1">
      <c r="A470" s="263"/>
      <c r="B470" s="297"/>
      <c r="C470" s="298" t="s">
        <v>146</v>
      </c>
      <c r="D470" s="299">
        <v>71200</v>
      </c>
      <c r="E470" s="299">
        <f>46892+14263</f>
        <v>61155</v>
      </c>
      <c r="F470" s="300">
        <f>46892+12863</f>
        <v>59755</v>
      </c>
      <c r="G470" s="307">
        <f t="shared" si="21"/>
        <v>0.9771073501757829</v>
      </c>
    </row>
    <row r="471" spans="1:7" s="36" customFormat="1" ht="19.5" customHeight="1">
      <c r="A471" s="51"/>
      <c r="B471" s="207">
        <v>85495</v>
      </c>
      <c r="C471" s="207" t="s">
        <v>13</v>
      </c>
      <c r="D471" s="209">
        <v>6599800</v>
      </c>
      <c r="E471" s="209">
        <f>E472+E477+E478+E479</f>
        <v>6611342</v>
      </c>
      <c r="F471" s="262">
        <f>F472+F477+F478+F479</f>
        <v>6590478.709999999</v>
      </c>
      <c r="G471" s="211">
        <f t="shared" si="21"/>
        <v>0.9968443184454834</v>
      </c>
    </row>
    <row r="472" spans="1:7" s="6" customFormat="1" ht="19.5" customHeight="1">
      <c r="A472" s="62"/>
      <c r="B472" s="62"/>
      <c r="C472" s="383" t="s">
        <v>688</v>
      </c>
      <c r="D472" s="384">
        <v>6352800</v>
      </c>
      <c r="E472" s="384">
        <f>SUM(E473:E476)</f>
        <v>6404684</v>
      </c>
      <c r="F472" s="385">
        <f>SUM(F473:F476)</f>
        <v>6383820.709999999</v>
      </c>
      <c r="G472" s="386">
        <f t="shared" si="21"/>
        <v>0.9967424950239542</v>
      </c>
    </row>
    <row r="473" spans="1:7" s="6" customFormat="1" ht="18.75" customHeight="1">
      <c r="A473" s="62"/>
      <c r="B473" s="62"/>
      <c r="C473" s="402" t="s">
        <v>190</v>
      </c>
      <c r="D473" s="403">
        <v>4131100</v>
      </c>
      <c r="E473" s="403">
        <v>4149106</v>
      </c>
      <c r="F473" s="404">
        <v>4136567.1</v>
      </c>
      <c r="G473" s="405">
        <f t="shared" si="21"/>
        <v>0.9969779272932531</v>
      </c>
    </row>
    <row r="474" spans="1:7" s="6" customFormat="1" ht="18.75" customHeight="1">
      <c r="A474" s="62"/>
      <c r="B474" s="62"/>
      <c r="C474" s="336" t="s">
        <v>191</v>
      </c>
      <c r="D474" s="337">
        <v>1417400</v>
      </c>
      <c r="E474" s="337">
        <v>1451425</v>
      </c>
      <c r="F474" s="338">
        <v>1445595.92</v>
      </c>
      <c r="G474" s="339">
        <f t="shared" si="21"/>
        <v>0.9959838916926468</v>
      </c>
    </row>
    <row r="475" spans="1:7" s="6" customFormat="1" ht="18.75" customHeight="1">
      <c r="A475" s="62"/>
      <c r="B475" s="62"/>
      <c r="C475" s="283" t="s">
        <v>192</v>
      </c>
      <c r="D475" s="284">
        <v>804300</v>
      </c>
      <c r="E475" s="284">
        <v>788743</v>
      </c>
      <c r="F475" s="285">
        <v>786247.69</v>
      </c>
      <c r="G475" s="286">
        <f t="shared" si="21"/>
        <v>0.9968363459327055</v>
      </c>
    </row>
    <row r="476" spans="1:7" s="6" customFormat="1" ht="18.75" customHeight="1">
      <c r="A476" s="62"/>
      <c r="B476" s="62"/>
      <c r="C476" s="371" t="s">
        <v>152</v>
      </c>
      <c r="D476" s="314"/>
      <c r="E476" s="314">
        <v>15410</v>
      </c>
      <c r="F476" s="315">
        <v>15410</v>
      </c>
      <c r="G476" s="316">
        <f t="shared" si="21"/>
        <v>1</v>
      </c>
    </row>
    <row r="477" spans="1:7" s="6" customFormat="1" ht="18.75" customHeight="1">
      <c r="A477" s="287"/>
      <c r="B477" s="287"/>
      <c r="C477" s="317" t="s">
        <v>267</v>
      </c>
      <c r="D477" s="294">
        <v>2000</v>
      </c>
      <c r="E477" s="294"/>
      <c r="F477" s="295"/>
      <c r="G477" s="318"/>
    </row>
    <row r="478" spans="1:7" s="6" customFormat="1" ht="18.75" customHeight="1">
      <c r="A478" s="62"/>
      <c r="B478" s="62"/>
      <c r="C478" s="391" t="s">
        <v>689</v>
      </c>
      <c r="D478" s="392">
        <v>5000</v>
      </c>
      <c r="E478" s="392"/>
      <c r="F478" s="393"/>
      <c r="G478" s="394"/>
    </row>
    <row r="479" spans="1:7" s="6" customFormat="1" ht="19.5" customHeight="1">
      <c r="A479" s="62"/>
      <c r="B479" s="287"/>
      <c r="C479" s="325" t="s">
        <v>272</v>
      </c>
      <c r="D479" s="288">
        <v>240000</v>
      </c>
      <c r="E479" s="288">
        <v>206658</v>
      </c>
      <c r="F479" s="289">
        <v>206658</v>
      </c>
      <c r="G479" s="290">
        <f aca="true" t="shared" si="22" ref="G479:G489">F479/E479</f>
        <v>1</v>
      </c>
    </row>
    <row r="480" spans="1:7" s="36" customFormat="1" ht="19.5" customHeight="1">
      <c r="A480" s="51"/>
      <c r="B480" s="207">
        <v>85497</v>
      </c>
      <c r="C480" s="207" t="s">
        <v>273</v>
      </c>
      <c r="D480" s="209">
        <v>33000</v>
      </c>
      <c r="E480" s="209">
        <f>SUM(E481:E481)</f>
        <v>33000</v>
      </c>
      <c r="F480" s="262">
        <f>SUM(F481:F481)</f>
        <v>33000</v>
      </c>
      <c r="G480" s="211">
        <f t="shared" si="22"/>
        <v>1</v>
      </c>
    </row>
    <row r="481" spans="1:7" s="6" customFormat="1" ht="19.5" customHeight="1">
      <c r="A481" s="287"/>
      <c r="B481" s="287"/>
      <c r="C481" s="120" t="s">
        <v>274</v>
      </c>
      <c r="D481" s="121">
        <v>33000</v>
      </c>
      <c r="E481" s="121">
        <v>33000</v>
      </c>
      <c r="F481" s="264">
        <v>33000</v>
      </c>
      <c r="G481" s="134">
        <f t="shared" si="22"/>
        <v>1</v>
      </c>
    </row>
    <row r="482" spans="1:7" s="6" customFormat="1" ht="20.25" customHeight="1" thickBot="1">
      <c r="A482" s="212">
        <v>900</v>
      </c>
      <c r="B482" s="212"/>
      <c r="C482" s="212" t="s">
        <v>690</v>
      </c>
      <c r="D482" s="225">
        <v>59372000</v>
      </c>
      <c r="E482" s="225">
        <f>E483+E499+E506+E512+E514+E519+E494</f>
        <v>64162445</v>
      </c>
      <c r="F482" s="266">
        <f>F483+F499+F506+F512+F514+F519+F494</f>
        <v>59258663.25000001</v>
      </c>
      <c r="G482" s="227">
        <f t="shared" si="22"/>
        <v>0.9235723989321168</v>
      </c>
    </row>
    <row r="483" spans="1:7" s="36" customFormat="1" ht="20.25" customHeight="1">
      <c r="A483" s="51"/>
      <c r="B483" s="207">
        <v>90001</v>
      </c>
      <c r="C483" s="207" t="s">
        <v>691</v>
      </c>
      <c r="D483" s="209">
        <v>11042000</v>
      </c>
      <c r="E483" s="209">
        <f>SUM(E484:E493)-E485-E490</f>
        <v>7793500</v>
      </c>
      <c r="F483" s="262">
        <f>SUM(F484:F493)-F485-F490</f>
        <v>7089190.550000001</v>
      </c>
      <c r="G483" s="211">
        <f t="shared" si="22"/>
        <v>0.9096286071726439</v>
      </c>
    </row>
    <row r="484" spans="1:7" s="6" customFormat="1" ht="20.25" customHeight="1">
      <c r="A484" s="62"/>
      <c r="B484" s="62"/>
      <c r="C484" s="273" t="s">
        <v>692</v>
      </c>
      <c r="D484" s="274">
        <v>1800000</v>
      </c>
      <c r="E484" s="274">
        <v>1600000</v>
      </c>
      <c r="F484" s="275">
        <v>1317458.18</v>
      </c>
      <c r="G484" s="276">
        <f t="shared" si="22"/>
        <v>0.8234113624999999</v>
      </c>
    </row>
    <row r="485" spans="1:7" s="102" customFormat="1" ht="20.25" customHeight="1">
      <c r="A485" s="263"/>
      <c r="B485" s="263"/>
      <c r="C485" s="303" t="s">
        <v>162</v>
      </c>
      <c r="D485" s="304">
        <v>150000</v>
      </c>
      <c r="E485" s="304">
        <v>150000</v>
      </c>
      <c r="F485" s="305">
        <v>148243.6</v>
      </c>
      <c r="G485" s="306">
        <f t="shared" si="22"/>
        <v>0.9882906666666667</v>
      </c>
    </row>
    <row r="486" spans="1:7" s="47" customFormat="1" ht="26.25" customHeight="1">
      <c r="A486" s="62"/>
      <c r="B486" s="62"/>
      <c r="C486" s="340" t="s">
        <v>693</v>
      </c>
      <c r="D486" s="337">
        <v>210000</v>
      </c>
      <c r="E486" s="337">
        <v>205000</v>
      </c>
      <c r="F486" s="338">
        <v>181315.24</v>
      </c>
      <c r="G486" s="339">
        <f t="shared" si="22"/>
        <v>0.8844645853658536</v>
      </c>
    </row>
    <row r="487" spans="1:7" s="6" customFormat="1" ht="20.25" customHeight="1">
      <c r="A487" s="62"/>
      <c r="B487" s="62"/>
      <c r="C487" s="283" t="s">
        <v>694</v>
      </c>
      <c r="D487" s="284">
        <v>62000</v>
      </c>
      <c r="E487" s="284">
        <v>62000</v>
      </c>
      <c r="F487" s="285">
        <v>58143.73</v>
      </c>
      <c r="G487" s="286">
        <f t="shared" si="22"/>
        <v>0.9378020967741936</v>
      </c>
    </row>
    <row r="488" spans="1:7" s="47" customFormat="1" ht="20.25" customHeight="1">
      <c r="A488" s="62"/>
      <c r="B488" s="62"/>
      <c r="C488" s="283" t="s">
        <v>695</v>
      </c>
      <c r="D488" s="284">
        <v>160000</v>
      </c>
      <c r="E488" s="284">
        <v>160000</v>
      </c>
      <c r="F488" s="285">
        <v>160000</v>
      </c>
      <c r="G488" s="286">
        <f t="shared" si="22"/>
        <v>1</v>
      </c>
    </row>
    <row r="489" spans="1:7" s="47" customFormat="1" ht="20.25" customHeight="1">
      <c r="A489" s="62"/>
      <c r="B489" s="62"/>
      <c r="C489" s="336" t="s">
        <v>696</v>
      </c>
      <c r="D489" s="337">
        <v>190000</v>
      </c>
      <c r="E489" s="337">
        <v>70000</v>
      </c>
      <c r="F489" s="338">
        <v>65515.71</v>
      </c>
      <c r="G489" s="339">
        <f t="shared" si="22"/>
        <v>0.9359387142857143</v>
      </c>
    </row>
    <row r="490" spans="1:7" s="102" customFormat="1" ht="20.25" customHeight="1">
      <c r="A490" s="263"/>
      <c r="B490" s="263"/>
      <c r="C490" s="303" t="s">
        <v>162</v>
      </c>
      <c r="D490" s="304">
        <v>100000</v>
      </c>
      <c r="E490" s="304"/>
      <c r="F490" s="305"/>
      <c r="G490" s="306"/>
    </row>
    <row r="491" spans="1:7" s="6" customFormat="1" ht="20.25" customHeight="1">
      <c r="A491" s="62"/>
      <c r="B491" s="62"/>
      <c r="C491" s="336" t="s">
        <v>697</v>
      </c>
      <c r="D491" s="337">
        <v>75000</v>
      </c>
      <c r="E491" s="337">
        <v>57000</v>
      </c>
      <c r="F491" s="338">
        <v>56365.77</v>
      </c>
      <c r="G491" s="339">
        <f aca="true" t="shared" si="23" ref="G491:G496">F491/E491</f>
        <v>0.9888731578947367</v>
      </c>
    </row>
    <row r="492" spans="1:7" s="47" customFormat="1" ht="20.25" customHeight="1">
      <c r="A492" s="62"/>
      <c r="B492" s="62"/>
      <c r="C492" s="283" t="s">
        <v>698</v>
      </c>
      <c r="D492" s="284">
        <v>20000</v>
      </c>
      <c r="E492" s="284">
        <v>1000</v>
      </c>
      <c r="F492" s="285">
        <v>771.58</v>
      </c>
      <c r="G492" s="286">
        <f t="shared" si="23"/>
        <v>0.77158</v>
      </c>
    </row>
    <row r="493" spans="1:7" s="6" customFormat="1" ht="20.25" customHeight="1">
      <c r="A493" s="62"/>
      <c r="B493" s="287"/>
      <c r="C493" s="287" t="s">
        <v>152</v>
      </c>
      <c r="D493" s="288">
        <v>8525000</v>
      </c>
      <c r="E493" s="288">
        <v>5638500</v>
      </c>
      <c r="F493" s="289">
        <v>5249620.34</v>
      </c>
      <c r="G493" s="290">
        <f t="shared" si="23"/>
        <v>0.9310313629511394</v>
      </c>
    </row>
    <row r="494" spans="1:7" s="36" customFormat="1" ht="20.25" customHeight="1">
      <c r="A494" s="51"/>
      <c r="B494" s="207">
        <v>90002</v>
      </c>
      <c r="C494" s="207" t="s">
        <v>699</v>
      </c>
      <c r="D494" s="209">
        <v>14187000</v>
      </c>
      <c r="E494" s="209">
        <f>SUM(E495:E498)</f>
        <v>16452445</v>
      </c>
      <c r="F494" s="262">
        <f>SUM(F495:F498)</f>
        <v>13761337.57</v>
      </c>
      <c r="G494" s="211">
        <f t="shared" si="23"/>
        <v>0.836431154761496</v>
      </c>
    </row>
    <row r="495" spans="1:7" s="6" customFormat="1" ht="19.5" customHeight="1">
      <c r="A495" s="62"/>
      <c r="B495" s="62"/>
      <c r="C495" s="283" t="s">
        <v>700</v>
      </c>
      <c r="D495" s="284">
        <v>4000000</v>
      </c>
      <c r="E495" s="284">
        <v>3916300</v>
      </c>
      <c r="F495" s="285">
        <v>3861825.19</v>
      </c>
      <c r="G495" s="286">
        <f t="shared" si="23"/>
        <v>0.9860902356816382</v>
      </c>
    </row>
    <row r="496" spans="1:7" s="6" customFormat="1" ht="18.75" customHeight="1">
      <c r="A496" s="62"/>
      <c r="B496" s="62"/>
      <c r="C496" s="283" t="s">
        <v>697</v>
      </c>
      <c r="D496" s="284">
        <v>420000</v>
      </c>
      <c r="E496" s="284">
        <v>503700</v>
      </c>
      <c r="F496" s="285">
        <v>500356.73</v>
      </c>
      <c r="G496" s="286">
        <f t="shared" si="23"/>
        <v>0.9933625769307127</v>
      </c>
    </row>
    <row r="497" spans="1:7" s="6" customFormat="1" ht="27.75" customHeight="1">
      <c r="A497" s="62"/>
      <c r="B497" s="62"/>
      <c r="C497" s="326" t="s">
        <v>701</v>
      </c>
      <c r="D497" s="291"/>
      <c r="E497" s="291">
        <v>205066</v>
      </c>
      <c r="F497" s="292">
        <v>205065.27</v>
      </c>
      <c r="G497" s="327">
        <v>1</v>
      </c>
    </row>
    <row r="498" spans="1:7" s="6" customFormat="1" ht="18.75" customHeight="1">
      <c r="A498" s="62"/>
      <c r="B498" s="287"/>
      <c r="C498" s="293" t="s">
        <v>152</v>
      </c>
      <c r="D498" s="294">
        <v>9767000</v>
      </c>
      <c r="E498" s="294">
        <v>11827379</v>
      </c>
      <c r="F498" s="295">
        <v>9194090.38</v>
      </c>
      <c r="G498" s="318">
        <f>F498/E498</f>
        <v>0.777356536896298</v>
      </c>
    </row>
    <row r="499" spans="1:7" s="36" customFormat="1" ht="19.5" customHeight="1">
      <c r="A499" s="51"/>
      <c r="B499" s="207">
        <v>90003</v>
      </c>
      <c r="C499" s="207" t="s">
        <v>702</v>
      </c>
      <c r="D499" s="209">
        <v>8717000</v>
      </c>
      <c r="E499" s="209">
        <f>SUM(E500:E505)</f>
        <v>9098479</v>
      </c>
      <c r="F499" s="262">
        <f>SUM(F500:F505)</f>
        <v>9094931.4</v>
      </c>
      <c r="G499" s="211">
        <f>F499/E499</f>
        <v>0.999610088675261</v>
      </c>
    </row>
    <row r="500" spans="1:7" s="6" customFormat="1" ht="21.75" customHeight="1">
      <c r="A500" s="62"/>
      <c r="B500" s="62"/>
      <c r="C500" s="282" t="s">
        <v>703</v>
      </c>
      <c r="D500" s="274">
        <v>7000000</v>
      </c>
      <c r="E500" s="274">
        <v>7507960</v>
      </c>
      <c r="F500" s="275">
        <v>7507949.43</v>
      </c>
      <c r="G500" s="276">
        <v>0.9999</v>
      </c>
    </row>
    <row r="501" spans="1:7" s="6" customFormat="1" ht="18.75" customHeight="1">
      <c r="A501" s="62"/>
      <c r="B501" s="62"/>
      <c r="C501" s="283" t="s">
        <v>704</v>
      </c>
      <c r="D501" s="284">
        <v>1100000</v>
      </c>
      <c r="E501" s="284">
        <v>1075000</v>
      </c>
      <c r="F501" s="285">
        <v>1071464.71</v>
      </c>
      <c r="G501" s="286">
        <f>F501/E501</f>
        <v>0.9967113581395348</v>
      </c>
    </row>
    <row r="502" spans="1:7" s="6" customFormat="1" ht="18.75" customHeight="1">
      <c r="A502" s="62"/>
      <c r="B502" s="62"/>
      <c r="C502" s="336" t="s">
        <v>705</v>
      </c>
      <c r="D502" s="337">
        <v>120000</v>
      </c>
      <c r="E502" s="337">
        <v>125030</v>
      </c>
      <c r="F502" s="338">
        <v>125029.99</v>
      </c>
      <c r="G502" s="339">
        <f>F502/E502</f>
        <v>0.9999999200191955</v>
      </c>
    </row>
    <row r="503" spans="1:7" s="6" customFormat="1" ht="18.75" customHeight="1">
      <c r="A503" s="62"/>
      <c r="B503" s="62"/>
      <c r="C503" s="283" t="s">
        <v>706</v>
      </c>
      <c r="D503" s="284">
        <v>380000</v>
      </c>
      <c r="E503" s="284">
        <v>374648</v>
      </c>
      <c r="F503" s="285">
        <v>374647.2</v>
      </c>
      <c r="G503" s="339">
        <f>F503/E503</f>
        <v>0.9999978646622963</v>
      </c>
    </row>
    <row r="504" spans="1:7" s="6" customFormat="1" ht="21.75" customHeight="1">
      <c r="A504" s="62"/>
      <c r="B504" s="62"/>
      <c r="C504" s="283" t="s">
        <v>707</v>
      </c>
      <c r="D504" s="284">
        <v>17000</v>
      </c>
      <c r="E504" s="284">
        <v>15841</v>
      </c>
      <c r="F504" s="285">
        <v>15840.07</v>
      </c>
      <c r="G504" s="339">
        <v>1</v>
      </c>
    </row>
    <row r="505" spans="1:7" s="6" customFormat="1" ht="18.75" customHeight="1">
      <c r="A505" s="287"/>
      <c r="B505" s="287"/>
      <c r="C505" s="287" t="s">
        <v>152</v>
      </c>
      <c r="D505" s="288">
        <v>100000</v>
      </c>
      <c r="E505" s="288"/>
      <c r="F505" s="289"/>
      <c r="G505" s="290"/>
    </row>
    <row r="506" spans="1:7" s="36" customFormat="1" ht="19.5" customHeight="1">
      <c r="A506" s="381"/>
      <c r="B506" s="52">
        <v>90004</v>
      </c>
      <c r="C506" s="52" t="s">
        <v>708</v>
      </c>
      <c r="D506" s="54">
        <v>3640000</v>
      </c>
      <c r="E506" s="54">
        <f>SUM(E507:E511)</f>
        <v>3740000</v>
      </c>
      <c r="F506" s="319">
        <f>SUM(F507:F511)</f>
        <v>3735448.04</v>
      </c>
      <c r="G506" s="320">
        <f aca="true" t="shared" si="24" ref="G506:G521">F506/E506</f>
        <v>0.998782898395722</v>
      </c>
    </row>
    <row r="507" spans="1:7" s="6" customFormat="1" ht="20.25" customHeight="1">
      <c r="A507" s="62"/>
      <c r="B507" s="62"/>
      <c r="C507" s="273" t="s">
        <v>709</v>
      </c>
      <c r="D507" s="274">
        <v>240000</v>
      </c>
      <c r="E507" s="274">
        <v>222840</v>
      </c>
      <c r="F507" s="275">
        <v>222840.09</v>
      </c>
      <c r="G507" s="276">
        <f t="shared" si="24"/>
        <v>1.0000004038772212</v>
      </c>
    </row>
    <row r="508" spans="1:7" s="6" customFormat="1" ht="18.75" customHeight="1">
      <c r="A508" s="62"/>
      <c r="B508" s="62"/>
      <c r="C508" s="283" t="s">
        <v>710</v>
      </c>
      <c r="D508" s="284">
        <v>2500000</v>
      </c>
      <c r="E508" s="284">
        <v>2820840</v>
      </c>
      <c r="F508" s="285">
        <v>2820250.52</v>
      </c>
      <c r="G508" s="286">
        <f t="shared" si="24"/>
        <v>0.9997910267863473</v>
      </c>
    </row>
    <row r="509" spans="1:7" s="6" customFormat="1" ht="18.75" customHeight="1">
      <c r="A509" s="62"/>
      <c r="B509" s="62"/>
      <c r="C509" s="326" t="s">
        <v>711</v>
      </c>
      <c r="D509" s="291">
        <v>30000</v>
      </c>
      <c r="E509" s="291">
        <v>30000</v>
      </c>
      <c r="F509" s="292">
        <v>29708.7</v>
      </c>
      <c r="G509" s="327">
        <f t="shared" si="24"/>
        <v>0.99029</v>
      </c>
    </row>
    <row r="510" spans="1:7" s="6" customFormat="1" ht="19.5" customHeight="1">
      <c r="A510" s="62"/>
      <c r="B510" s="62"/>
      <c r="C510" s="302" t="s">
        <v>712</v>
      </c>
      <c r="D510" s="284">
        <v>70000</v>
      </c>
      <c r="E510" s="284">
        <v>66320</v>
      </c>
      <c r="F510" s="285">
        <v>66310.27</v>
      </c>
      <c r="G510" s="286">
        <f t="shared" si="24"/>
        <v>0.999853287092883</v>
      </c>
    </row>
    <row r="511" spans="1:7" s="6" customFormat="1" ht="18.75" customHeight="1">
      <c r="A511" s="62"/>
      <c r="B511" s="287"/>
      <c r="C511" s="287" t="s">
        <v>152</v>
      </c>
      <c r="D511" s="288">
        <v>800000</v>
      </c>
      <c r="E511" s="288">
        <v>600000</v>
      </c>
      <c r="F511" s="289">
        <v>596338.46</v>
      </c>
      <c r="G511" s="290">
        <f t="shared" si="24"/>
        <v>0.9938974333333332</v>
      </c>
    </row>
    <row r="512" spans="1:7" s="36" customFormat="1" ht="19.5" customHeight="1">
      <c r="A512" s="51"/>
      <c r="B512" s="207">
        <v>90013</v>
      </c>
      <c r="C512" s="207" t="s">
        <v>713</v>
      </c>
      <c r="D512" s="209">
        <v>310000</v>
      </c>
      <c r="E512" s="209">
        <f>SUM(E513:E513)</f>
        <v>310000</v>
      </c>
      <c r="F512" s="262">
        <f>SUM(F513:F513)</f>
        <v>309489.6</v>
      </c>
      <c r="G512" s="211">
        <f t="shared" si="24"/>
        <v>0.9983535483870967</v>
      </c>
    </row>
    <row r="513" spans="1:7" s="6" customFormat="1" ht="18.75" customHeight="1">
      <c r="A513" s="62"/>
      <c r="B513" s="287"/>
      <c r="C513" s="287" t="s">
        <v>714</v>
      </c>
      <c r="D513" s="288">
        <v>310000</v>
      </c>
      <c r="E513" s="288">
        <v>310000</v>
      </c>
      <c r="F513" s="289">
        <v>309489.6</v>
      </c>
      <c r="G513" s="290">
        <f t="shared" si="24"/>
        <v>0.9983535483870967</v>
      </c>
    </row>
    <row r="514" spans="1:7" s="36" customFormat="1" ht="19.5" customHeight="1">
      <c r="A514" s="51"/>
      <c r="B514" s="207">
        <v>90015</v>
      </c>
      <c r="C514" s="207" t="s">
        <v>715</v>
      </c>
      <c r="D514" s="209">
        <v>7950000</v>
      </c>
      <c r="E514" s="209">
        <f>SUM(E515:E518)-E517</f>
        <v>8308000</v>
      </c>
      <c r="F514" s="262">
        <f>SUM(F515:F518)-F517</f>
        <v>8266554.0600000005</v>
      </c>
      <c r="G514" s="211">
        <f t="shared" si="24"/>
        <v>0.9950113216177179</v>
      </c>
    </row>
    <row r="515" spans="1:7" s="6" customFormat="1" ht="18.75" customHeight="1">
      <c r="A515" s="62"/>
      <c r="B515" s="62"/>
      <c r="C515" s="282" t="s">
        <v>716</v>
      </c>
      <c r="D515" s="274">
        <v>4500000</v>
      </c>
      <c r="E515" s="274">
        <v>4694000</v>
      </c>
      <c r="F515" s="275">
        <v>4657126.23</v>
      </c>
      <c r="G515" s="276">
        <f t="shared" si="24"/>
        <v>0.9921444887089903</v>
      </c>
    </row>
    <row r="516" spans="1:7" s="6" customFormat="1" ht="18.75" customHeight="1">
      <c r="A516" s="62"/>
      <c r="B516" s="62"/>
      <c r="C516" s="283" t="s">
        <v>717</v>
      </c>
      <c r="D516" s="284">
        <v>3100000</v>
      </c>
      <c r="E516" s="284">
        <v>3164000</v>
      </c>
      <c r="F516" s="285">
        <v>3159618.63</v>
      </c>
      <c r="G516" s="286">
        <f t="shared" si="24"/>
        <v>0.9986152433628318</v>
      </c>
    </row>
    <row r="517" spans="1:7" s="102" customFormat="1" ht="19.5" customHeight="1">
      <c r="A517" s="263"/>
      <c r="B517" s="263"/>
      <c r="C517" s="303" t="s">
        <v>162</v>
      </c>
      <c r="D517" s="304">
        <v>50000</v>
      </c>
      <c r="E517" s="304">
        <v>50000</v>
      </c>
      <c r="F517" s="305">
        <v>48465.78</v>
      </c>
      <c r="G517" s="306">
        <f t="shared" si="24"/>
        <v>0.9693155999999999</v>
      </c>
    </row>
    <row r="518" spans="1:7" s="6" customFormat="1" ht="18.75" customHeight="1">
      <c r="A518" s="62"/>
      <c r="B518" s="287"/>
      <c r="C518" s="287" t="s">
        <v>152</v>
      </c>
      <c r="D518" s="288">
        <v>350000</v>
      </c>
      <c r="E518" s="288">
        <v>450000</v>
      </c>
      <c r="F518" s="289">
        <v>449809.2</v>
      </c>
      <c r="G518" s="290">
        <f t="shared" si="24"/>
        <v>0.999576</v>
      </c>
    </row>
    <row r="519" spans="1:7" s="36" customFormat="1" ht="21" customHeight="1">
      <c r="A519" s="51"/>
      <c r="B519" s="207">
        <v>90095</v>
      </c>
      <c r="C519" s="207" t="s">
        <v>13</v>
      </c>
      <c r="D519" s="209">
        <v>13526000</v>
      </c>
      <c r="E519" s="209">
        <f>SUM(E520:E524)</f>
        <v>18460021</v>
      </c>
      <c r="F519" s="262">
        <f>SUM(F520:F524)</f>
        <v>17001712.029999997</v>
      </c>
      <c r="G519" s="211">
        <f t="shared" si="24"/>
        <v>0.9210017707997189</v>
      </c>
    </row>
    <row r="520" spans="1:7" s="6" customFormat="1" ht="20.25" customHeight="1">
      <c r="A520" s="62"/>
      <c r="B520" s="62"/>
      <c r="C520" s="283" t="s">
        <v>718</v>
      </c>
      <c r="D520" s="284">
        <v>45000</v>
      </c>
      <c r="E520" s="284">
        <v>63521</v>
      </c>
      <c r="F520" s="285">
        <v>63434.96</v>
      </c>
      <c r="G520" s="286">
        <f t="shared" si="24"/>
        <v>0.9986454873191543</v>
      </c>
    </row>
    <row r="521" spans="1:7" s="6" customFormat="1" ht="18.75" customHeight="1">
      <c r="A521" s="62"/>
      <c r="B521" s="62"/>
      <c r="C521" s="283" t="s">
        <v>719</v>
      </c>
      <c r="D521" s="284">
        <v>45000</v>
      </c>
      <c r="E521" s="284">
        <v>45000</v>
      </c>
      <c r="F521" s="285">
        <v>44855.33</v>
      </c>
      <c r="G521" s="286">
        <f t="shared" si="24"/>
        <v>0.9967851111111111</v>
      </c>
    </row>
    <row r="522" spans="1:7" s="6" customFormat="1" ht="18.75" customHeight="1">
      <c r="A522" s="62"/>
      <c r="B522" s="62"/>
      <c r="C522" s="283" t="s">
        <v>720</v>
      </c>
      <c r="D522" s="284">
        <v>40000</v>
      </c>
      <c r="E522" s="284"/>
      <c r="F522" s="285"/>
      <c r="G522" s="286"/>
    </row>
    <row r="523" spans="1:7" s="6" customFormat="1" ht="18.75" customHeight="1">
      <c r="A523" s="62"/>
      <c r="B523" s="62"/>
      <c r="C523" s="283" t="s">
        <v>721</v>
      </c>
      <c r="D523" s="284"/>
      <c r="E523" s="284">
        <v>20000</v>
      </c>
      <c r="F523" s="285">
        <v>6879.16</v>
      </c>
      <c r="G523" s="286">
        <f aca="true" t="shared" si="25" ref="G523:G560">F523/E523</f>
        <v>0.343958</v>
      </c>
    </row>
    <row r="524" spans="1:7" s="6" customFormat="1" ht="18.75" customHeight="1">
      <c r="A524" s="287"/>
      <c r="B524" s="287"/>
      <c r="C524" s="287" t="s">
        <v>152</v>
      </c>
      <c r="D524" s="288">
        <v>13396000</v>
      </c>
      <c r="E524" s="288">
        <v>18331500</v>
      </c>
      <c r="F524" s="289">
        <v>16886542.58</v>
      </c>
      <c r="G524" s="290">
        <f t="shared" si="25"/>
        <v>0.9211762583531079</v>
      </c>
    </row>
    <row r="525" spans="1:7" s="6" customFormat="1" ht="21" customHeight="1" thickBot="1">
      <c r="A525" s="212">
        <v>921</v>
      </c>
      <c r="B525" s="212"/>
      <c r="C525" s="212" t="s">
        <v>16</v>
      </c>
      <c r="D525" s="225">
        <v>14790000</v>
      </c>
      <c r="E525" s="225">
        <f>E526+E535+E539+E548+E550+E560+E554</f>
        <v>15515412</v>
      </c>
      <c r="F525" s="266">
        <f>F526+F535+F539+F548+F550+F560+F554</f>
        <v>15274712.84</v>
      </c>
      <c r="G525" s="227">
        <f t="shared" si="25"/>
        <v>0.984486447411129</v>
      </c>
    </row>
    <row r="526" spans="1:7" s="406" customFormat="1" ht="19.5" customHeight="1">
      <c r="A526" s="51"/>
      <c r="B526" s="207">
        <v>92105</v>
      </c>
      <c r="C526" s="207" t="s">
        <v>17</v>
      </c>
      <c r="D526" s="209">
        <v>796000</v>
      </c>
      <c r="E526" s="209">
        <f>E527+E528+E529+E530+E533+E534+E532</f>
        <v>852786</v>
      </c>
      <c r="F526" s="262">
        <f>F527+F528+F529+F530+F534+F533+F532</f>
        <v>737887.4400000001</v>
      </c>
      <c r="G526" s="211">
        <f t="shared" si="25"/>
        <v>0.8652668313035159</v>
      </c>
    </row>
    <row r="527" spans="1:7" s="6" customFormat="1" ht="20.25" customHeight="1">
      <c r="A527" s="62"/>
      <c r="B527" s="62"/>
      <c r="C527" s="283" t="s">
        <v>722</v>
      </c>
      <c r="D527" s="284">
        <v>721000</v>
      </c>
      <c r="E527" s="284">
        <v>721000</v>
      </c>
      <c r="F527" s="285">
        <v>642068.56</v>
      </c>
      <c r="G527" s="286">
        <f t="shared" si="25"/>
        <v>0.8905250485436894</v>
      </c>
    </row>
    <row r="528" spans="1:7" s="407" customFormat="1" ht="20.25" customHeight="1">
      <c r="A528" s="62"/>
      <c r="B528" s="62"/>
      <c r="C528" s="336" t="s">
        <v>723</v>
      </c>
      <c r="D528" s="337">
        <v>35000</v>
      </c>
      <c r="E528" s="337">
        <v>35000</v>
      </c>
      <c r="F528" s="338">
        <v>28150</v>
      </c>
      <c r="G528" s="339">
        <f t="shared" si="25"/>
        <v>0.8042857142857143</v>
      </c>
    </row>
    <row r="529" spans="1:7" s="407" customFormat="1" ht="19.5" customHeight="1">
      <c r="A529" s="62"/>
      <c r="B529" s="62"/>
      <c r="C529" s="336" t="s">
        <v>724</v>
      </c>
      <c r="D529" s="337">
        <v>30000</v>
      </c>
      <c r="E529" s="337">
        <v>30000</v>
      </c>
      <c r="F529" s="338">
        <v>15000</v>
      </c>
      <c r="G529" s="339">
        <f t="shared" si="25"/>
        <v>0.5</v>
      </c>
    </row>
    <row r="530" spans="1:7" s="407" customFormat="1" ht="18.75" customHeight="1">
      <c r="A530" s="62"/>
      <c r="B530" s="62"/>
      <c r="C530" s="302" t="s">
        <v>745</v>
      </c>
      <c r="D530" s="284">
        <v>10000</v>
      </c>
      <c r="E530" s="284">
        <v>10000</v>
      </c>
      <c r="F530" s="285">
        <v>9991.9</v>
      </c>
      <c r="G530" s="286">
        <f t="shared" si="25"/>
        <v>0.9991899999999999</v>
      </c>
    </row>
    <row r="531" spans="1:7" s="408" customFormat="1" ht="19.5" customHeight="1">
      <c r="A531" s="263"/>
      <c r="B531" s="263"/>
      <c r="C531" s="321" t="s">
        <v>746</v>
      </c>
      <c r="D531" s="347">
        <v>8000</v>
      </c>
      <c r="E531" s="347">
        <v>8878</v>
      </c>
      <c r="F531" s="348">
        <v>8870</v>
      </c>
      <c r="G531" s="349">
        <f t="shared" si="25"/>
        <v>0.999098896147781</v>
      </c>
    </row>
    <row r="532" spans="1:7" s="407" customFormat="1" ht="20.25" customHeight="1">
      <c r="A532" s="62"/>
      <c r="B532" s="62"/>
      <c r="C532" s="332" t="s">
        <v>747</v>
      </c>
      <c r="D532" s="333"/>
      <c r="E532" s="333">
        <v>25586</v>
      </c>
      <c r="F532" s="334">
        <v>19510.79</v>
      </c>
      <c r="G532" s="335">
        <f t="shared" si="25"/>
        <v>0.7625572578754006</v>
      </c>
    </row>
    <row r="533" spans="1:7" s="407" customFormat="1" ht="19.5" customHeight="1">
      <c r="A533" s="62"/>
      <c r="B533" s="62"/>
      <c r="C533" s="409" t="s">
        <v>748</v>
      </c>
      <c r="D533" s="410"/>
      <c r="E533" s="410">
        <v>5000</v>
      </c>
      <c r="F533" s="411">
        <v>5000</v>
      </c>
      <c r="G533" s="412">
        <f t="shared" si="25"/>
        <v>1</v>
      </c>
    </row>
    <row r="534" spans="1:7" s="407" customFormat="1" ht="22.5" customHeight="1">
      <c r="A534" s="287"/>
      <c r="B534" s="287"/>
      <c r="C534" s="317" t="s">
        <v>749</v>
      </c>
      <c r="D534" s="294"/>
      <c r="E534" s="294">
        <v>26200</v>
      </c>
      <c r="F534" s="295">
        <v>18166.19</v>
      </c>
      <c r="G534" s="413">
        <f t="shared" si="25"/>
        <v>0.6933660305343511</v>
      </c>
    </row>
    <row r="535" spans="1:7" s="36" customFormat="1" ht="19.5" customHeight="1">
      <c r="A535" s="381"/>
      <c r="B535" s="52">
        <v>92106</v>
      </c>
      <c r="C535" s="52" t="s">
        <v>750</v>
      </c>
      <c r="D535" s="54">
        <v>2307000</v>
      </c>
      <c r="E535" s="54">
        <f>E536</f>
        <v>2307000</v>
      </c>
      <c r="F535" s="319">
        <f>F536</f>
        <v>2307000</v>
      </c>
      <c r="G535" s="320">
        <f t="shared" si="25"/>
        <v>1</v>
      </c>
    </row>
    <row r="536" spans="1:7" s="6" customFormat="1" ht="19.5" customHeight="1">
      <c r="A536" s="62"/>
      <c r="B536" s="91"/>
      <c r="C536" s="282" t="s">
        <v>751</v>
      </c>
      <c r="D536" s="274">
        <v>2307000</v>
      </c>
      <c r="E536" s="274">
        <v>2307000</v>
      </c>
      <c r="F536" s="275">
        <v>2307000</v>
      </c>
      <c r="G536" s="276">
        <f t="shared" si="25"/>
        <v>1</v>
      </c>
    </row>
    <row r="537" spans="1:7" s="102" customFormat="1" ht="18" customHeight="1">
      <c r="A537" s="263"/>
      <c r="B537" s="263"/>
      <c r="C537" s="303" t="s">
        <v>162</v>
      </c>
      <c r="D537" s="308">
        <v>20000</v>
      </c>
      <c r="E537" s="308">
        <v>20000</v>
      </c>
      <c r="F537" s="309">
        <v>20000</v>
      </c>
      <c r="G537" s="310">
        <f t="shared" si="25"/>
        <v>1</v>
      </c>
    </row>
    <row r="538" spans="1:7" s="6" customFormat="1" ht="18" customHeight="1">
      <c r="A538" s="62"/>
      <c r="B538" s="62"/>
      <c r="C538" s="263" t="s">
        <v>164</v>
      </c>
      <c r="D538" s="341">
        <v>37000</v>
      </c>
      <c r="E538" s="341">
        <v>37000</v>
      </c>
      <c r="F538" s="342">
        <v>37000</v>
      </c>
      <c r="G538" s="343">
        <f t="shared" si="25"/>
        <v>1</v>
      </c>
    </row>
    <row r="539" spans="1:7" s="6" customFormat="1" ht="19.5" customHeight="1">
      <c r="A539" s="62"/>
      <c r="B539" s="52">
        <v>92109</v>
      </c>
      <c r="C539" s="52" t="s">
        <v>752</v>
      </c>
      <c r="D539" s="54">
        <v>2325000</v>
      </c>
      <c r="E539" s="54">
        <f>E540+E542+E543+E547</f>
        <v>2398626</v>
      </c>
      <c r="F539" s="319">
        <f>F540+F542+F543+F547</f>
        <v>2398628.2</v>
      </c>
      <c r="G539" s="320">
        <f t="shared" si="25"/>
        <v>1.000000917191759</v>
      </c>
    </row>
    <row r="540" spans="1:7" s="6" customFormat="1" ht="19.5" customHeight="1">
      <c r="A540" s="62"/>
      <c r="B540" s="62"/>
      <c r="C540" s="273" t="s">
        <v>753</v>
      </c>
      <c r="D540" s="274">
        <v>570000</v>
      </c>
      <c r="E540" s="274">
        <v>570000</v>
      </c>
      <c r="F540" s="275">
        <v>570000</v>
      </c>
      <c r="G540" s="276">
        <f t="shared" si="25"/>
        <v>1</v>
      </c>
    </row>
    <row r="541" spans="1:7" s="102" customFormat="1" ht="19.5" customHeight="1">
      <c r="A541" s="263"/>
      <c r="B541" s="263"/>
      <c r="C541" s="303" t="s">
        <v>162</v>
      </c>
      <c r="D541" s="304">
        <v>30000</v>
      </c>
      <c r="E541" s="304">
        <v>30000</v>
      </c>
      <c r="F541" s="305">
        <v>30000</v>
      </c>
      <c r="G541" s="310">
        <f t="shared" si="25"/>
        <v>1</v>
      </c>
    </row>
    <row r="542" spans="1:7" s="407" customFormat="1" ht="19.5" customHeight="1">
      <c r="A542" s="62"/>
      <c r="B542" s="62"/>
      <c r="C542" s="340" t="s">
        <v>754</v>
      </c>
      <c r="D542" s="337">
        <v>1020000</v>
      </c>
      <c r="E542" s="337">
        <v>1020000</v>
      </c>
      <c r="F542" s="338">
        <v>1020000</v>
      </c>
      <c r="G542" s="339">
        <f t="shared" si="25"/>
        <v>1</v>
      </c>
    </row>
    <row r="543" spans="1:7" s="407" customFormat="1" ht="19.5" customHeight="1">
      <c r="A543" s="62"/>
      <c r="B543" s="62"/>
      <c r="C543" s="302" t="s">
        <v>755</v>
      </c>
      <c r="D543" s="284">
        <v>735000</v>
      </c>
      <c r="E543" s="284">
        <v>795000</v>
      </c>
      <c r="F543" s="285">
        <v>795000</v>
      </c>
      <c r="G543" s="286">
        <f t="shared" si="25"/>
        <v>1</v>
      </c>
    </row>
    <row r="544" spans="1:7" s="408" customFormat="1" ht="19.5" customHeight="1">
      <c r="A544" s="263"/>
      <c r="B544" s="263"/>
      <c r="C544" s="303" t="s">
        <v>756</v>
      </c>
      <c r="D544" s="304">
        <v>180000</v>
      </c>
      <c r="E544" s="304">
        <v>180000</v>
      </c>
      <c r="F544" s="305">
        <v>180000</v>
      </c>
      <c r="G544" s="306">
        <f t="shared" si="25"/>
        <v>1</v>
      </c>
    </row>
    <row r="545" spans="1:7" s="408" customFormat="1" ht="19.5" customHeight="1">
      <c r="A545" s="263"/>
      <c r="B545" s="263"/>
      <c r="C545" s="112" t="s">
        <v>162</v>
      </c>
      <c r="D545" s="322"/>
      <c r="E545" s="322">
        <v>60000</v>
      </c>
      <c r="F545" s="323">
        <v>60000</v>
      </c>
      <c r="G545" s="324">
        <f t="shared" si="25"/>
        <v>1</v>
      </c>
    </row>
    <row r="546" spans="1:7" s="408" customFormat="1" ht="19.5" customHeight="1">
      <c r="A546" s="263"/>
      <c r="B546" s="263"/>
      <c r="C546" s="114" t="s">
        <v>757</v>
      </c>
      <c r="D546" s="308">
        <v>10000</v>
      </c>
      <c r="E546" s="308">
        <v>10000</v>
      </c>
      <c r="F546" s="309">
        <v>10000</v>
      </c>
      <c r="G546" s="310">
        <f t="shared" si="25"/>
        <v>1</v>
      </c>
    </row>
    <row r="547" spans="1:7" s="407" customFormat="1" ht="19.5" customHeight="1">
      <c r="A547" s="62"/>
      <c r="B547" s="287"/>
      <c r="C547" s="350" t="s">
        <v>758</v>
      </c>
      <c r="D547" s="351"/>
      <c r="E547" s="351">
        <v>13626</v>
      </c>
      <c r="F547" s="352">
        <v>13628.2</v>
      </c>
      <c r="G547" s="346">
        <f t="shared" si="25"/>
        <v>1.0001614560399237</v>
      </c>
    </row>
    <row r="548" spans="1:7" s="36" customFormat="1" ht="16.5" customHeight="1">
      <c r="A548" s="51"/>
      <c r="B548" s="207">
        <v>92110</v>
      </c>
      <c r="C548" s="207" t="s">
        <v>759</v>
      </c>
      <c r="D548" s="209">
        <v>747000</v>
      </c>
      <c r="E548" s="209">
        <f>E549</f>
        <v>747000</v>
      </c>
      <c r="F548" s="262">
        <f>F549</f>
        <v>747000</v>
      </c>
      <c r="G548" s="211">
        <f t="shared" si="25"/>
        <v>1</v>
      </c>
    </row>
    <row r="549" spans="1:7" s="6" customFormat="1" ht="19.5" customHeight="1">
      <c r="A549" s="62"/>
      <c r="B549" s="119"/>
      <c r="C549" s="119" t="s">
        <v>760</v>
      </c>
      <c r="D549" s="121">
        <v>747000</v>
      </c>
      <c r="E549" s="121">
        <v>747000</v>
      </c>
      <c r="F549" s="264">
        <v>747000</v>
      </c>
      <c r="G549" s="134">
        <f t="shared" si="25"/>
        <v>1</v>
      </c>
    </row>
    <row r="550" spans="1:7" s="36" customFormat="1" ht="17.25" customHeight="1">
      <c r="A550" s="51"/>
      <c r="B550" s="207">
        <v>92113</v>
      </c>
      <c r="C550" s="207" t="s">
        <v>761</v>
      </c>
      <c r="D550" s="209">
        <v>2330000</v>
      </c>
      <c r="E550" s="209">
        <f>SUM(E551:E553)</f>
        <v>2330000</v>
      </c>
      <c r="F550" s="262">
        <f>SUM(F551:F553)</f>
        <v>2240980</v>
      </c>
      <c r="G550" s="211">
        <f t="shared" si="25"/>
        <v>0.9617939914163091</v>
      </c>
    </row>
    <row r="551" spans="1:7" s="6" customFormat="1" ht="19.5" customHeight="1">
      <c r="A551" s="62"/>
      <c r="B551" s="62"/>
      <c r="C551" s="273" t="s">
        <v>762</v>
      </c>
      <c r="D551" s="274">
        <v>2130000</v>
      </c>
      <c r="E551" s="274">
        <v>2130000</v>
      </c>
      <c r="F551" s="275">
        <v>2130000</v>
      </c>
      <c r="G551" s="276">
        <f t="shared" si="25"/>
        <v>1</v>
      </c>
    </row>
    <row r="552" spans="1:7" s="6" customFormat="1" ht="17.25" customHeight="1">
      <c r="A552" s="62"/>
      <c r="B552" s="62"/>
      <c r="C552" s="326" t="s">
        <v>763</v>
      </c>
      <c r="D552" s="291"/>
      <c r="E552" s="291">
        <v>100000</v>
      </c>
      <c r="F552" s="292">
        <v>100000</v>
      </c>
      <c r="G552" s="327">
        <f t="shared" si="25"/>
        <v>1</v>
      </c>
    </row>
    <row r="553" spans="1:7" s="407" customFormat="1" ht="17.25" customHeight="1">
      <c r="A553" s="62"/>
      <c r="B553" s="287"/>
      <c r="C553" s="317" t="s">
        <v>152</v>
      </c>
      <c r="D553" s="294">
        <v>200000</v>
      </c>
      <c r="E553" s="294">
        <v>100000</v>
      </c>
      <c r="F553" s="295">
        <v>10980</v>
      </c>
      <c r="G553" s="318">
        <f t="shared" si="25"/>
        <v>0.1098</v>
      </c>
    </row>
    <row r="554" spans="1:7" s="36" customFormat="1" ht="17.25" customHeight="1">
      <c r="A554" s="51"/>
      <c r="B554" s="207">
        <v>92116</v>
      </c>
      <c r="C554" s="207" t="s">
        <v>764</v>
      </c>
      <c r="D554" s="209">
        <v>5535000</v>
      </c>
      <c r="E554" s="209">
        <f>E555+E558+E559</f>
        <v>5805000</v>
      </c>
      <c r="F554" s="262">
        <f>SUM(F555:F559)-F556-F557</f>
        <v>5788093.92</v>
      </c>
      <c r="G554" s="211">
        <f t="shared" si="25"/>
        <v>0.997087669250646</v>
      </c>
    </row>
    <row r="555" spans="1:7" s="6" customFormat="1" ht="19.5" customHeight="1">
      <c r="A555" s="62"/>
      <c r="B555" s="62"/>
      <c r="C555" s="273" t="s">
        <v>765</v>
      </c>
      <c r="D555" s="274">
        <v>5400000</v>
      </c>
      <c r="E555" s="274">
        <v>5750000</v>
      </c>
      <c r="F555" s="275">
        <v>5750000</v>
      </c>
      <c r="G555" s="276">
        <f t="shared" si="25"/>
        <v>1</v>
      </c>
    </row>
    <row r="556" spans="1:7" s="408" customFormat="1" ht="19.5" customHeight="1">
      <c r="A556" s="263"/>
      <c r="B556" s="263"/>
      <c r="C556" s="303" t="s">
        <v>162</v>
      </c>
      <c r="D556" s="304">
        <v>100000</v>
      </c>
      <c r="E556" s="304">
        <v>100000</v>
      </c>
      <c r="F556" s="305">
        <v>100000</v>
      </c>
      <c r="G556" s="306">
        <f t="shared" si="25"/>
        <v>1</v>
      </c>
    </row>
    <row r="557" spans="1:7" s="408" customFormat="1" ht="17.25" customHeight="1">
      <c r="A557" s="263"/>
      <c r="B557" s="263"/>
      <c r="C557" s="113" t="s">
        <v>164</v>
      </c>
      <c r="D557" s="414">
        <v>30000</v>
      </c>
      <c r="E557" s="414">
        <v>30000</v>
      </c>
      <c r="F557" s="415">
        <v>30000</v>
      </c>
      <c r="G557" s="416">
        <f t="shared" si="25"/>
        <v>1</v>
      </c>
    </row>
    <row r="558" spans="1:7" s="417" customFormat="1" ht="36.75" customHeight="1">
      <c r="A558" s="62"/>
      <c r="B558" s="62"/>
      <c r="C558" s="332" t="s">
        <v>828</v>
      </c>
      <c r="D558" s="333">
        <v>100000</v>
      </c>
      <c r="E558" s="333">
        <v>20000</v>
      </c>
      <c r="F558" s="334">
        <v>3093.92</v>
      </c>
      <c r="G558" s="335">
        <f t="shared" si="25"/>
        <v>0.154696</v>
      </c>
    </row>
    <row r="559" spans="1:7" s="407" customFormat="1" ht="18.75" customHeight="1">
      <c r="A559" s="62"/>
      <c r="B559" s="287"/>
      <c r="C559" s="317" t="s">
        <v>766</v>
      </c>
      <c r="D559" s="294">
        <v>35000</v>
      </c>
      <c r="E559" s="294">
        <v>35000</v>
      </c>
      <c r="F559" s="295">
        <v>35000</v>
      </c>
      <c r="G559" s="318">
        <f t="shared" si="25"/>
        <v>1</v>
      </c>
    </row>
    <row r="560" spans="1:7" s="36" customFormat="1" ht="19.5" customHeight="1">
      <c r="A560" s="51"/>
      <c r="B560" s="207">
        <v>92120</v>
      </c>
      <c r="C560" s="207" t="s">
        <v>93</v>
      </c>
      <c r="D560" s="209">
        <v>750000</v>
      </c>
      <c r="E560" s="209">
        <f>E561+E564</f>
        <v>1075000</v>
      </c>
      <c r="F560" s="262">
        <f>SUM(F561:F564)-F562-F563</f>
        <v>1055123.28</v>
      </c>
      <c r="G560" s="380">
        <f t="shared" si="25"/>
        <v>0.9815100279069767</v>
      </c>
    </row>
    <row r="561" spans="1:7" s="6" customFormat="1" ht="17.25" customHeight="1">
      <c r="A561" s="62"/>
      <c r="B561" s="91"/>
      <c r="C561" s="273" t="s">
        <v>767</v>
      </c>
      <c r="D561" s="274">
        <v>700000</v>
      </c>
      <c r="E561" s="274">
        <v>1025000</v>
      </c>
      <c r="F561" s="275">
        <v>1024961</v>
      </c>
      <c r="G561" s="316">
        <v>0.9999</v>
      </c>
    </row>
    <row r="562" spans="1:7" s="408" customFormat="1" ht="15.75" customHeight="1">
      <c r="A562" s="263"/>
      <c r="B562" s="263"/>
      <c r="C562" s="303" t="s">
        <v>157</v>
      </c>
      <c r="D562" s="304">
        <v>650000</v>
      </c>
      <c r="E562" s="304">
        <v>975000</v>
      </c>
      <c r="F562" s="305">
        <f>974961</f>
        <v>974961</v>
      </c>
      <c r="G562" s="418">
        <v>0.9999</v>
      </c>
    </row>
    <row r="563" spans="1:7" s="408" customFormat="1" ht="16.5" customHeight="1">
      <c r="A563" s="263"/>
      <c r="B563" s="263"/>
      <c r="C563" s="112" t="s">
        <v>152</v>
      </c>
      <c r="D563" s="322">
        <v>50000</v>
      </c>
      <c r="E563" s="322">
        <v>50000</v>
      </c>
      <c r="F563" s="323">
        <v>50000</v>
      </c>
      <c r="G563" s="419">
        <f aca="true" t="shared" si="26" ref="G563:G574">F563/E563</f>
        <v>1</v>
      </c>
    </row>
    <row r="564" spans="1:7" s="6" customFormat="1" ht="19.5" customHeight="1">
      <c r="A564" s="287"/>
      <c r="B564" s="287"/>
      <c r="C564" s="287" t="s">
        <v>152</v>
      </c>
      <c r="D564" s="288">
        <v>50000</v>
      </c>
      <c r="E564" s="288">
        <v>50000</v>
      </c>
      <c r="F564" s="289">
        <v>30162.28</v>
      </c>
      <c r="G564" s="346">
        <f t="shared" si="26"/>
        <v>0.6032455999999999</v>
      </c>
    </row>
    <row r="565" spans="1:7" s="6" customFormat="1" ht="19.5" customHeight="1" thickBot="1">
      <c r="A565" s="212">
        <v>926</v>
      </c>
      <c r="B565" s="212"/>
      <c r="C565" s="212" t="s">
        <v>22</v>
      </c>
      <c r="D565" s="225">
        <v>13346000</v>
      </c>
      <c r="E565" s="225">
        <f>E566+E569+E572</f>
        <v>20028114</v>
      </c>
      <c r="F565" s="266">
        <f>F566+F569+F572</f>
        <v>19111582.97</v>
      </c>
      <c r="G565" s="227">
        <f t="shared" si="26"/>
        <v>0.9542377764576334</v>
      </c>
    </row>
    <row r="566" spans="1:7" s="36" customFormat="1" ht="19.5" customHeight="1">
      <c r="A566" s="51"/>
      <c r="B566" s="207">
        <v>92601</v>
      </c>
      <c r="C566" s="207" t="s">
        <v>23</v>
      </c>
      <c r="D566" s="209">
        <v>356000</v>
      </c>
      <c r="E566" s="209">
        <f>SUM(E567:E568)</f>
        <v>356000</v>
      </c>
      <c r="F566" s="262">
        <f>SUM(F567:F568)</f>
        <v>351976.66000000003</v>
      </c>
      <c r="G566" s="211">
        <f t="shared" si="26"/>
        <v>0.9886984831460675</v>
      </c>
    </row>
    <row r="567" spans="1:7" s="6" customFormat="1" ht="30" customHeight="1">
      <c r="A567" s="62"/>
      <c r="B567" s="91"/>
      <c r="C567" s="273" t="s">
        <v>768</v>
      </c>
      <c r="D567" s="274">
        <v>206000</v>
      </c>
      <c r="E567" s="274">
        <v>206000</v>
      </c>
      <c r="F567" s="275">
        <v>206000</v>
      </c>
      <c r="G567" s="276">
        <f t="shared" si="26"/>
        <v>1</v>
      </c>
    </row>
    <row r="568" spans="1:7" s="6" customFormat="1" ht="19.5" customHeight="1">
      <c r="A568" s="62"/>
      <c r="B568" s="287"/>
      <c r="C568" s="287" t="s">
        <v>769</v>
      </c>
      <c r="D568" s="288">
        <v>150000</v>
      </c>
      <c r="E568" s="288">
        <v>150000</v>
      </c>
      <c r="F568" s="289">
        <v>145976.66</v>
      </c>
      <c r="G568" s="290">
        <f t="shared" si="26"/>
        <v>0.9731777333333334</v>
      </c>
    </row>
    <row r="569" spans="1:7" s="36" customFormat="1" ht="19.5" customHeight="1">
      <c r="A569" s="51"/>
      <c r="B569" s="207">
        <v>92604</v>
      </c>
      <c r="C569" s="207" t="s">
        <v>770</v>
      </c>
      <c r="D569" s="209">
        <v>9200000</v>
      </c>
      <c r="E569" s="209">
        <f>E570</f>
        <v>16562114</v>
      </c>
      <c r="F569" s="262">
        <f>F570</f>
        <v>15678651.49</v>
      </c>
      <c r="G569" s="211">
        <f t="shared" si="26"/>
        <v>0.9466576241414593</v>
      </c>
    </row>
    <row r="570" spans="1:7" s="6" customFormat="1" ht="19.5" customHeight="1">
      <c r="A570" s="62"/>
      <c r="B570" s="91"/>
      <c r="C570" s="91" t="s">
        <v>771</v>
      </c>
      <c r="D570" s="93">
        <v>9200000</v>
      </c>
      <c r="E570" s="93">
        <v>16562114</v>
      </c>
      <c r="F570" s="331">
        <v>15678651.49</v>
      </c>
      <c r="G570" s="296">
        <f t="shared" si="26"/>
        <v>0.9466576241414593</v>
      </c>
    </row>
    <row r="571" spans="1:7" s="6" customFormat="1" ht="19.5" customHeight="1">
      <c r="A571" s="62"/>
      <c r="B571" s="287"/>
      <c r="C571" s="420" t="s">
        <v>164</v>
      </c>
      <c r="D571" s="329">
        <v>7400000</v>
      </c>
      <c r="E571" s="329">
        <v>14302114</v>
      </c>
      <c r="F571" s="330">
        <v>13418651.49</v>
      </c>
      <c r="G571" s="301">
        <f t="shared" si="26"/>
        <v>0.9382285367044341</v>
      </c>
    </row>
    <row r="572" spans="1:7" s="36" customFormat="1" ht="19.5" customHeight="1">
      <c r="A572" s="51"/>
      <c r="B572" s="207">
        <v>92605</v>
      </c>
      <c r="C572" s="207" t="s">
        <v>24</v>
      </c>
      <c r="D572" s="209">
        <v>3790000</v>
      </c>
      <c r="E572" s="209">
        <f>E573+E574+E576+E578+E579+E580</f>
        <v>3110000</v>
      </c>
      <c r="F572" s="262">
        <f>F573+F574+F576+F578+F579+F580</f>
        <v>3080954.82</v>
      </c>
      <c r="G572" s="211">
        <f t="shared" si="26"/>
        <v>0.9906607138263666</v>
      </c>
    </row>
    <row r="573" spans="1:7" s="6" customFormat="1" ht="19.5" customHeight="1">
      <c r="A573" s="62"/>
      <c r="B573" s="62"/>
      <c r="C573" s="282" t="s">
        <v>772</v>
      </c>
      <c r="D573" s="274">
        <v>930000</v>
      </c>
      <c r="E573" s="274">
        <v>930000</v>
      </c>
      <c r="F573" s="275">
        <v>919983.41</v>
      </c>
      <c r="G573" s="276">
        <f t="shared" si="26"/>
        <v>0.9892294731182796</v>
      </c>
    </row>
    <row r="574" spans="1:7" s="6" customFormat="1" ht="20.25" customHeight="1">
      <c r="A574" s="62"/>
      <c r="B574" s="62"/>
      <c r="C574" s="62" t="s">
        <v>773</v>
      </c>
      <c r="D574" s="291">
        <v>1000000</v>
      </c>
      <c r="E574" s="291">
        <v>1000000</v>
      </c>
      <c r="F574" s="292">
        <v>995567.82</v>
      </c>
      <c r="G574" s="327">
        <f t="shared" si="26"/>
        <v>0.99556782</v>
      </c>
    </row>
    <row r="575" spans="1:7" s="421" customFormat="1" ht="18.75" customHeight="1">
      <c r="A575" s="263"/>
      <c r="B575" s="263"/>
      <c r="C575" s="369" t="s">
        <v>746</v>
      </c>
      <c r="D575" s="304">
        <v>10000</v>
      </c>
      <c r="E575" s="304"/>
      <c r="F575" s="305"/>
      <c r="G575" s="306"/>
    </row>
    <row r="576" spans="1:7" s="6" customFormat="1" ht="18.75" customHeight="1">
      <c r="A576" s="62"/>
      <c r="B576" s="62"/>
      <c r="C576" s="62" t="s">
        <v>774</v>
      </c>
      <c r="D576" s="291">
        <v>750000</v>
      </c>
      <c r="E576" s="291">
        <v>800000</v>
      </c>
      <c r="F576" s="292">
        <v>791911.49</v>
      </c>
      <c r="G576" s="327">
        <f aca="true" t="shared" si="27" ref="G576:G590">F576/E576</f>
        <v>0.9898893625</v>
      </c>
    </row>
    <row r="577" spans="1:7" s="421" customFormat="1" ht="18.75" customHeight="1">
      <c r="A577" s="263"/>
      <c r="B577" s="263"/>
      <c r="C577" s="369" t="s">
        <v>746</v>
      </c>
      <c r="D577" s="304">
        <v>624000</v>
      </c>
      <c r="E577" s="304">
        <v>666212</v>
      </c>
      <c r="F577" s="305">
        <v>661045.94</v>
      </c>
      <c r="G577" s="306">
        <f t="shared" si="27"/>
        <v>0.9922456215138724</v>
      </c>
    </row>
    <row r="578" spans="1:7" s="6" customFormat="1" ht="19.5" customHeight="1">
      <c r="A578" s="62"/>
      <c r="B578" s="62"/>
      <c r="C578" s="332" t="s">
        <v>111</v>
      </c>
      <c r="D578" s="333">
        <v>50000</v>
      </c>
      <c r="E578" s="333">
        <v>50000</v>
      </c>
      <c r="F578" s="334">
        <v>50000</v>
      </c>
      <c r="G578" s="335">
        <f t="shared" si="27"/>
        <v>1</v>
      </c>
    </row>
    <row r="579" spans="1:7" s="6" customFormat="1" ht="20.25" customHeight="1">
      <c r="A579" s="62"/>
      <c r="B579" s="62"/>
      <c r="C579" s="340" t="s">
        <v>775</v>
      </c>
      <c r="D579" s="337">
        <v>40000</v>
      </c>
      <c r="E579" s="337">
        <v>40000</v>
      </c>
      <c r="F579" s="338">
        <v>36320</v>
      </c>
      <c r="G579" s="339">
        <f t="shared" si="27"/>
        <v>0.908</v>
      </c>
    </row>
    <row r="580" spans="1:7" s="6" customFormat="1" ht="18.75" customHeight="1">
      <c r="A580" s="62"/>
      <c r="B580" s="62"/>
      <c r="C580" s="293" t="s">
        <v>152</v>
      </c>
      <c r="D580" s="294">
        <v>1020000</v>
      </c>
      <c r="E580" s="294">
        <v>290000</v>
      </c>
      <c r="F580" s="295">
        <v>287172.1</v>
      </c>
      <c r="G580" s="318">
        <f t="shared" si="27"/>
        <v>0.9902486206896551</v>
      </c>
    </row>
    <row r="581" spans="1:8" ht="24" customHeight="1" thickBot="1">
      <c r="A581" s="287"/>
      <c r="B581" s="287"/>
      <c r="C581" s="422" t="s">
        <v>776</v>
      </c>
      <c r="D581" s="423">
        <f>D588+D592+D605+D585</f>
        <v>4028150</v>
      </c>
      <c r="E581" s="423">
        <f>E588+E592+E605+E585+E612+E582</f>
        <v>6084557</v>
      </c>
      <c r="F581" s="424">
        <f>F588+F592+F605+F612+F582+F585</f>
        <v>5718378.01</v>
      </c>
      <c r="G581" s="425">
        <f t="shared" si="27"/>
        <v>0.939818299015031</v>
      </c>
      <c r="H581" s="228"/>
    </row>
    <row r="582" spans="1:8" ht="21.75" customHeight="1" thickBot="1" thickTop="1">
      <c r="A582" s="202">
        <v>710</v>
      </c>
      <c r="B582" s="202"/>
      <c r="C582" s="202" t="s">
        <v>175</v>
      </c>
      <c r="D582" s="204"/>
      <c r="E582" s="204">
        <f>E583</f>
        <v>30000</v>
      </c>
      <c r="F582" s="260">
        <f>F583</f>
        <v>29995.3</v>
      </c>
      <c r="G582" s="206">
        <f t="shared" si="27"/>
        <v>0.9998433333333333</v>
      </c>
      <c r="H582" s="228"/>
    </row>
    <row r="583" spans="1:8" ht="21.75" customHeight="1">
      <c r="A583" s="51"/>
      <c r="B583" s="207">
        <v>71035</v>
      </c>
      <c r="C583" s="207" t="s">
        <v>181</v>
      </c>
      <c r="D583" s="209"/>
      <c r="E583" s="209">
        <f>E584</f>
        <v>30000</v>
      </c>
      <c r="F583" s="262">
        <f>F584</f>
        <v>29995.3</v>
      </c>
      <c r="G583" s="211">
        <f t="shared" si="27"/>
        <v>0.9998433333333333</v>
      </c>
      <c r="H583" s="228"/>
    </row>
    <row r="584" spans="1:8" ht="21.75" customHeight="1">
      <c r="A584" s="287"/>
      <c r="B584" s="287"/>
      <c r="C584" s="426" t="s">
        <v>777</v>
      </c>
      <c r="D584" s="288"/>
      <c r="E584" s="288">
        <v>30000</v>
      </c>
      <c r="F584" s="289">
        <v>29995.3</v>
      </c>
      <c r="G584" s="427">
        <f t="shared" si="27"/>
        <v>0.9998433333333333</v>
      </c>
      <c r="H584" s="228"/>
    </row>
    <row r="585" spans="1:7" s="6" customFormat="1" ht="21.75" customHeight="1" thickBot="1">
      <c r="A585" s="212">
        <v>754</v>
      </c>
      <c r="B585" s="212"/>
      <c r="C585" s="212" t="s">
        <v>200</v>
      </c>
      <c r="D585" s="225"/>
      <c r="E585" s="225">
        <f>E586</f>
        <v>7000</v>
      </c>
      <c r="F585" s="266">
        <f>F586</f>
        <v>7000</v>
      </c>
      <c r="G585" s="227">
        <f t="shared" si="27"/>
        <v>1</v>
      </c>
    </row>
    <row r="586" spans="1:7" s="36" customFormat="1" ht="21.75" customHeight="1">
      <c r="A586" s="51"/>
      <c r="B586" s="207">
        <v>75411</v>
      </c>
      <c r="C586" s="207" t="s">
        <v>205</v>
      </c>
      <c r="D586" s="209"/>
      <c r="E586" s="209">
        <f>E587</f>
        <v>7000</v>
      </c>
      <c r="F586" s="262">
        <f>F587</f>
        <v>7000</v>
      </c>
      <c r="G586" s="211">
        <f t="shared" si="27"/>
        <v>1</v>
      </c>
    </row>
    <row r="587" spans="1:7" s="6" customFormat="1" ht="21.75" customHeight="1">
      <c r="A587" s="287"/>
      <c r="B587" s="287"/>
      <c r="C587" s="426" t="s">
        <v>778</v>
      </c>
      <c r="D587" s="288"/>
      <c r="E587" s="288">
        <v>7000</v>
      </c>
      <c r="F587" s="289">
        <v>7000</v>
      </c>
      <c r="G587" s="290">
        <f t="shared" si="27"/>
        <v>1</v>
      </c>
    </row>
    <row r="588" spans="1:7" s="6" customFormat="1" ht="21.75" customHeight="1" thickBot="1">
      <c r="A588" s="212">
        <v>801</v>
      </c>
      <c r="B588" s="212"/>
      <c r="C588" s="212" t="s">
        <v>42</v>
      </c>
      <c r="D588" s="225">
        <v>377000</v>
      </c>
      <c r="E588" s="225">
        <f>E589</f>
        <v>413736</v>
      </c>
      <c r="F588" s="266">
        <f>F589</f>
        <v>409920</v>
      </c>
      <c r="G588" s="227">
        <f t="shared" si="27"/>
        <v>0.990776727188352</v>
      </c>
    </row>
    <row r="589" spans="1:7" s="36" customFormat="1" ht="21.75" customHeight="1">
      <c r="A589" s="51"/>
      <c r="B589" s="207">
        <v>80104</v>
      </c>
      <c r="C589" s="207" t="s">
        <v>45</v>
      </c>
      <c r="D589" s="209">
        <v>377000</v>
      </c>
      <c r="E589" s="209">
        <f>E590</f>
        <v>413736</v>
      </c>
      <c r="F589" s="262">
        <f>F590</f>
        <v>409920</v>
      </c>
      <c r="G589" s="211">
        <f t="shared" si="27"/>
        <v>0.990776727188352</v>
      </c>
    </row>
    <row r="590" spans="1:7" s="6" customFormat="1" ht="20.25" customHeight="1">
      <c r="A590" s="287"/>
      <c r="B590" s="287"/>
      <c r="C590" s="426" t="s">
        <v>248</v>
      </c>
      <c r="D590" s="288">
        <v>377000</v>
      </c>
      <c r="E590" s="288">
        <v>413736</v>
      </c>
      <c r="F590" s="289">
        <v>409920</v>
      </c>
      <c r="G590" s="290">
        <f t="shared" si="27"/>
        <v>0.990776727188352</v>
      </c>
    </row>
    <row r="591" spans="1:8" s="6" customFormat="1" ht="20.25" customHeight="1">
      <c r="A591" s="417"/>
      <c r="B591" s="417"/>
      <c r="C591" s="417"/>
      <c r="D591" s="428"/>
      <c r="E591" s="428"/>
      <c r="F591" s="429"/>
      <c r="G591" s="430"/>
      <c r="H591" s="47"/>
    </row>
    <row r="592" spans="1:7" s="6" customFormat="1" ht="19.5" customHeight="1" thickBot="1">
      <c r="A592" s="202">
        <v>852</v>
      </c>
      <c r="B592" s="202"/>
      <c r="C592" s="202" t="s">
        <v>54</v>
      </c>
      <c r="D592" s="204">
        <v>2460000</v>
      </c>
      <c r="E592" s="204">
        <f>E593+E600+E598+E602</f>
        <v>3818310</v>
      </c>
      <c r="F592" s="260">
        <f>F593+F600+F598+F602</f>
        <v>3541590.4</v>
      </c>
      <c r="G592" s="206">
        <f aca="true" t="shared" si="28" ref="G592:G615">F592/E592</f>
        <v>0.9275282520277295</v>
      </c>
    </row>
    <row r="593" spans="1:7" s="6" customFormat="1" ht="19.5" customHeight="1">
      <c r="A593" s="62"/>
      <c r="B593" s="207">
        <v>85201</v>
      </c>
      <c r="C593" s="207" t="s">
        <v>284</v>
      </c>
      <c r="D593" s="209">
        <v>2160000</v>
      </c>
      <c r="E593" s="209">
        <f>SUM(E594:E597)</f>
        <v>2231000</v>
      </c>
      <c r="F593" s="262">
        <f>SUM(F594:F597)</f>
        <v>2073958.8499999999</v>
      </c>
      <c r="G593" s="211">
        <f t="shared" si="28"/>
        <v>0.9296095248767369</v>
      </c>
    </row>
    <row r="594" spans="1:7" s="6" customFormat="1" ht="18.75" customHeight="1">
      <c r="A594" s="62"/>
      <c r="B594" s="51"/>
      <c r="C594" s="282" t="s">
        <v>190</v>
      </c>
      <c r="D594" s="274">
        <v>988400</v>
      </c>
      <c r="E594" s="274">
        <v>1056190</v>
      </c>
      <c r="F594" s="275">
        <v>990591.83</v>
      </c>
      <c r="G594" s="276">
        <f t="shared" si="28"/>
        <v>0.9378916956229466</v>
      </c>
    </row>
    <row r="595" spans="1:7" s="6" customFormat="1" ht="18.75" customHeight="1">
      <c r="A595" s="62"/>
      <c r="B595" s="51"/>
      <c r="C595" s="283" t="s">
        <v>191</v>
      </c>
      <c r="D595" s="284">
        <v>415100</v>
      </c>
      <c r="E595" s="284">
        <v>423830</v>
      </c>
      <c r="F595" s="285">
        <v>353209.26</v>
      </c>
      <c r="G595" s="286">
        <f t="shared" si="28"/>
        <v>0.8333748436873275</v>
      </c>
    </row>
    <row r="596" spans="1:7" s="6" customFormat="1" ht="16.5" customHeight="1">
      <c r="A596" s="62"/>
      <c r="B596" s="62"/>
      <c r="C596" s="283" t="s">
        <v>192</v>
      </c>
      <c r="D596" s="284">
        <v>196500</v>
      </c>
      <c r="E596" s="284">
        <v>190980</v>
      </c>
      <c r="F596" s="285">
        <v>179782.81</v>
      </c>
      <c r="G596" s="286">
        <f t="shared" si="28"/>
        <v>0.9413698293014975</v>
      </c>
    </row>
    <row r="597" spans="1:7" s="6" customFormat="1" ht="16.5" customHeight="1">
      <c r="A597" s="62"/>
      <c r="B597" s="287"/>
      <c r="C597" s="317" t="s">
        <v>56</v>
      </c>
      <c r="D597" s="294">
        <v>560000</v>
      </c>
      <c r="E597" s="294">
        <v>560000</v>
      </c>
      <c r="F597" s="295">
        <v>550374.95</v>
      </c>
      <c r="G597" s="318">
        <f t="shared" si="28"/>
        <v>0.9828124107142856</v>
      </c>
    </row>
    <row r="598" spans="1:7" s="6" customFormat="1" ht="18.75" customHeight="1">
      <c r="A598" s="62"/>
      <c r="B598" s="207">
        <v>85203</v>
      </c>
      <c r="C598" s="207" t="s">
        <v>59</v>
      </c>
      <c r="D598" s="209"/>
      <c r="E598" s="209">
        <f>E599</f>
        <v>1087310</v>
      </c>
      <c r="F598" s="262">
        <f>F599</f>
        <v>1037737.18</v>
      </c>
      <c r="G598" s="380">
        <f t="shared" si="28"/>
        <v>0.9544078321729774</v>
      </c>
    </row>
    <row r="599" spans="1:7" s="6" customFormat="1" ht="17.25" customHeight="1">
      <c r="A599" s="62"/>
      <c r="B599" s="52"/>
      <c r="C599" s="119" t="s">
        <v>152</v>
      </c>
      <c r="D599" s="121"/>
      <c r="E599" s="121">
        <v>1087310</v>
      </c>
      <c r="F599" s="264">
        <v>1037737.18</v>
      </c>
      <c r="G599" s="318">
        <f t="shared" si="28"/>
        <v>0.9544078321729774</v>
      </c>
    </row>
    <row r="600" spans="1:7" s="6" customFormat="1" ht="17.25" customHeight="1">
      <c r="A600" s="62"/>
      <c r="B600" s="52">
        <v>85204</v>
      </c>
      <c r="C600" s="52" t="s">
        <v>640</v>
      </c>
      <c r="D600" s="54">
        <v>300000</v>
      </c>
      <c r="E600" s="54">
        <f>E601</f>
        <v>300000</v>
      </c>
      <c r="F600" s="319">
        <f>F601</f>
        <v>241439.05</v>
      </c>
      <c r="G600" s="320">
        <f t="shared" si="28"/>
        <v>0.8047968333333333</v>
      </c>
    </row>
    <row r="601" spans="1:7" s="6" customFormat="1" ht="18.75" customHeight="1">
      <c r="A601" s="62"/>
      <c r="B601" s="52"/>
      <c r="C601" s="119" t="s">
        <v>641</v>
      </c>
      <c r="D601" s="121">
        <v>300000</v>
      </c>
      <c r="E601" s="121">
        <v>300000</v>
      </c>
      <c r="F601" s="264">
        <v>241439.05</v>
      </c>
      <c r="G601" s="134">
        <f t="shared" si="28"/>
        <v>0.8047968333333333</v>
      </c>
    </row>
    <row r="602" spans="1:7" s="6" customFormat="1" ht="19.5" customHeight="1">
      <c r="A602" s="62"/>
      <c r="B602" s="52">
        <v>85295</v>
      </c>
      <c r="C602" s="52" t="s">
        <v>13</v>
      </c>
      <c r="D602" s="54"/>
      <c r="E602" s="54">
        <f>E603</f>
        <v>200000</v>
      </c>
      <c r="F602" s="319">
        <f>F603</f>
        <v>188455.32</v>
      </c>
      <c r="G602" s="431">
        <f t="shared" si="28"/>
        <v>0.9422766</v>
      </c>
    </row>
    <row r="603" spans="1:7" s="6" customFormat="1" ht="18.75" customHeight="1">
      <c r="A603" s="62"/>
      <c r="B603" s="381"/>
      <c r="C603" s="91" t="s">
        <v>779</v>
      </c>
      <c r="D603" s="93"/>
      <c r="E603" s="165">
        <v>200000</v>
      </c>
      <c r="F603" s="331">
        <v>188455.32</v>
      </c>
      <c r="G603" s="276">
        <f t="shared" si="28"/>
        <v>0.9422766</v>
      </c>
    </row>
    <row r="604" spans="1:7" s="100" customFormat="1" ht="18" customHeight="1">
      <c r="A604" s="432"/>
      <c r="B604" s="433"/>
      <c r="C604" s="377" t="s">
        <v>162</v>
      </c>
      <c r="D604" s="378"/>
      <c r="E604" s="378">
        <v>87550</v>
      </c>
      <c r="F604" s="379">
        <v>76005.5</v>
      </c>
      <c r="G604" s="434">
        <f t="shared" si="28"/>
        <v>0.8681382067390063</v>
      </c>
    </row>
    <row r="605" spans="1:7" s="6" customFormat="1" ht="19.5" customHeight="1" thickBot="1">
      <c r="A605" s="212">
        <v>854</v>
      </c>
      <c r="B605" s="212"/>
      <c r="C605" s="212" t="s">
        <v>27</v>
      </c>
      <c r="D605" s="225">
        <v>1191150</v>
      </c>
      <c r="E605" s="225">
        <f>E606</f>
        <v>1777511</v>
      </c>
      <c r="F605" s="266">
        <f>F606</f>
        <v>1691872.31</v>
      </c>
      <c r="G605" s="227">
        <f t="shared" si="28"/>
        <v>0.9518210070148652</v>
      </c>
    </row>
    <row r="606" spans="1:7" s="36" customFormat="1" ht="18" customHeight="1">
      <c r="A606" s="51"/>
      <c r="B606" s="207">
        <v>85415</v>
      </c>
      <c r="C606" s="207" t="s">
        <v>114</v>
      </c>
      <c r="D606" s="209">
        <v>1191150</v>
      </c>
      <c r="E606" s="209">
        <f>E607+E609</f>
        <v>1777511</v>
      </c>
      <c r="F606" s="262">
        <f>F607+F609</f>
        <v>1691872.31</v>
      </c>
      <c r="G606" s="211">
        <f t="shared" si="28"/>
        <v>0.9518210070148652</v>
      </c>
    </row>
    <row r="607" spans="1:7" s="6" customFormat="1" ht="27.75" customHeight="1">
      <c r="A607" s="62"/>
      <c r="B607" s="62"/>
      <c r="C607" s="302" t="s">
        <v>730</v>
      </c>
      <c r="D607" s="284">
        <v>1191150</v>
      </c>
      <c r="E607" s="284">
        <v>1239238</v>
      </c>
      <c r="F607" s="285">
        <v>1167068.76</v>
      </c>
      <c r="G607" s="276">
        <f t="shared" si="28"/>
        <v>0.9417632125548119</v>
      </c>
    </row>
    <row r="608" spans="1:7" s="6" customFormat="1" ht="16.5" customHeight="1">
      <c r="A608" s="62"/>
      <c r="B608" s="62"/>
      <c r="C608" s="303" t="s">
        <v>746</v>
      </c>
      <c r="D608" s="304">
        <v>48000</v>
      </c>
      <c r="E608" s="304">
        <f>10888+5112+8166+3834</f>
        <v>28000</v>
      </c>
      <c r="F608" s="305">
        <v>25900</v>
      </c>
      <c r="G608" s="306">
        <f t="shared" si="28"/>
        <v>0.925</v>
      </c>
    </row>
    <row r="609" spans="1:7" s="109" customFormat="1" ht="25.5">
      <c r="A609" s="396"/>
      <c r="B609" s="396"/>
      <c r="C609" s="435" t="s">
        <v>740</v>
      </c>
      <c r="D609" s="436"/>
      <c r="E609" s="436">
        <v>538273</v>
      </c>
      <c r="F609" s="437">
        <v>524803.55</v>
      </c>
      <c r="G609" s="438">
        <f t="shared" si="28"/>
        <v>0.9749765453589536</v>
      </c>
    </row>
    <row r="610" spans="1:7" s="100" customFormat="1" ht="16.5" customHeight="1">
      <c r="A610" s="105"/>
      <c r="B610" s="105"/>
      <c r="C610" s="107" t="s">
        <v>146</v>
      </c>
      <c r="D610" s="106"/>
      <c r="E610" s="106">
        <v>12282</v>
      </c>
      <c r="F610" s="374">
        <f>8357.9+3924.1</f>
        <v>12282</v>
      </c>
      <c r="G610" s="375">
        <f t="shared" si="28"/>
        <v>1</v>
      </c>
    </row>
    <row r="611" spans="1:7" s="6" customFormat="1" ht="16.5" customHeight="1">
      <c r="A611" s="62"/>
      <c r="B611" s="62"/>
      <c r="C611" s="298" t="s">
        <v>164</v>
      </c>
      <c r="D611" s="299"/>
      <c r="E611" s="299">
        <v>6620</v>
      </c>
      <c r="F611" s="300">
        <f>4504.9+2115.1</f>
        <v>6620</v>
      </c>
      <c r="G611" s="307">
        <f t="shared" si="28"/>
        <v>1</v>
      </c>
    </row>
    <row r="612" spans="1:7" s="6" customFormat="1" ht="18.75" customHeight="1" thickBot="1">
      <c r="A612" s="212">
        <v>921</v>
      </c>
      <c r="B612" s="212"/>
      <c r="C612" s="212" t="s">
        <v>16</v>
      </c>
      <c r="D612" s="225"/>
      <c r="E612" s="225">
        <f>E613</f>
        <v>38000</v>
      </c>
      <c r="F612" s="266">
        <f>F613</f>
        <v>38000</v>
      </c>
      <c r="G612" s="227">
        <f t="shared" si="28"/>
        <v>1</v>
      </c>
    </row>
    <row r="613" spans="1:7" s="6" customFormat="1" ht="21" customHeight="1">
      <c r="A613" s="51"/>
      <c r="B613" s="207">
        <v>92109</v>
      </c>
      <c r="C613" s="207" t="s">
        <v>752</v>
      </c>
      <c r="D613" s="209"/>
      <c r="E613" s="209">
        <f>E614</f>
        <v>38000</v>
      </c>
      <c r="F613" s="262">
        <f>F614</f>
        <v>38000</v>
      </c>
      <c r="G613" s="211">
        <f t="shared" si="28"/>
        <v>1</v>
      </c>
    </row>
    <row r="614" spans="1:7" s="6" customFormat="1" ht="26.25" customHeight="1">
      <c r="A614" s="62"/>
      <c r="B614" s="62"/>
      <c r="C614" s="302" t="s">
        <v>780</v>
      </c>
      <c r="D614" s="284"/>
      <c r="E614" s="284">
        <v>38000</v>
      </c>
      <c r="F614" s="285">
        <v>38000</v>
      </c>
      <c r="G614" s="427">
        <f t="shared" si="28"/>
        <v>1</v>
      </c>
    </row>
    <row r="615" spans="1:8" ht="21.75" customHeight="1" thickBot="1">
      <c r="A615" s="62"/>
      <c r="B615" s="62"/>
      <c r="C615" s="381" t="s">
        <v>781</v>
      </c>
      <c r="D615" s="439">
        <v>98423533</v>
      </c>
      <c r="E615" s="439">
        <f>E617+E665</f>
        <v>97106292</v>
      </c>
      <c r="F615" s="440">
        <f>F617+F665</f>
        <v>92590795.73</v>
      </c>
      <c r="G615" s="441">
        <f t="shared" si="28"/>
        <v>0.953499447080113</v>
      </c>
      <c r="H615" s="228"/>
    </row>
    <row r="616" spans="1:7" ht="16.5" customHeight="1" thickTop="1">
      <c r="A616" s="62"/>
      <c r="B616" s="62"/>
      <c r="C616" s="442" t="s">
        <v>132</v>
      </c>
      <c r="D616" s="443"/>
      <c r="E616" s="443"/>
      <c r="F616" s="444"/>
      <c r="G616" s="445"/>
    </row>
    <row r="617" spans="1:7" ht="21.75" customHeight="1" thickBot="1">
      <c r="A617" s="287"/>
      <c r="B617" s="287"/>
      <c r="C617" s="446" t="s">
        <v>782</v>
      </c>
      <c r="D617" s="447">
        <v>77185296</v>
      </c>
      <c r="E617" s="447">
        <f>E621+E626+E633+E640+E662+E636+E618</f>
        <v>74375074</v>
      </c>
      <c r="F617" s="448">
        <f>F621+F626+F633+F640+F662+F636+F618</f>
        <v>70066404.53</v>
      </c>
      <c r="G617" s="449">
        <f aca="true" t="shared" si="29" ref="G617:G640">F617/E617</f>
        <v>0.9420683672865993</v>
      </c>
    </row>
    <row r="618" spans="1:7" ht="21.75" customHeight="1" thickBot="1">
      <c r="A618" s="450" t="s">
        <v>783</v>
      </c>
      <c r="B618" s="202"/>
      <c r="C618" s="451" t="s">
        <v>135</v>
      </c>
      <c r="D618" s="452"/>
      <c r="E618" s="452">
        <f>E619</f>
        <v>4573</v>
      </c>
      <c r="F618" s="453">
        <f>F619</f>
        <v>4482.25</v>
      </c>
      <c r="G618" s="454">
        <f t="shared" si="29"/>
        <v>0.9801552591296742</v>
      </c>
    </row>
    <row r="619" spans="1:7" ht="21.75" customHeight="1">
      <c r="A619" s="62"/>
      <c r="B619" s="455" t="s">
        <v>784</v>
      </c>
      <c r="C619" s="208" t="s">
        <v>13</v>
      </c>
      <c r="D619" s="209"/>
      <c r="E619" s="209">
        <f>E620</f>
        <v>4573</v>
      </c>
      <c r="F619" s="262">
        <f>F620</f>
        <v>4482.25</v>
      </c>
      <c r="G619" s="456">
        <f t="shared" si="29"/>
        <v>0.9801552591296742</v>
      </c>
    </row>
    <row r="620" spans="1:7" ht="21.75" customHeight="1">
      <c r="A620" s="287"/>
      <c r="B620" s="287"/>
      <c r="C620" s="293" t="s">
        <v>785</v>
      </c>
      <c r="D620" s="294"/>
      <c r="E620" s="294">
        <v>4573</v>
      </c>
      <c r="F620" s="295">
        <v>4482.25</v>
      </c>
      <c r="G620" s="290">
        <f t="shared" si="29"/>
        <v>0.9801552591296742</v>
      </c>
    </row>
    <row r="621" spans="1:7" s="6" customFormat="1" ht="19.5" customHeight="1" thickBot="1">
      <c r="A621" s="212">
        <v>750</v>
      </c>
      <c r="B621" s="212"/>
      <c r="C621" s="212" t="s">
        <v>184</v>
      </c>
      <c r="D621" s="225">
        <v>1567696</v>
      </c>
      <c r="E621" s="225">
        <f>E622</f>
        <v>1567696</v>
      </c>
      <c r="F621" s="266">
        <f>F622</f>
        <v>1567696</v>
      </c>
      <c r="G621" s="227">
        <f t="shared" si="29"/>
        <v>1</v>
      </c>
    </row>
    <row r="622" spans="1:7" s="407" customFormat="1" ht="19.5" customHeight="1">
      <c r="A622" s="51"/>
      <c r="B622" s="207">
        <v>75011</v>
      </c>
      <c r="C622" s="207" t="s">
        <v>786</v>
      </c>
      <c r="D622" s="209">
        <v>1567696</v>
      </c>
      <c r="E622" s="209">
        <f>SUM(E623:E625)</f>
        <v>1567696</v>
      </c>
      <c r="F622" s="262">
        <f>SUM(F623:F625)</f>
        <v>1567696</v>
      </c>
      <c r="G622" s="211">
        <f t="shared" si="29"/>
        <v>1</v>
      </c>
    </row>
    <row r="623" spans="1:7" s="407" customFormat="1" ht="19.5" customHeight="1">
      <c r="A623" s="62"/>
      <c r="B623" s="91"/>
      <c r="C623" s="282" t="s">
        <v>190</v>
      </c>
      <c r="D623" s="274">
        <v>1280000</v>
      </c>
      <c r="E623" s="274">
        <v>1279783</v>
      </c>
      <c r="F623" s="275">
        <v>1279783</v>
      </c>
      <c r="G623" s="276">
        <f t="shared" si="29"/>
        <v>1</v>
      </c>
    </row>
    <row r="624" spans="1:7" s="407" customFormat="1" ht="19.5" customHeight="1">
      <c r="A624" s="62"/>
      <c r="B624" s="62"/>
      <c r="C624" s="283" t="s">
        <v>191</v>
      </c>
      <c r="D624" s="284">
        <v>54300</v>
      </c>
      <c r="E624" s="284">
        <v>54517</v>
      </c>
      <c r="F624" s="285">
        <v>54517</v>
      </c>
      <c r="G624" s="286">
        <f t="shared" si="29"/>
        <v>1</v>
      </c>
    </row>
    <row r="625" spans="1:7" s="407" customFormat="1" ht="19.5" customHeight="1">
      <c r="A625" s="287"/>
      <c r="B625" s="287"/>
      <c r="C625" s="293" t="s">
        <v>192</v>
      </c>
      <c r="D625" s="294">
        <v>233396</v>
      </c>
      <c r="E625" s="294">
        <v>233396</v>
      </c>
      <c r="F625" s="295">
        <v>233396</v>
      </c>
      <c r="G625" s="318">
        <f t="shared" si="29"/>
        <v>1</v>
      </c>
    </row>
    <row r="626" spans="1:7" s="6" customFormat="1" ht="19.5" customHeight="1" thickBot="1">
      <c r="A626" s="353">
        <v>751</v>
      </c>
      <c r="B626" s="212"/>
      <c r="C626" s="216" t="s">
        <v>787</v>
      </c>
      <c r="D626" s="225">
        <v>30200</v>
      </c>
      <c r="E626" s="225">
        <f>E627+E630</f>
        <v>936658</v>
      </c>
      <c r="F626" s="266">
        <f>F627+F630</f>
        <v>894298</v>
      </c>
      <c r="G626" s="227">
        <f t="shared" si="29"/>
        <v>0.9547753822633235</v>
      </c>
    </row>
    <row r="627" spans="1:7" s="6" customFormat="1" ht="19.5" customHeight="1">
      <c r="A627" s="62"/>
      <c r="B627" s="312">
        <v>75101</v>
      </c>
      <c r="C627" s="208" t="s">
        <v>788</v>
      </c>
      <c r="D627" s="209">
        <v>30200</v>
      </c>
      <c r="E627" s="209">
        <f>E628</f>
        <v>29100</v>
      </c>
      <c r="F627" s="262">
        <f>F628</f>
        <v>29100</v>
      </c>
      <c r="G627" s="211">
        <f t="shared" si="29"/>
        <v>1</v>
      </c>
    </row>
    <row r="628" spans="1:7" s="407" customFormat="1" ht="20.25" customHeight="1">
      <c r="A628" s="62"/>
      <c r="B628" s="62"/>
      <c r="C628" s="283" t="s">
        <v>789</v>
      </c>
      <c r="D628" s="284">
        <v>30200</v>
      </c>
      <c r="E628" s="284">
        <v>29100</v>
      </c>
      <c r="F628" s="285">
        <v>29100</v>
      </c>
      <c r="G628" s="286">
        <f t="shared" si="29"/>
        <v>1</v>
      </c>
    </row>
    <row r="629" spans="1:7" s="102" customFormat="1" ht="19.5" customHeight="1">
      <c r="A629" s="263"/>
      <c r="B629" s="297"/>
      <c r="C629" s="297" t="s">
        <v>746</v>
      </c>
      <c r="D629" s="299">
        <v>25000</v>
      </c>
      <c r="E629" s="299">
        <v>24322</v>
      </c>
      <c r="F629" s="300">
        <v>24322</v>
      </c>
      <c r="G629" s="307">
        <f t="shared" si="29"/>
        <v>1</v>
      </c>
    </row>
    <row r="630" spans="1:7" s="102" customFormat="1" ht="30" customHeight="1">
      <c r="A630" s="62"/>
      <c r="B630" s="312">
        <v>75109</v>
      </c>
      <c r="C630" s="53" t="s">
        <v>790</v>
      </c>
      <c r="D630" s="54"/>
      <c r="E630" s="54">
        <f>E631</f>
        <v>907558</v>
      </c>
      <c r="F630" s="319">
        <f>F631</f>
        <v>865198</v>
      </c>
      <c r="G630" s="457">
        <f t="shared" si="29"/>
        <v>0.953325297115997</v>
      </c>
    </row>
    <row r="631" spans="1:7" s="102" customFormat="1" ht="19.5" customHeight="1">
      <c r="A631" s="62"/>
      <c r="B631" s="62"/>
      <c r="C631" s="371" t="s">
        <v>791</v>
      </c>
      <c r="D631" s="314"/>
      <c r="E631" s="314">
        <v>907558</v>
      </c>
      <c r="F631" s="315">
        <v>865198</v>
      </c>
      <c r="G631" s="354">
        <f t="shared" si="29"/>
        <v>0.953325297115997</v>
      </c>
    </row>
    <row r="632" spans="1:7" s="102" customFormat="1" ht="19.5" customHeight="1">
      <c r="A632" s="287"/>
      <c r="B632" s="287"/>
      <c r="C632" s="377" t="s">
        <v>146</v>
      </c>
      <c r="D632" s="294"/>
      <c r="E632" s="378">
        <v>208344</v>
      </c>
      <c r="F632" s="379">
        <v>208343.5</v>
      </c>
      <c r="G632" s="307">
        <f t="shared" si="29"/>
        <v>0.9999976001228738</v>
      </c>
    </row>
    <row r="633" spans="1:7" s="6" customFormat="1" ht="19.5" customHeight="1" thickBot="1">
      <c r="A633" s="353">
        <v>754</v>
      </c>
      <c r="B633" s="212"/>
      <c r="C633" s="216" t="s">
        <v>200</v>
      </c>
      <c r="D633" s="225">
        <v>1800</v>
      </c>
      <c r="E633" s="225">
        <f>E634</f>
        <v>1800</v>
      </c>
      <c r="F633" s="266">
        <f>F634</f>
        <v>1800</v>
      </c>
      <c r="G633" s="227">
        <f t="shared" si="29"/>
        <v>1</v>
      </c>
    </row>
    <row r="634" spans="1:7" s="6" customFormat="1" ht="19.5" customHeight="1">
      <c r="A634" s="62"/>
      <c r="B634" s="207">
        <v>75414</v>
      </c>
      <c r="C634" s="208" t="s">
        <v>792</v>
      </c>
      <c r="D634" s="209">
        <v>1800</v>
      </c>
      <c r="E634" s="209">
        <f>E635</f>
        <v>1800</v>
      </c>
      <c r="F634" s="262">
        <f>F635</f>
        <v>1800</v>
      </c>
      <c r="G634" s="211">
        <f t="shared" si="29"/>
        <v>1</v>
      </c>
    </row>
    <row r="635" spans="1:7" s="6" customFormat="1" ht="19.5" customHeight="1">
      <c r="A635" s="287"/>
      <c r="B635" s="287"/>
      <c r="C635" s="325" t="s">
        <v>793</v>
      </c>
      <c r="D635" s="288">
        <v>1800</v>
      </c>
      <c r="E635" s="288">
        <v>1800</v>
      </c>
      <c r="F635" s="289">
        <v>1800</v>
      </c>
      <c r="G635" s="427">
        <f t="shared" si="29"/>
        <v>1</v>
      </c>
    </row>
    <row r="636" spans="1:7" s="6" customFormat="1" ht="19.5" customHeight="1" thickBot="1">
      <c r="A636" s="353">
        <v>851</v>
      </c>
      <c r="B636" s="212"/>
      <c r="C636" s="216" t="s">
        <v>19</v>
      </c>
      <c r="D636" s="225"/>
      <c r="E636" s="225">
        <f>E637</f>
        <v>6979</v>
      </c>
      <c r="F636" s="266">
        <f>F637</f>
        <v>6979</v>
      </c>
      <c r="G636" s="227">
        <f t="shared" si="29"/>
        <v>1</v>
      </c>
    </row>
    <row r="637" spans="1:7" s="6" customFormat="1" ht="19.5" customHeight="1">
      <c r="A637" s="62"/>
      <c r="B637" s="207">
        <v>85195</v>
      </c>
      <c r="C637" s="208" t="s">
        <v>13</v>
      </c>
      <c r="D637" s="209"/>
      <c r="E637" s="209">
        <f>E638</f>
        <v>6979</v>
      </c>
      <c r="F637" s="262">
        <f>F638</f>
        <v>6979</v>
      </c>
      <c r="G637" s="211">
        <f t="shared" si="29"/>
        <v>1</v>
      </c>
    </row>
    <row r="638" spans="1:7" s="407" customFormat="1" ht="19.5" customHeight="1">
      <c r="A638" s="62"/>
      <c r="B638" s="62"/>
      <c r="C638" s="283" t="s">
        <v>794</v>
      </c>
      <c r="D638" s="284"/>
      <c r="E638" s="284">
        <v>6979</v>
      </c>
      <c r="F638" s="285">
        <v>6979</v>
      </c>
      <c r="G638" s="286">
        <f t="shared" si="29"/>
        <v>1</v>
      </c>
    </row>
    <row r="639" spans="1:7" s="102" customFormat="1" ht="19.5" customHeight="1">
      <c r="A639" s="297"/>
      <c r="B639" s="297"/>
      <c r="C639" s="297" t="s">
        <v>746</v>
      </c>
      <c r="D639" s="299"/>
      <c r="E639" s="299">
        <v>5819</v>
      </c>
      <c r="F639" s="300">
        <v>5819</v>
      </c>
      <c r="G639" s="307">
        <f t="shared" si="29"/>
        <v>1</v>
      </c>
    </row>
    <row r="640" spans="1:7" s="6" customFormat="1" ht="18.75" customHeight="1" thickBot="1">
      <c r="A640" s="212">
        <v>852</v>
      </c>
      <c r="B640" s="212"/>
      <c r="C640" s="212" t="s">
        <v>54</v>
      </c>
      <c r="D640" s="225">
        <v>75585600</v>
      </c>
      <c r="E640" s="225">
        <f>E641+E654+E656+E658+E649+E660</f>
        <v>71852868</v>
      </c>
      <c r="F640" s="266">
        <f>F641+F654+F656+F658+F649+F660</f>
        <v>67586688.98</v>
      </c>
      <c r="G640" s="227">
        <f t="shared" si="29"/>
        <v>0.9406261832165141</v>
      </c>
    </row>
    <row r="641" spans="1:7" s="6" customFormat="1" ht="18.75" customHeight="1">
      <c r="A641" s="62"/>
      <c r="B641" s="207">
        <v>85203</v>
      </c>
      <c r="C641" s="207" t="s">
        <v>59</v>
      </c>
      <c r="D641" s="209">
        <v>806000</v>
      </c>
      <c r="E641" s="209">
        <f>E642+E647</f>
        <v>809000</v>
      </c>
      <c r="F641" s="262">
        <f>F642+F647</f>
        <v>808996.76</v>
      </c>
      <c r="G641" s="211">
        <v>0.9999</v>
      </c>
    </row>
    <row r="642" spans="1:7" s="6" customFormat="1" ht="18.75" customHeight="1">
      <c r="A642" s="62"/>
      <c r="B642" s="62"/>
      <c r="C642" s="92" t="s">
        <v>795</v>
      </c>
      <c r="D642" s="93">
        <v>515000</v>
      </c>
      <c r="E642" s="93">
        <f>SUM(E643:E646)</f>
        <v>518000</v>
      </c>
      <c r="F642" s="331">
        <f>SUM(F643:F646)</f>
        <v>517996.76</v>
      </c>
      <c r="G642" s="296">
        <v>0.9999</v>
      </c>
    </row>
    <row r="643" spans="1:7" s="6" customFormat="1" ht="18.75" customHeight="1">
      <c r="A643" s="62"/>
      <c r="B643" s="62"/>
      <c r="C643" s="402" t="s">
        <v>190</v>
      </c>
      <c r="D643" s="403">
        <v>315000</v>
      </c>
      <c r="E643" s="403">
        <v>318000</v>
      </c>
      <c r="F643" s="404">
        <v>318000</v>
      </c>
      <c r="G643" s="405">
        <f>F643/E643</f>
        <v>1</v>
      </c>
    </row>
    <row r="644" spans="1:7" s="6" customFormat="1" ht="18.75" customHeight="1">
      <c r="A644" s="62"/>
      <c r="B644" s="62"/>
      <c r="C644" s="283" t="s">
        <v>191</v>
      </c>
      <c r="D644" s="284">
        <v>121600</v>
      </c>
      <c r="E644" s="284">
        <v>123180</v>
      </c>
      <c r="F644" s="285">
        <v>123177.48</v>
      </c>
      <c r="G644" s="286">
        <v>0.9999</v>
      </c>
    </row>
    <row r="645" spans="1:7" s="6" customFormat="1" ht="18.75" customHeight="1">
      <c r="A645" s="62"/>
      <c r="B645" s="62"/>
      <c r="C645" s="283" t="s">
        <v>192</v>
      </c>
      <c r="D645" s="284">
        <v>63400</v>
      </c>
      <c r="E645" s="284">
        <v>61820</v>
      </c>
      <c r="F645" s="285">
        <v>61819.27</v>
      </c>
      <c r="G645" s="286">
        <f aca="true" t="shared" si="30" ref="G645:G669">F645/E645</f>
        <v>0.9999881915237787</v>
      </c>
    </row>
    <row r="646" spans="1:7" s="6" customFormat="1" ht="18.75" customHeight="1">
      <c r="A646" s="62"/>
      <c r="B646" s="62"/>
      <c r="C646" s="283" t="s">
        <v>152</v>
      </c>
      <c r="D646" s="284">
        <v>15000</v>
      </c>
      <c r="E646" s="284">
        <v>15000</v>
      </c>
      <c r="F646" s="285">
        <v>15000.01</v>
      </c>
      <c r="G646" s="286">
        <f t="shared" si="30"/>
        <v>1.0000006666666668</v>
      </c>
    </row>
    <row r="647" spans="1:7" s="6" customFormat="1" ht="18.75" customHeight="1">
      <c r="A647" s="62"/>
      <c r="B647" s="62"/>
      <c r="C647" s="458" t="s">
        <v>796</v>
      </c>
      <c r="D647" s="459">
        <v>291000</v>
      </c>
      <c r="E647" s="459">
        <v>291000</v>
      </c>
      <c r="F647" s="460">
        <v>291000</v>
      </c>
      <c r="G647" s="461">
        <f t="shared" si="30"/>
        <v>1</v>
      </c>
    </row>
    <row r="648" spans="1:7" s="102" customFormat="1" ht="18.75" customHeight="1">
      <c r="A648" s="297"/>
      <c r="B648" s="297"/>
      <c r="C648" s="297" t="s">
        <v>164</v>
      </c>
      <c r="D648" s="299">
        <v>20000</v>
      </c>
      <c r="E648" s="299">
        <v>20000</v>
      </c>
      <c r="F648" s="300">
        <v>20000</v>
      </c>
      <c r="G648" s="307">
        <f t="shared" si="30"/>
        <v>1</v>
      </c>
    </row>
    <row r="649" spans="1:7" s="6" customFormat="1" ht="31.5" customHeight="1">
      <c r="A649" s="62"/>
      <c r="B649" s="312">
        <v>85212</v>
      </c>
      <c r="C649" s="208" t="s">
        <v>797</v>
      </c>
      <c r="D649" s="209">
        <v>64522000</v>
      </c>
      <c r="E649" s="209">
        <f>SUM(E650:E653)</f>
        <v>61278500</v>
      </c>
      <c r="F649" s="262">
        <f>SUM(F650:F653)</f>
        <v>57680000</v>
      </c>
      <c r="G649" s="211">
        <f t="shared" si="30"/>
        <v>0.9412763040870779</v>
      </c>
    </row>
    <row r="650" spans="1:7" s="6" customFormat="1" ht="18.75" customHeight="1">
      <c r="A650" s="62"/>
      <c r="B650" s="62"/>
      <c r="C650" s="336" t="s">
        <v>190</v>
      </c>
      <c r="D650" s="337">
        <v>1192600</v>
      </c>
      <c r="E650" s="337">
        <v>1192600</v>
      </c>
      <c r="F650" s="338">
        <v>1146017.61</v>
      </c>
      <c r="G650" s="339">
        <f t="shared" si="30"/>
        <v>0.9609404745933255</v>
      </c>
    </row>
    <row r="651" spans="1:7" s="6" customFormat="1" ht="18.75" customHeight="1">
      <c r="A651" s="62"/>
      <c r="B651" s="62"/>
      <c r="C651" s="283" t="s">
        <v>191</v>
      </c>
      <c r="D651" s="284">
        <v>462400</v>
      </c>
      <c r="E651" s="284">
        <v>381409</v>
      </c>
      <c r="F651" s="285">
        <v>323181.43</v>
      </c>
      <c r="G651" s="286">
        <f t="shared" si="30"/>
        <v>0.8473356160971556</v>
      </c>
    </row>
    <row r="652" spans="1:7" s="6" customFormat="1" ht="18.75" customHeight="1">
      <c r="A652" s="62"/>
      <c r="B652" s="62"/>
      <c r="C652" s="283" t="s">
        <v>192</v>
      </c>
      <c r="D652" s="284">
        <v>223000</v>
      </c>
      <c r="E652" s="284">
        <v>210801</v>
      </c>
      <c r="F652" s="285">
        <v>210800.96</v>
      </c>
      <c r="G652" s="286">
        <f t="shared" si="30"/>
        <v>0.9999998102475794</v>
      </c>
    </row>
    <row r="653" spans="1:7" s="6" customFormat="1" ht="18.75" customHeight="1">
      <c r="A653" s="62"/>
      <c r="B653" s="287"/>
      <c r="C653" s="293" t="s">
        <v>798</v>
      </c>
      <c r="D653" s="294">
        <v>62644000</v>
      </c>
      <c r="E653" s="294">
        <v>59493690</v>
      </c>
      <c r="F653" s="295">
        <v>56000000</v>
      </c>
      <c r="G653" s="318">
        <f t="shared" si="30"/>
        <v>0.9412762933346377</v>
      </c>
    </row>
    <row r="654" spans="1:7" s="6" customFormat="1" ht="27.75" customHeight="1">
      <c r="A654" s="62"/>
      <c r="B654" s="462">
        <v>85213</v>
      </c>
      <c r="C654" s="53" t="s">
        <v>799</v>
      </c>
      <c r="D654" s="54">
        <v>814600</v>
      </c>
      <c r="E654" s="54">
        <f>E655</f>
        <v>814600</v>
      </c>
      <c r="F654" s="319">
        <f>F655</f>
        <v>651189.61</v>
      </c>
      <c r="G654" s="320">
        <f t="shared" si="30"/>
        <v>0.7993979990179229</v>
      </c>
    </row>
    <row r="655" spans="1:7" s="6" customFormat="1" ht="23.25" customHeight="1">
      <c r="A655" s="62"/>
      <c r="B655" s="119"/>
      <c r="C655" s="120" t="s">
        <v>800</v>
      </c>
      <c r="D655" s="121">
        <v>814600</v>
      </c>
      <c r="E655" s="121">
        <v>814600</v>
      </c>
      <c r="F655" s="264">
        <v>651189.61</v>
      </c>
      <c r="G655" s="134">
        <f t="shared" si="30"/>
        <v>0.7993979990179229</v>
      </c>
    </row>
    <row r="656" spans="1:7" s="6" customFormat="1" ht="20.25" customHeight="1">
      <c r="A656" s="62"/>
      <c r="B656" s="312">
        <v>85214</v>
      </c>
      <c r="C656" s="208" t="s">
        <v>643</v>
      </c>
      <c r="D656" s="209">
        <v>8737000</v>
      </c>
      <c r="E656" s="209">
        <f>SUM(E657:E657)</f>
        <v>7422000</v>
      </c>
      <c r="F656" s="262">
        <f>SUM(F657:F657)</f>
        <v>7087850.61</v>
      </c>
      <c r="G656" s="211">
        <f t="shared" si="30"/>
        <v>0.9549785246564269</v>
      </c>
    </row>
    <row r="657" spans="1:7" s="6" customFormat="1" ht="19.5" customHeight="1">
      <c r="A657" s="62"/>
      <c r="B657" s="119"/>
      <c r="C657" s="119" t="s">
        <v>641</v>
      </c>
      <c r="D657" s="121">
        <v>8737000</v>
      </c>
      <c r="E657" s="121">
        <v>7422000</v>
      </c>
      <c r="F657" s="264">
        <v>7087850.61</v>
      </c>
      <c r="G657" s="134">
        <f t="shared" si="30"/>
        <v>0.9549785246564269</v>
      </c>
    </row>
    <row r="658" spans="1:7" s="6" customFormat="1" ht="21" customHeight="1">
      <c r="A658" s="62"/>
      <c r="B658" s="207">
        <v>85228</v>
      </c>
      <c r="C658" s="208" t="s">
        <v>117</v>
      </c>
      <c r="D658" s="209">
        <v>706000</v>
      </c>
      <c r="E658" s="209">
        <f>E659</f>
        <v>1278500</v>
      </c>
      <c r="F658" s="262">
        <f>F659</f>
        <v>1128500</v>
      </c>
      <c r="G658" s="211">
        <f t="shared" si="30"/>
        <v>0.8826750097770825</v>
      </c>
    </row>
    <row r="659" spans="1:7" s="6" customFormat="1" ht="19.5" customHeight="1">
      <c r="A659" s="62"/>
      <c r="B659" s="287"/>
      <c r="C659" s="325" t="s">
        <v>801</v>
      </c>
      <c r="D659" s="288">
        <v>706000</v>
      </c>
      <c r="E659" s="288">
        <v>1278500</v>
      </c>
      <c r="F659" s="289">
        <v>1128500</v>
      </c>
      <c r="G659" s="290">
        <f t="shared" si="30"/>
        <v>0.8826750097770825</v>
      </c>
    </row>
    <row r="660" spans="1:7" s="6" customFormat="1" ht="19.5" customHeight="1">
      <c r="A660" s="62"/>
      <c r="B660" s="207">
        <v>85278</v>
      </c>
      <c r="C660" s="208" t="s">
        <v>211</v>
      </c>
      <c r="D660" s="209"/>
      <c r="E660" s="209">
        <f>E661</f>
        <v>250268</v>
      </c>
      <c r="F660" s="262">
        <f>F661</f>
        <v>230152</v>
      </c>
      <c r="G660" s="211">
        <f t="shared" si="30"/>
        <v>0.9196221650390781</v>
      </c>
    </row>
    <row r="661" spans="1:7" s="6" customFormat="1" ht="18.75" customHeight="1">
      <c r="A661" s="287"/>
      <c r="B661" s="287"/>
      <c r="C661" s="325" t="s">
        <v>802</v>
      </c>
      <c r="D661" s="288"/>
      <c r="E661" s="288">
        <v>250268</v>
      </c>
      <c r="F661" s="289">
        <v>230152</v>
      </c>
      <c r="G661" s="290">
        <f t="shared" si="30"/>
        <v>0.9196221650390781</v>
      </c>
    </row>
    <row r="662" spans="1:7" s="6" customFormat="1" ht="18.75" customHeight="1" thickBot="1">
      <c r="A662" s="212">
        <v>854</v>
      </c>
      <c r="B662" s="212"/>
      <c r="C662" s="212" t="s">
        <v>27</v>
      </c>
      <c r="D662" s="225"/>
      <c r="E662" s="225">
        <f>E663</f>
        <v>4500</v>
      </c>
      <c r="F662" s="266">
        <f>F663</f>
        <v>4460.3</v>
      </c>
      <c r="G662" s="227">
        <f t="shared" si="30"/>
        <v>0.9911777777777778</v>
      </c>
    </row>
    <row r="663" spans="1:7" s="6" customFormat="1" ht="18.75" customHeight="1">
      <c r="A663" s="62"/>
      <c r="B663" s="207">
        <v>85401</v>
      </c>
      <c r="C663" s="207" t="s">
        <v>675</v>
      </c>
      <c r="D663" s="209"/>
      <c r="E663" s="209">
        <f>E664</f>
        <v>4500</v>
      </c>
      <c r="F663" s="262">
        <f>F664</f>
        <v>4460.3</v>
      </c>
      <c r="G663" s="211">
        <f t="shared" si="30"/>
        <v>0.9911777777777778</v>
      </c>
    </row>
    <row r="664" spans="1:7" s="6" customFormat="1" ht="18.75" customHeight="1">
      <c r="A664" s="62"/>
      <c r="B664" s="91"/>
      <c r="C664" s="287" t="s">
        <v>803</v>
      </c>
      <c r="D664" s="288"/>
      <c r="E664" s="288">
        <v>4500</v>
      </c>
      <c r="F664" s="289">
        <v>4460.3</v>
      </c>
      <c r="G664" s="290">
        <f t="shared" si="30"/>
        <v>0.9911777777777778</v>
      </c>
    </row>
    <row r="665" spans="1:7" ht="25.5" customHeight="1" thickBot="1">
      <c r="A665" s="287"/>
      <c r="B665" s="287"/>
      <c r="C665" s="463" t="s">
        <v>804</v>
      </c>
      <c r="D665" s="464">
        <v>21238237</v>
      </c>
      <c r="E665" s="464">
        <f>E666+E670+E677+E689+E695+E703+E724+E685</f>
        <v>22731218</v>
      </c>
      <c r="F665" s="465">
        <f>F666+F670+F677+F689+F695+F703+F724+F685</f>
        <v>22524391.200000003</v>
      </c>
      <c r="G665" s="466">
        <f t="shared" si="30"/>
        <v>0.9909012002788413</v>
      </c>
    </row>
    <row r="666" spans="1:7" s="6" customFormat="1" ht="20.25" customHeight="1" thickBot="1">
      <c r="A666" s="467" t="s">
        <v>805</v>
      </c>
      <c r="B666" s="202"/>
      <c r="C666" s="468" t="s">
        <v>165</v>
      </c>
      <c r="D666" s="452">
        <v>600000</v>
      </c>
      <c r="E666" s="452">
        <f>E667</f>
        <v>709251</v>
      </c>
      <c r="F666" s="453">
        <f>F667</f>
        <v>709251.03</v>
      </c>
      <c r="G666" s="469">
        <f t="shared" si="30"/>
        <v>1.0000000422981428</v>
      </c>
    </row>
    <row r="667" spans="1:7" s="6" customFormat="1" ht="18.75" customHeight="1">
      <c r="A667" s="62"/>
      <c r="B667" s="207">
        <v>70005</v>
      </c>
      <c r="C667" s="207" t="s">
        <v>172</v>
      </c>
      <c r="D667" s="209">
        <v>600000</v>
      </c>
      <c r="E667" s="209">
        <f>E668</f>
        <v>709251</v>
      </c>
      <c r="F667" s="262">
        <f>F668</f>
        <v>709251.03</v>
      </c>
      <c r="G667" s="211">
        <f t="shared" si="30"/>
        <v>1.0000000422981428</v>
      </c>
    </row>
    <row r="668" spans="1:7" s="6" customFormat="1" ht="20.25" customHeight="1">
      <c r="A668" s="62"/>
      <c r="B668" s="62"/>
      <c r="C668" s="62" t="s">
        <v>806</v>
      </c>
      <c r="D668" s="291">
        <v>600000</v>
      </c>
      <c r="E668" s="291">
        <v>709251</v>
      </c>
      <c r="F668" s="292">
        <v>709251.03</v>
      </c>
      <c r="G668" s="327">
        <f t="shared" si="30"/>
        <v>1.0000000422981428</v>
      </c>
    </row>
    <row r="669" spans="1:7" s="6" customFormat="1" ht="18.75" customHeight="1">
      <c r="A669" s="287"/>
      <c r="B669" s="287"/>
      <c r="C669" s="420" t="s">
        <v>162</v>
      </c>
      <c r="D669" s="329">
        <v>250000</v>
      </c>
      <c r="E669" s="329">
        <v>7238</v>
      </c>
      <c r="F669" s="330">
        <v>7238</v>
      </c>
      <c r="G669" s="301">
        <f t="shared" si="30"/>
        <v>1</v>
      </c>
    </row>
    <row r="670" spans="1:7" s="6" customFormat="1" ht="20.25" customHeight="1" thickBot="1">
      <c r="A670" s="212">
        <v>710</v>
      </c>
      <c r="B670" s="212"/>
      <c r="C670" s="212" t="s">
        <v>175</v>
      </c>
      <c r="D670" s="225">
        <v>551168</v>
      </c>
      <c r="E670" s="225">
        <f>E671+E673</f>
        <v>617235</v>
      </c>
      <c r="F670" s="266">
        <f>F671+F673</f>
        <v>617231.2</v>
      </c>
      <c r="G670" s="227">
        <v>0.9999</v>
      </c>
    </row>
    <row r="671" spans="1:7" s="6" customFormat="1" ht="19.5" customHeight="1">
      <c r="A671" s="62"/>
      <c r="B671" s="207">
        <v>71013</v>
      </c>
      <c r="C671" s="207" t="s">
        <v>807</v>
      </c>
      <c r="D671" s="209">
        <v>100000</v>
      </c>
      <c r="E671" s="209">
        <f>E672</f>
        <v>100000</v>
      </c>
      <c r="F671" s="262">
        <f>F672</f>
        <v>100000</v>
      </c>
      <c r="G671" s="211">
        <f>F671/E671</f>
        <v>1</v>
      </c>
    </row>
    <row r="672" spans="1:7" s="6" customFormat="1" ht="18.75" customHeight="1">
      <c r="A672" s="62"/>
      <c r="B672" s="287"/>
      <c r="C672" s="287" t="s">
        <v>808</v>
      </c>
      <c r="D672" s="288">
        <v>100000</v>
      </c>
      <c r="E672" s="288">
        <v>100000</v>
      </c>
      <c r="F672" s="289">
        <v>100000</v>
      </c>
      <c r="G672" s="290">
        <f>F672/E672</f>
        <v>1</v>
      </c>
    </row>
    <row r="673" spans="1:7" s="6" customFormat="1" ht="18.75" customHeight="1">
      <c r="A673" s="62"/>
      <c r="B673" s="207">
        <v>71015</v>
      </c>
      <c r="C673" s="208" t="s">
        <v>809</v>
      </c>
      <c r="D673" s="209">
        <v>451168</v>
      </c>
      <c r="E673" s="209">
        <f>SUM(E674:E676)</f>
        <v>517235</v>
      </c>
      <c r="F673" s="262">
        <f>SUM(F674:F676)</f>
        <v>517231.2</v>
      </c>
      <c r="G673" s="211">
        <v>0.9999</v>
      </c>
    </row>
    <row r="674" spans="1:7" s="6" customFormat="1" ht="19.5" customHeight="1">
      <c r="A674" s="62"/>
      <c r="B674" s="62"/>
      <c r="C674" s="282" t="s">
        <v>190</v>
      </c>
      <c r="D674" s="274">
        <v>325900</v>
      </c>
      <c r="E674" s="274">
        <v>326986</v>
      </c>
      <c r="F674" s="275">
        <v>326984.8</v>
      </c>
      <c r="G674" s="276">
        <v>0.9999</v>
      </c>
    </row>
    <row r="675" spans="1:7" s="6" customFormat="1" ht="19.5" customHeight="1">
      <c r="A675" s="62"/>
      <c r="B675" s="62"/>
      <c r="C675" s="283" t="s">
        <v>191</v>
      </c>
      <c r="D675" s="284">
        <v>60068</v>
      </c>
      <c r="E675" s="284">
        <v>127849</v>
      </c>
      <c r="F675" s="285">
        <v>127847.32</v>
      </c>
      <c r="G675" s="286">
        <v>0.9999</v>
      </c>
    </row>
    <row r="676" spans="1:7" s="6" customFormat="1" ht="18.75" customHeight="1">
      <c r="A676" s="287"/>
      <c r="B676" s="287"/>
      <c r="C676" s="287" t="s">
        <v>192</v>
      </c>
      <c r="D676" s="288">
        <v>65200</v>
      </c>
      <c r="E676" s="288">
        <v>62400</v>
      </c>
      <c r="F676" s="289">
        <v>62399.08</v>
      </c>
      <c r="G676" s="290">
        <f aca="true" t="shared" si="31" ref="G676:G707">F676/E676</f>
        <v>0.9999852564102565</v>
      </c>
    </row>
    <row r="677" spans="1:7" s="6" customFormat="1" ht="18" customHeight="1" thickBot="1">
      <c r="A677" s="212">
        <v>750</v>
      </c>
      <c r="B677" s="212"/>
      <c r="C677" s="212" t="s">
        <v>184</v>
      </c>
      <c r="D677" s="225">
        <v>952669</v>
      </c>
      <c r="E677" s="225">
        <f>E678+E682</f>
        <v>916641</v>
      </c>
      <c r="F677" s="266">
        <f>F678+F682</f>
        <v>916641</v>
      </c>
      <c r="G677" s="227">
        <f t="shared" si="31"/>
        <v>1</v>
      </c>
    </row>
    <row r="678" spans="1:7" s="407" customFormat="1" ht="19.5" customHeight="1">
      <c r="A678" s="51"/>
      <c r="B678" s="207">
        <v>75011</v>
      </c>
      <c r="C678" s="207" t="s">
        <v>786</v>
      </c>
      <c r="D678" s="209">
        <v>846669</v>
      </c>
      <c r="E678" s="209">
        <f>SUM(E679:E681)</f>
        <v>825910</v>
      </c>
      <c r="F678" s="262">
        <f>SUM(F679:F681)</f>
        <v>825910</v>
      </c>
      <c r="G678" s="211">
        <f t="shared" si="31"/>
        <v>1</v>
      </c>
    </row>
    <row r="679" spans="1:7" s="407" customFormat="1" ht="19.5" customHeight="1">
      <c r="A679" s="62"/>
      <c r="B679" s="91"/>
      <c r="C679" s="282" t="s">
        <v>190</v>
      </c>
      <c r="D679" s="274">
        <v>678000</v>
      </c>
      <c r="E679" s="274">
        <v>649011</v>
      </c>
      <c r="F679" s="275">
        <v>649011</v>
      </c>
      <c r="G679" s="276">
        <f t="shared" si="31"/>
        <v>1</v>
      </c>
    </row>
    <row r="680" spans="1:7" s="407" customFormat="1" ht="19.5" customHeight="1">
      <c r="A680" s="62"/>
      <c r="B680" s="62"/>
      <c r="C680" s="283" t="s">
        <v>191</v>
      </c>
      <c r="D680" s="284">
        <v>36540</v>
      </c>
      <c r="E680" s="284">
        <v>50424</v>
      </c>
      <c r="F680" s="285">
        <v>50424</v>
      </c>
      <c r="G680" s="286">
        <f t="shared" si="31"/>
        <v>1</v>
      </c>
    </row>
    <row r="681" spans="1:7" s="407" customFormat="1" ht="18.75" customHeight="1">
      <c r="A681" s="62"/>
      <c r="B681" s="287"/>
      <c r="C681" s="287" t="s">
        <v>192</v>
      </c>
      <c r="D681" s="288">
        <v>132129</v>
      </c>
      <c r="E681" s="288">
        <v>126475</v>
      </c>
      <c r="F681" s="289">
        <v>126475</v>
      </c>
      <c r="G681" s="290">
        <f t="shared" si="31"/>
        <v>1</v>
      </c>
    </row>
    <row r="682" spans="1:7" s="6" customFormat="1" ht="17.25" customHeight="1">
      <c r="A682" s="62"/>
      <c r="B682" s="52">
        <v>75045</v>
      </c>
      <c r="C682" s="52" t="s">
        <v>810</v>
      </c>
      <c r="D682" s="54">
        <v>106000</v>
      </c>
      <c r="E682" s="54">
        <f>E683</f>
        <v>90731</v>
      </c>
      <c r="F682" s="319">
        <f>F683</f>
        <v>90731</v>
      </c>
      <c r="G682" s="320">
        <f t="shared" si="31"/>
        <v>1</v>
      </c>
    </row>
    <row r="683" spans="1:7" s="407" customFormat="1" ht="19.5" customHeight="1">
      <c r="A683" s="62"/>
      <c r="B683" s="62"/>
      <c r="C683" s="282" t="s">
        <v>811</v>
      </c>
      <c r="D683" s="274">
        <v>106000</v>
      </c>
      <c r="E683" s="274">
        <v>90731</v>
      </c>
      <c r="F683" s="275">
        <v>90731</v>
      </c>
      <c r="G683" s="276">
        <f t="shared" si="31"/>
        <v>1</v>
      </c>
    </row>
    <row r="684" spans="1:7" s="102" customFormat="1" ht="18.75" customHeight="1">
      <c r="A684" s="297"/>
      <c r="B684" s="297"/>
      <c r="C684" s="297" t="s">
        <v>746</v>
      </c>
      <c r="D684" s="299">
        <v>62000</v>
      </c>
      <c r="E684" s="299">
        <v>55590</v>
      </c>
      <c r="F684" s="300">
        <v>55590</v>
      </c>
      <c r="G684" s="307">
        <f t="shared" si="31"/>
        <v>1</v>
      </c>
    </row>
    <row r="685" spans="1:7" s="6" customFormat="1" ht="19.5" customHeight="1" thickBot="1">
      <c r="A685" s="212">
        <v>752</v>
      </c>
      <c r="B685" s="212"/>
      <c r="C685" s="212" t="s">
        <v>812</v>
      </c>
      <c r="D685" s="225">
        <v>3400</v>
      </c>
      <c r="E685" s="225">
        <f>E686</f>
        <v>3400</v>
      </c>
      <c r="F685" s="266">
        <f>F686</f>
        <v>3400</v>
      </c>
      <c r="G685" s="227">
        <f t="shared" si="31"/>
        <v>1</v>
      </c>
    </row>
    <row r="686" spans="1:7" s="6" customFormat="1" ht="19.5" customHeight="1">
      <c r="A686" s="62"/>
      <c r="B686" s="207">
        <v>75212</v>
      </c>
      <c r="C686" s="207" t="s">
        <v>813</v>
      </c>
      <c r="D686" s="209">
        <v>3400</v>
      </c>
      <c r="E686" s="209">
        <f>E687</f>
        <v>3400</v>
      </c>
      <c r="F686" s="262">
        <f>F687</f>
        <v>3400</v>
      </c>
      <c r="G686" s="211">
        <f t="shared" si="31"/>
        <v>1</v>
      </c>
    </row>
    <row r="687" spans="1:7" s="407" customFormat="1" ht="19.5" customHeight="1">
      <c r="A687" s="62"/>
      <c r="B687" s="62"/>
      <c r="C687" s="282" t="s">
        <v>814</v>
      </c>
      <c r="D687" s="274">
        <v>3400</v>
      </c>
      <c r="E687" s="274">
        <v>3400</v>
      </c>
      <c r="F687" s="275">
        <v>3400</v>
      </c>
      <c r="G687" s="296">
        <f t="shared" si="31"/>
        <v>1</v>
      </c>
    </row>
    <row r="688" spans="1:7" s="102" customFormat="1" ht="18" customHeight="1">
      <c r="A688" s="297"/>
      <c r="B688" s="297"/>
      <c r="C688" s="297" t="s">
        <v>746</v>
      </c>
      <c r="D688" s="299">
        <v>1000</v>
      </c>
      <c r="E688" s="299">
        <v>1500</v>
      </c>
      <c r="F688" s="300">
        <v>1500</v>
      </c>
      <c r="G688" s="318">
        <f t="shared" si="31"/>
        <v>1</v>
      </c>
    </row>
    <row r="689" spans="1:7" s="6" customFormat="1" ht="19.5" customHeight="1" thickBot="1">
      <c r="A689" s="353">
        <v>754</v>
      </c>
      <c r="B689" s="212"/>
      <c r="C689" s="216" t="s">
        <v>200</v>
      </c>
      <c r="D689" s="225">
        <v>13276000</v>
      </c>
      <c r="E689" s="225">
        <f>E690</f>
        <v>12980200</v>
      </c>
      <c r="F689" s="266">
        <f>F690</f>
        <v>12962492</v>
      </c>
      <c r="G689" s="227">
        <f t="shared" si="31"/>
        <v>0.9986357683240628</v>
      </c>
    </row>
    <row r="690" spans="1:7" s="6" customFormat="1" ht="19.5" customHeight="1">
      <c r="A690" s="62"/>
      <c r="B690" s="207">
        <v>75411</v>
      </c>
      <c r="C690" s="207" t="s">
        <v>205</v>
      </c>
      <c r="D690" s="209">
        <v>13276000</v>
      </c>
      <c r="E690" s="209">
        <f>SUM(E691:E694)-E693</f>
        <v>12980200</v>
      </c>
      <c r="F690" s="262">
        <f>SUM(F691:F694)-F693</f>
        <v>12962492</v>
      </c>
      <c r="G690" s="211">
        <f t="shared" si="31"/>
        <v>0.9986357683240628</v>
      </c>
    </row>
    <row r="691" spans="1:7" s="407" customFormat="1" ht="18.75" customHeight="1">
      <c r="A691" s="62"/>
      <c r="B691" s="91"/>
      <c r="C691" s="282" t="s">
        <v>190</v>
      </c>
      <c r="D691" s="274">
        <v>10148800</v>
      </c>
      <c r="E691" s="274">
        <v>9798348</v>
      </c>
      <c r="F691" s="275">
        <v>9780639.7</v>
      </c>
      <c r="G691" s="276">
        <f t="shared" si="31"/>
        <v>0.9981927259574777</v>
      </c>
    </row>
    <row r="692" spans="1:7" s="407" customFormat="1" ht="17.25" customHeight="1">
      <c r="A692" s="62"/>
      <c r="B692" s="62"/>
      <c r="C692" s="283" t="s">
        <v>191</v>
      </c>
      <c r="D692" s="284">
        <v>3090500</v>
      </c>
      <c r="E692" s="284">
        <v>3087630</v>
      </c>
      <c r="F692" s="285">
        <v>3087630.32</v>
      </c>
      <c r="G692" s="286">
        <f t="shared" si="31"/>
        <v>1.0000001036393609</v>
      </c>
    </row>
    <row r="693" spans="1:7" s="407" customFormat="1" ht="17.25" customHeight="1">
      <c r="A693" s="62"/>
      <c r="B693" s="62"/>
      <c r="C693" s="369" t="s">
        <v>162</v>
      </c>
      <c r="D693" s="304">
        <v>180000</v>
      </c>
      <c r="E693" s="304">
        <f>102359+107041</f>
        <v>209400</v>
      </c>
      <c r="F693" s="305">
        <f>102358.86+107040.65</f>
        <v>209399.51</v>
      </c>
      <c r="G693" s="306">
        <f t="shared" si="31"/>
        <v>0.9999976599808978</v>
      </c>
    </row>
    <row r="694" spans="1:7" s="407" customFormat="1" ht="17.25" customHeight="1">
      <c r="A694" s="287"/>
      <c r="B694" s="287"/>
      <c r="C694" s="287" t="s">
        <v>192</v>
      </c>
      <c r="D694" s="288">
        <v>36700</v>
      </c>
      <c r="E694" s="288">
        <v>94222</v>
      </c>
      <c r="F694" s="289">
        <v>94221.98</v>
      </c>
      <c r="G694" s="290">
        <f t="shared" si="31"/>
        <v>0.9999997877353484</v>
      </c>
    </row>
    <row r="695" spans="1:7" s="6" customFormat="1" ht="18.75" customHeight="1" thickBot="1">
      <c r="A695" s="212">
        <v>851</v>
      </c>
      <c r="B695" s="212"/>
      <c r="C695" s="212" t="s">
        <v>19</v>
      </c>
      <c r="D695" s="225">
        <v>3187000</v>
      </c>
      <c r="E695" s="225">
        <f>E700+E696</f>
        <v>3427000</v>
      </c>
      <c r="F695" s="266">
        <f>F700+F696</f>
        <v>3402935.94</v>
      </c>
      <c r="G695" s="227">
        <f t="shared" si="31"/>
        <v>0.9929780974613365</v>
      </c>
    </row>
    <row r="696" spans="1:7" s="6" customFormat="1" ht="19.5" customHeight="1">
      <c r="A696" s="62"/>
      <c r="B696" s="207">
        <v>85141</v>
      </c>
      <c r="C696" s="207" t="s">
        <v>815</v>
      </c>
      <c r="D696" s="209"/>
      <c r="E696" s="209">
        <f>E697</f>
        <v>240000</v>
      </c>
      <c r="F696" s="262">
        <f>F697</f>
        <v>240000</v>
      </c>
      <c r="G696" s="211">
        <f t="shared" si="31"/>
        <v>1</v>
      </c>
    </row>
    <row r="697" spans="1:7" s="407" customFormat="1" ht="17.25" customHeight="1">
      <c r="A697" s="62"/>
      <c r="B697" s="62"/>
      <c r="C697" s="282" t="s">
        <v>816</v>
      </c>
      <c r="D697" s="274"/>
      <c r="E697" s="274">
        <v>240000</v>
      </c>
      <c r="F697" s="275">
        <v>240000</v>
      </c>
      <c r="G697" s="354">
        <f t="shared" si="31"/>
        <v>1</v>
      </c>
    </row>
    <row r="698" spans="1:7" s="102" customFormat="1" ht="17.25" customHeight="1">
      <c r="A698" s="263"/>
      <c r="B698" s="263"/>
      <c r="C698" s="400" t="s">
        <v>162</v>
      </c>
      <c r="D698" s="341"/>
      <c r="E698" s="341">
        <f>465+8536</f>
        <v>9001</v>
      </c>
      <c r="F698" s="342">
        <f>465.2+8536</f>
        <v>9001.2</v>
      </c>
      <c r="G698" s="419">
        <f t="shared" si="31"/>
        <v>1.0000222197533608</v>
      </c>
    </row>
    <row r="699" spans="1:7" s="102" customFormat="1" ht="16.5" customHeight="1">
      <c r="A699" s="263"/>
      <c r="B699" s="297"/>
      <c r="C699" s="470" t="s">
        <v>164</v>
      </c>
      <c r="D699" s="344"/>
      <c r="E699" s="344">
        <v>120000</v>
      </c>
      <c r="F699" s="345">
        <v>120000</v>
      </c>
      <c r="G699" s="363">
        <f t="shared" si="31"/>
        <v>1</v>
      </c>
    </row>
    <row r="700" spans="1:8" s="6" customFormat="1" ht="28.5" customHeight="1">
      <c r="A700" s="62"/>
      <c r="B700" s="312">
        <v>85156</v>
      </c>
      <c r="C700" s="208" t="s">
        <v>817</v>
      </c>
      <c r="D700" s="209">
        <v>3187000</v>
      </c>
      <c r="E700" s="209">
        <f>SUM(E701:E702)</f>
        <v>3187000</v>
      </c>
      <c r="F700" s="262">
        <f>SUM(F701:F702)</f>
        <v>3162935.94</v>
      </c>
      <c r="G700" s="211">
        <f t="shared" si="31"/>
        <v>0.9924493065578914</v>
      </c>
      <c r="H700" s="36"/>
    </row>
    <row r="701" spans="1:7" s="6" customFormat="1" ht="25.5">
      <c r="A701" s="62"/>
      <c r="B701" s="62"/>
      <c r="C701" s="92" t="s">
        <v>818</v>
      </c>
      <c r="D701" s="93">
        <v>109000</v>
      </c>
      <c r="E701" s="93">
        <v>109000</v>
      </c>
      <c r="F701" s="331">
        <v>84935.94</v>
      </c>
      <c r="G701" s="296">
        <f t="shared" si="31"/>
        <v>0.7792288073394495</v>
      </c>
    </row>
    <row r="702" spans="1:7" s="6" customFormat="1" ht="17.25" customHeight="1">
      <c r="A702" s="287"/>
      <c r="B702" s="287"/>
      <c r="C702" s="317" t="s">
        <v>819</v>
      </c>
      <c r="D702" s="294">
        <v>3078000</v>
      </c>
      <c r="E702" s="294">
        <v>3078000</v>
      </c>
      <c r="F702" s="295">
        <v>3078000</v>
      </c>
      <c r="G702" s="318">
        <f t="shared" si="31"/>
        <v>1</v>
      </c>
    </row>
    <row r="703" spans="1:7" s="6" customFormat="1" ht="19.5" customHeight="1" thickBot="1">
      <c r="A703" s="212">
        <v>852</v>
      </c>
      <c r="B703" s="212"/>
      <c r="C703" s="212" t="s">
        <v>54</v>
      </c>
      <c r="D703" s="225">
        <v>2148000</v>
      </c>
      <c r="E703" s="225">
        <f>E704+E720+E722</f>
        <v>3414590</v>
      </c>
      <c r="F703" s="266">
        <f>F704+F720+F722</f>
        <v>3251348</v>
      </c>
      <c r="G703" s="227">
        <f t="shared" si="31"/>
        <v>0.9521927962068653</v>
      </c>
    </row>
    <row r="704" spans="1:7" s="6" customFormat="1" ht="19.5" customHeight="1">
      <c r="A704" s="62"/>
      <c r="B704" s="207">
        <v>85203</v>
      </c>
      <c r="C704" s="207" t="s">
        <v>59</v>
      </c>
      <c r="D704" s="209">
        <v>1914000</v>
      </c>
      <c r="E704" s="209">
        <f>E705+E709+E717+E718+E714+E719</f>
        <v>3150590</v>
      </c>
      <c r="F704" s="262">
        <f>F705+F709+F717+F718+F714+F719</f>
        <v>3143282</v>
      </c>
      <c r="G704" s="211">
        <f t="shared" si="31"/>
        <v>0.9976804344583078</v>
      </c>
    </row>
    <row r="705" spans="1:7" s="6" customFormat="1" ht="19.5" customHeight="1">
      <c r="A705" s="62"/>
      <c r="B705" s="91"/>
      <c r="C705" s="471" t="s">
        <v>820</v>
      </c>
      <c r="D705" s="384">
        <v>72000</v>
      </c>
      <c r="E705" s="384">
        <f>E706+E707+E708</f>
        <v>190000</v>
      </c>
      <c r="F705" s="385">
        <f>F706+F707+F708</f>
        <v>189999.99999999997</v>
      </c>
      <c r="G705" s="386">
        <f t="shared" si="31"/>
        <v>0.9999999999999999</v>
      </c>
    </row>
    <row r="706" spans="1:7" s="407" customFormat="1" ht="19.5" customHeight="1">
      <c r="A706" s="287"/>
      <c r="B706" s="287"/>
      <c r="C706" s="426" t="s">
        <v>190</v>
      </c>
      <c r="D706" s="472">
        <v>38000</v>
      </c>
      <c r="E706" s="472">
        <v>84399</v>
      </c>
      <c r="F706" s="473">
        <v>84399</v>
      </c>
      <c r="G706" s="474">
        <f t="shared" si="31"/>
        <v>1</v>
      </c>
    </row>
    <row r="707" spans="1:7" s="407" customFormat="1" ht="19.5" customHeight="1">
      <c r="A707" s="62"/>
      <c r="B707" s="62"/>
      <c r="C707" s="336" t="s">
        <v>191</v>
      </c>
      <c r="D707" s="337">
        <v>28000</v>
      </c>
      <c r="E707" s="337">
        <v>92417</v>
      </c>
      <c r="F707" s="338">
        <v>92416.67</v>
      </c>
      <c r="G707" s="339">
        <f t="shared" si="31"/>
        <v>0.9999964292283887</v>
      </c>
    </row>
    <row r="708" spans="1:7" s="407" customFormat="1" ht="19.5" customHeight="1">
      <c r="A708" s="62"/>
      <c r="B708" s="62"/>
      <c r="C708" s="283" t="s">
        <v>192</v>
      </c>
      <c r="D708" s="284">
        <v>6000</v>
      </c>
      <c r="E708" s="284">
        <v>13184</v>
      </c>
      <c r="F708" s="285">
        <v>13184.33</v>
      </c>
      <c r="G708" s="286">
        <f aca="true" t="shared" si="32" ref="G708:G731">F708/E708</f>
        <v>1.0000250303398057</v>
      </c>
    </row>
    <row r="709" spans="1:7" s="6" customFormat="1" ht="19.5" customHeight="1">
      <c r="A709" s="62"/>
      <c r="B709" s="62"/>
      <c r="C709" s="475" t="s">
        <v>821</v>
      </c>
      <c r="D709" s="388">
        <v>48000</v>
      </c>
      <c r="E709" s="388">
        <f>E710+E711+E712+E713</f>
        <v>313000</v>
      </c>
      <c r="F709" s="389">
        <f>F710+F711+F712+F713</f>
        <v>305692</v>
      </c>
      <c r="G709" s="390">
        <f t="shared" si="32"/>
        <v>0.9766517571884984</v>
      </c>
    </row>
    <row r="710" spans="1:7" s="407" customFormat="1" ht="19.5" customHeight="1">
      <c r="A710" s="62"/>
      <c r="B710" s="62"/>
      <c r="C710" s="402" t="s">
        <v>190</v>
      </c>
      <c r="D710" s="403">
        <v>16700</v>
      </c>
      <c r="E710" s="403">
        <v>61787</v>
      </c>
      <c r="F710" s="404">
        <v>54478.96</v>
      </c>
      <c r="G710" s="405">
        <f t="shared" si="32"/>
        <v>0.8817220450903912</v>
      </c>
    </row>
    <row r="711" spans="1:7" s="407" customFormat="1" ht="19.5" customHeight="1">
      <c r="A711" s="62"/>
      <c r="B711" s="62"/>
      <c r="C711" s="336" t="s">
        <v>191</v>
      </c>
      <c r="D711" s="337">
        <v>27900</v>
      </c>
      <c r="E711" s="337">
        <v>40354</v>
      </c>
      <c r="F711" s="338">
        <v>40354.29</v>
      </c>
      <c r="G711" s="339">
        <f t="shared" si="32"/>
        <v>1.0000071864003568</v>
      </c>
    </row>
    <row r="712" spans="1:7" s="407" customFormat="1" ht="19.5" customHeight="1">
      <c r="A712" s="62"/>
      <c r="B712" s="62"/>
      <c r="C712" s="283" t="s">
        <v>192</v>
      </c>
      <c r="D712" s="284">
        <v>3400</v>
      </c>
      <c r="E712" s="284">
        <v>10859</v>
      </c>
      <c r="F712" s="285">
        <v>10858.75</v>
      </c>
      <c r="G712" s="286">
        <f t="shared" si="32"/>
        <v>0.9999769776222488</v>
      </c>
    </row>
    <row r="713" spans="1:7" s="407" customFormat="1" ht="19.5" customHeight="1">
      <c r="A713" s="62"/>
      <c r="B713" s="62"/>
      <c r="C713" s="283" t="s">
        <v>152</v>
      </c>
      <c r="D713" s="284"/>
      <c r="E713" s="284">
        <v>200000</v>
      </c>
      <c r="F713" s="285">
        <v>200000</v>
      </c>
      <c r="G713" s="286">
        <f t="shared" si="32"/>
        <v>1</v>
      </c>
    </row>
    <row r="714" spans="1:7" s="6" customFormat="1" ht="19.5" customHeight="1">
      <c r="A714" s="62"/>
      <c r="B714" s="62"/>
      <c r="C714" s="475" t="s">
        <v>822</v>
      </c>
      <c r="D714" s="388"/>
      <c r="E714" s="388">
        <f>SUM(E715:E716)</f>
        <v>228900</v>
      </c>
      <c r="F714" s="389">
        <f>F715+F716</f>
        <v>228900</v>
      </c>
      <c r="G714" s="390">
        <f t="shared" si="32"/>
        <v>1</v>
      </c>
    </row>
    <row r="715" spans="1:7" s="407" customFormat="1" ht="19.5" customHeight="1">
      <c r="A715" s="62"/>
      <c r="B715" s="62"/>
      <c r="C715" s="336" t="s">
        <v>191</v>
      </c>
      <c r="D715" s="337"/>
      <c r="E715" s="337">
        <v>28900</v>
      </c>
      <c r="F715" s="338">
        <v>28900</v>
      </c>
      <c r="G715" s="339">
        <f t="shared" si="32"/>
        <v>1</v>
      </c>
    </row>
    <row r="716" spans="1:7" s="407" customFormat="1" ht="19.5" customHeight="1">
      <c r="A716" s="62"/>
      <c r="B716" s="62"/>
      <c r="C716" s="283" t="s">
        <v>152</v>
      </c>
      <c r="D716" s="284"/>
      <c r="E716" s="284">
        <v>200000</v>
      </c>
      <c r="F716" s="285">
        <v>200000</v>
      </c>
      <c r="G716" s="286">
        <f t="shared" si="32"/>
        <v>1</v>
      </c>
    </row>
    <row r="717" spans="1:7" s="6" customFormat="1" ht="25.5">
      <c r="A717" s="62"/>
      <c r="B717" s="62"/>
      <c r="C717" s="475" t="s">
        <v>120</v>
      </c>
      <c r="D717" s="388">
        <v>1769000</v>
      </c>
      <c r="E717" s="388">
        <v>2203690</v>
      </c>
      <c r="F717" s="389">
        <v>2203690</v>
      </c>
      <c r="G717" s="390">
        <f t="shared" si="32"/>
        <v>1</v>
      </c>
    </row>
    <row r="718" spans="1:7" s="6" customFormat="1" ht="27.75" customHeight="1">
      <c r="A718" s="62"/>
      <c r="B718" s="62"/>
      <c r="C718" s="476" t="s">
        <v>823</v>
      </c>
      <c r="D718" s="477">
        <v>25000</v>
      </c>
      <c r="E718" s="477">
        <v>25000</v>
      </c>
      <c r="F718" s="478">
        <v>25000</v>
      </c>
      <c r="G718" s="479">
        <f t="shared" si="32"/>
        <v>1</v>
      </c>
    </row>
    <row r="719" spans="1:7" s="6" customFormat="1" ht="27.75" customHeight="1">
      <c r="A719" s="62"/>
      <c r="B719" s="287"/>
      <c r="C719" s="325" t="s">
        <v>733</v>
      </c>
      <c r="D719" s="288"/>
      <c r="E719" s="288">
        <v>190000</v>
      </c>
      <c r="F719" s="289">
        <v>190000</v>
      </c>
      <c r="G719" s="474">
        <f t="shared" si="32"/>
        <v>1</v>
      </c>
    </row>
    <row r="720" spans="1:7" s="6" customFormat="1" ht="19.5" customHeight="1">
      <c r="A720" s="62"/>
      <c r="B720" s="207">
        <v>85231</v>
      </c>
      <c r="C720" s="207" t="s">
        <v>824</v>
      </c>
      <c r="D720" s="209">
        <v>234000</v>
      </c>
      <c r="E720" s="209">
        <f>E721</f>
        <v>234000</v>
      </c>
      <c r="F720" s="262">
        <f>F721</f>
        <v>78066</v>
      </c>
      <c r="G720" s="211">
        <f t="shared" si="32"/>
        <v>0.3336153846153846</v>
      </c>
    </row>
    <row r="721" spans="1:7" s="6" customFormat="1" ht="19.5" customHeight="1">
      <c r="A721" s="62"/>
      <c r="B721" s="119"/>
      <c r="C721" s="120" t="s">
        <v>825</v>
      </c>
      <c r="D721" s="121">
        <v>234000</v>
      </c>
      <c r="E721" s="121">
        <v>234000</v>
      </c>
      <c r="F721" s="264">
        <v>78066</v>
      </c>
      <c r="G721" s="134">
        <f t="shared" si="32"/>
        <v>0.3336153846153846</v>
      </c>
    </row>
    <row r="722" spans="1:7" s="6" customFormat="1" ht="19.5" customHeight="1">
      <c r="A722" s="62"/>
      <c r="B722" s="207">
        <v>85295</v>
      </c>
      <c r="C722" s="207" t="s">
        <v>13</v>
      </c>
      <c r="D722" s="209"/>
      <c r="E722" s="209">
        <f>E723</f>
        <v>30000</v>
      </c>
      <c r="F722" s="262">
        <f>F723</f>
        <v>30000</v>
      </c>
      <c r="G722" s="431">
        <f t="shared" si="32"/>
        <v>1</v>
      </c>
    </row>
    <row r="723" spans="1:7" s="6" customFormat="1" ht="19.5" customHeight="1">
      <c r="A723" s="287"/>
      <c r="B723" s="119"/>
      <c r="C723" s="120" t="s">
        <v>826</v>
      </c>
      <c r="D723" s="121"/>
      <c r="E723" s="121">
        <v>30000</v>
      </c>
      <c r="F723" s="264">
        <v>30000</v>
      </c>
      <c r="G723" s="134">
        <f t="shared" si="32"/>
        <v>1</v>
      </c>
    </row>
    <row r="724" spans="1:7" s="6" customFormat="1" ht="19.5" customHeight="1" thickBot="1">
      <c r="A724" s="212">
        <v>853</v>
      </c>
      <c r="B724" s="212"/>
      <c r="C724" s="212" t="s">
        <v>737</v>
      </c>
      <c r="D724" s="225">
        <v>520000</v>
      </c>
      <c r="E724" s="225">
        <f>E725+E730</f>
        <v>662901</v>
      </c>
      <c r="F724" s="266">
        <f>F725+F730</f>
        <v>661092.03</v>
      </c>
      <c r="G724" s="227">
        <f t="shared" si="32"/>
        <v>0.9972711309833595</v>
      </c>
    </row>
    <row r="725" spans="1:7" s="6" customFormat="1" ht="19.5" customHeight="1">
      <c r="A725" s="62"/>
      <c r="B725" s="207">
        <v>85321</v>
      </c>
      <c r="C725" s="207" t="s">
        <v>666</v>
      </c>
      <c r="D725" s="209">
        <v>520000</v>
      </c>
      <c r="E725" s="209">
        <f>SUM(E726:E729)</f>
        <v>569000</v>
      </c>
      <c r="F725" s="262">
        <f>SUM(F726:F729)</f>
        <v>569000</v>
      </c>
      <c r="G725" s="211">
        <f t="shared" si="32"/>
        <v>1</v>
      </c>
    </row>
    <row r="726" spans="1:7" s="6" customFormat="1" ht="19.5" customHeight="1">
      <c r="A726" s="62"/>
      <c r="B726" s="91"/>
      <c r="C726" s="273" t="s">
        <v>190</v>
      </c>
      <c r="D726" s="274">
        <v>339300</v>
      </c>
      <c r="E726" s="274">
        <v>395848</v>
      </c>
      <c r="F726" s="275">
        <v>395848</v>
      </c>
      <c r="G726" s="276">
        <f t="shared" si="32"/>
        <v>1</v>
      </c>
    </row>
    <row r="727" spans="1:7" s="407" customFormat="1" ht="19.5" customHeight="1">
      <c r="A727" s="62"/>
      <c r="B727" s="62"/>
      <c r="C727" s="336" t="s">
        <v>191</v>
      </c>
      <c r="D727" s="337">
        <v>93500</v>
      </c>
      <c r="E727" s="337">
        <v>86015</v>
      </c>
      <c r="F727" s="338">
        <v>86014.7</v>
      </c>
      <c r="G727" s="339">
        <f t="shared" si="32"/>
        <v>0.9999965122362379</v>
      </c>
    </row>
    <row r="728" spans="1:7" s="407" customFormat="1" ht="19.5" customHeight="1">
      <c r="A728" s="62"/>
      <c r="B728" s="62"/>
      <c r="C728" s="283" t="s">
        <v>192</v>
      </c>
      <c r="D728" s="284">
        <v>63200</v>
      </c>
      <c r="E728" s="284">
        <v>63137</v>
      </c>
      <c r="F728" s="285">
        <v>63137.3</v>
      </c>
      <c r="G728" s="286">
        <f t="shared" si="32"/>
        <v>1.0000047515719785</v>
      </c>
    </row>
    <row r="729" spans="1:7" s="6" customFormat="1" ht="19.5" customHeight="1">
      <c r="A729" s="62"/>
      <c r="B729" s="287"/>
      <c r="C729" s="317" t="s">
        <v>152</v>
      </c>
      <c r="D729" s="294">
        <v>24000</v>
      </c>
      <c r="E729" s="294">
        <v>24000</v>
      </c>
      <c r="F729" s="295">
        <v>24000</v>
      </c>
      <c r="G729" s="318">
        <f t="shared" si="32"/>
        <v>1</v>
      </c>
    </row>
    <row r="730" spans="1:7" s="6" customFormat="1" ht="19.5" customHeight="1">
      <c r="A730" s="62"/>
      <c r="B730" s="207">
        <v>85334</v>
      </c>
      <c r="C730" s="207" t="s">
        <v>673</v>
      </c>
      <c r="D730" s="209"/>
      <c r="E730" s="209">
        <f>E731</f>
        <v>93901</v>
      </c>
      <c r="F730" s="262">
        <f>F731</f>
        <v>92092.03</v>
      </c>
      <c r="G730" s="211">
        <f t="shared" si="32"/>
        <v>0.9807353489313213</v>
      </c>
    </row>
    <row r="731" spans="1:7" s="6" customFormat="1" ht="19.5" customHeight="1">
      <c r="A731" s="287"/>
      <c r="B731" s="287"/>
      <c r="C731" s="287" t="s">
        <v>827</v>
      </c>
      <c r="D731" s="288"/>
      <c r="E731" s="288">
        <v>93901</v>
      </c>
      <c r="F731" s="289">
        <v>92092.03</v>
      </c>
      <c r="G731" s="290">
        <f t="shared" si="32"/>
        <v>0.9807353489313213</v>
      </c>
    </row>
    <row r="732" spans="1:7" ht="19.5" customHeight="1">
      <c r="A732" s="6"/>
      <c r="B732" s="6"/>
      <c r="C732" s="6"/>
      <c r="D732" s="6"/>
      <c r="E732" s="6"/>
      <c r="F732" s="480"/>
      <c r="G732" s="6"/>
    </row>
    <row r="733" spans="1:7" ht="19.5" customHeight="1">
      <c r="A733" s="6"/>
      <c r="B733" s="6"/>
      <c r="C733" s="417" t="s">
        <v>287</v>
      </c>
      <c r="D733" s="6"/>
      <c r="E733" t="s">
        <v>289</v>
      </c>
      <c r="F733" s="480"/>
      <c r="G733" s="6"/>
    </row>
    <row r="734" spans="1:7" ht="19.5" customHeight="1">
      <c r="A734" s="6"/>
      <c r="B734" s="6"/>
      <c r="C734" s="417" t="s">
        <v>288</v>
      </c>
      <c r="D734" s="6"/>
      <c r="E734" t="s">
        <v>290</v>
      </c>
      <c r="F734" s="480"/>
      <c r="G734" s="6"/>
    </row>
    <row r="735" spans="1:7" ht="19.5" customHeight="1">
      <c r="A735" s="6"/>
      <c r="B735" s="6"/>
      <c r="C735" s="6"/>
      <c r="D735" s="6"/>
      <c r="E735" s="6"/>
      <c r="F735" s="6"/>
      <c r="G735" s="6"/>
    </row>
    <row r="736" spans="1:7" ht="19.5" customHeight="1">
      <c r="A736" s="6"/>
      <c r="B736" s="6"/>
      <c r="C736" s="6"/>
      <c r="D736" s="6"/>
      <c r="E736" s="6"/>
      <c r="F736" s="6"/>
      <c r="G736" s="6"/>
    </row>
    <row r="737" spans="1:7" ht="19.5" customHeight="1">
      <c r="A737" s="6"/>
      <c r="B737" s="6"/>
      <c r="C737" s="6"/>
      <c r="D737" s="6"/>
      <c r="E737" s="6"/>
      <c r="F737" s="6"/>
      <c r="G737" s="6"/>
    </row>
    <row r="738" spans="1:7" ht="19.5" customHeight="1">
      <c r="A738" s="6"/>
      <c r="B738" s="6"/>
      <c r="C738" s="6"/>
      <c r="D738" s="6"/>
      <c r="E738" s="6"/>
      <c r="F738" s="6"/>
      <c r="G738" s="6"/>
    </row>
    <row r="739" spans="1:7" ht="19.5" customHeight="1">
      <c r="A739" s="6"/>
      <c r="B739" s="6"/>
      <c r="C739" s="6"/>
      <c r="D739" s="6"/>
      <c r="E739" s="6"/>
      <c r="F739" s="6"/>
      <c r="G739" s="6"/>
    </row>
    <row r="740" spans="1:7" ht="19.5" customHeight="1">
      <c r="A740" s="6"/>
      <c r="B740" s="6"/>
      <c r="C740" s="6"/>
      <c r="D740" s="6"/>
      <c r="E740" s="6"/>
      <c r="F740" s="6"/>
      <c r="G740" s="6"/>
    </row>
    <row r="741" spans="1:7" ht="19.5" customHeight="1">
      <c r="A741" s="6"/>
      <c r="B741" s="6"/>
      <c r="C741" s="6"/>
      <c r="D741" s="6"/>
      <c r="E741" s="6"/>
      <c r="F741" s="6"/>
      <c r="G741" s="6"/>
    </row>
    <row r="742" spans="1:7" ht="19.5" customHeight="1">
      <c r="A742" s="6"/>
      <c r="B742" s="6"/>
      <c r="C742" s="6"/>
      <c r="D742" s="6"/>
      <c r="E742" s="6"/>
      <c r="F742" s="6"/>
      <c r="G742" s="6"/>
    </row>
    <row r="743" spans="1:7" ht="19.5" customHeight="1">
      <c r="A743" s="6"/>
      <c r="B743" s="6"/>
      <c r="C743" s="6"/>
      <c r="D743" s="6"/>
      <c r="E743" s="6"/>
      <c r="F743" s="6"/>
      <c r="G743" s="6"/>
    </row>
    <row r="744" spans="1:7" ht="19.5" customHeight="1">
      <c r="A744" s="6"/>
      <c r="B744" s="6"/>
      <c r="C744" s="6"/>
      <c r="D744" s="6"/>
      <c r="E744" s="6"/>
      <c r="F744" s="6"/>
      <c r="G744" s="6"/>
    </row>
    <row r="745" spans="1:7" ht="19.5" customHeight="1">
      <c r="A745" s="6"/>
      <c r="B745" s="6"/>
      <c r="C745" s="6"/>
      <c r="D745" s="6"/>
      <c r="E745" s="6"/>
      <c r="F745" s="6"/>
      <c r="G745" s="6"/>
    </row>
    <row r="746" spans="1:7" ht="19.5" customHeight="1">
      <c r="A746" s="6"/>
      <c r="B746" s="6"/>
      <c r="C746" s="6"/>
      <c r="D746" s="6"/>
      <c r="E746" s="6"/>
      <c r="F746" s="6"/>
      <c r="G746" s="6"/>
    </row>
    <row r="747" spans="1:7" ht="19.5" customHeight="1">
      <c r="A747" s="6"/>
      <c r="B747" s="6"/>
      <c r="C747" s="6"/>
      <c r="D747" s="6"/>
      <c r="E747" s="6"/>
      <c r="F747" s="6"/>
      <c r="G747" s="6"/>
    </row>
    <row r="748" spans="1:7" ht="19.5" customHeight="1">
      <c r="A748" s="6"/>
      <c r="B748" s="6"/>
      <c r="C748" s="6"/>
      <c r="D748" s="6"/>
      <c r="E748" s="6"/>
      <c r="F748" s="6"/>
      <c r="G748" s="6"/>
    </row>
    <row r="749" spans="1:7" ht="19.5" customHeight="1">
      <c r="A749" s="6"/>
      <c r="B749" s="6"/>
      <c r="C749" s="6"/>
      <c r="D749" s="6"/>
      <c r="E749" s="6"/>
      <c r="F749" s="6"/>
      <c r="G749" s="6"/>
    </row>
    <row r="750" spans="1:7" ht="19.5" customHeight="1">
      <c r="A750" s="6"/>
      <c r="B750" s="6"/>
      <c r="C750" s="6"/>
      <c r="D750" s="6"/>
      <c r="E750" s="6"/>
      <c r="F750" s="6"/>
      <c r="G750" s="6"/>
    </row>
    <row r="751" spans="1:7" ht="19.5" customHeight="1">
      <c r="A751" s="6"/>
      <c r="B751" s="6"/>
      <c r="C751" s="6"/>
      <c r="D751" s="6"/>
      <c r="E751" s="6"/>
      <c r="F751" s="6"/>
      <c r="G751" s="6"/>
    </row>
    <row r="752" spans="1:7" ht="19.5" customHeight="1">
      <c r="A752" s="6"/>
      <c r="B752" s="6"/>
      <c r="C752" s="6"/>
      <c r="D752" s="6"/>
      <c r="E752" s="6"/>
      <c r="F752" s="6"/>
      <c r="G752" s="6"/>
    </row>
    <row r="753" spans="1:7" ht="19.5" customHeight="1">
      <c r="A753" s="6"/>
      <c r="B753" s="6"/>
      <c r="C753" s="6"/>
      <c r="D753" s="6"/>
      <c r="E753" s="6"/>
      <c r="F753" s="6"/>
      <c r="G753" s="6"/>
    </row>
    <row r="754" spans="1:7" ht="19.5" customHeight="1">
      <c r="A754" s="6"/>
      <c r="B754" s="6"/>
      <c r="C754" s="6"/>
      <c r="D754" s="6"/>
      <c r="E754" s="6"/>
      <c r="F754" s="6"/>
      <c r="G754" s="6"/>
    </row>
    <row r="755" spans="1:7" ht="19.5" customHeight="1">
      <c r="A755" s="6"/>
      <c r="B755" s="6"/>
      <c r="C755" s="6"/>
      <c r="D755" s="6"/>
      <c r="E755" s="6"/>
      <c r="F755" s="6"/>
      <c r="G755" s="6"/>
    </row>
    <row r="756" spans="1:7" ht="19.5" customHeight="1">
      <c r="A756" s="6"/>
      <c r="B756" s="6"/>
      <c r="C756" s="6"/>
      <c r="D756" s="6"/>
      <c r="E756" s="6"/>
      <c r="F756" s="6"/>
      <c r="G756" s="6"/>
    </row>
    <row r="757" spans="1:7" ht="19.5" customHeight="1">
      <c r="A757" s="6"/>
      <c r="B757" s="6"/>
      <c r="C757" s="6"/>
      <c r="D757" s="6"/>
      <c r="E757" s="6"/>
      <c r="F757" s="6"/>
      <c r="G757" s="6"/>
    </row>
    <row r="758" spans="1:7" ht="19.5" customHeight="1">
      <c r="A758" s="6"/>
      <c r="B758" s="6"/>
      <c r="C758" s="6"/>
      <c r="D758" s="6"/>
      <c r="E758" s="6"/>
      <c r="F758" s="6"/>
      <c r="G758" s="6"/>
    </row>
    <row r="759" spans="1:7" ht="19.5" customHeight="1">
      <c r="A759" s="6"/>
      <c r="B759" s="6"/>
      <c r="C759" s="6"/>
      <c r="D759" s="6"/>
      <c r="E759" s="6"/>
      <c r="F759" s="6"/>
      <c r="G759" s="6"/>
    </row>
    <row r="760" spans="1:7" ht="19.5" customHeight="1">
      <c r="A760" s="6"/>
      <c r="B760" s="6"/>
      <c r="C760" s="6"/>
      <c r="D760" s="6"/>
      <c r="E760" s="6"/>
      <c r="F760" s="6"/>
      <c r="G760" s="6"/>
    </row>
    <row r="761" spans="1:7" ht="19.5" customHeight="1">
      <c r="A761" s="6"/>
      <c r="B761" s="6"/>
      <c r="C761" s="6"/>
      <c r="D761" s="6"/>
      <c r="E761" s="6"/>
      <c r="F761" s="6"/>
      <c r="G761" s="6"/>
    </row>
    <row r="762" spans="1:7" ht="19.5" customHeight="1">
      <c r="A762" s="6"/>
      <c r="B762" s="6"/>
      <c r="C762" s="6"/>
      <c r="D762" s="6"/>
      <c r="E762" s="6"/>
      <c r="F762" s="6"/>
      <c r="G762" s="6"/>
    </row>
    <row r="763" spans="1:7" ht="19.5" customHeight="1">
      <c r="A763" s="6"/>
      <c r="B763" s="6"/>
      <c r="C763" s="6"/>
      <c r="D763" s="6"/>
      <c r="E763" s="6"/>
      <c r="F763" s="6"/>
      <c r="G763" s="6"/>
    </row>
    <row r="764" spans="1:7" ht="19.5" customHeight="1">
      <c r="A764" s="6"/>
      <c r="B764" s="6"/>
      <c r="C764" s="6"/>
      <c r="D764" s="6"/>
      <c r="E764" s="6"/>
      <c r="F764" s="6"/>
      <c r="G764" s="6"/>
    </row>
    <row r="765" spans="1:7" ht="19.5" customHeight="1">
      <c r="A765" s="6"/>
      <c r="B765" s="6"/>
      <c r="C765" s="6"/>
      <c r="D765" s="6"/>
      <c r="E765" s="6"/>
      <c r="F765" s="6"/>
      <c r="G765" s="6"/>
    </row>
    <row r="766" spans="1:7" ht="19.5" customHeight="1">
      <c r="A766" s="6"/>
      <c r="B766" s="6"/>
      <c r="C766" s="6"/>
      <c r="D766" s="6"/>
      <c r="E766" s="6"/>
      <c r="F766" s="6"/>
      <c r="G766" s="6"/>
    </row>
    <row r="767" spans="1:7" ht="19.5" customHeight="1">
      <c r="A767" s="6"/>
      <c r="B767" s="6"/>
      <c r="C767" s="6"/>
      <c r="D767" s="6"/>
      <c r="E767" s="6"/>
      <c r="F767" s="6"/>
      <c r="G767" s="6"/>
    </row>
    <row r="768" spans="1:7" ht="19.5" customHeight="1">
      <c r="A768" s="6"/>
      <c r="B768" s="6"/>
      <c r="C768" s="6"/>
      <c r="D768" s="6"/>
      <c r="E768" s="6"/>
      <c r="F768" s="6"/>
      <c r="G768" s="6"/>
    </row>
    <row r="769" spans="1:7" ht="19.5" customHeight="1">
      <c r="A769" s="6"/>
      <c r="B769" s="6"/>
      <c r="C769" s="6"/>
      <c r="D769" s="6"/>
      <c r="E769" s="6"/>
      <c r="F769" s="6"/>
      <c r="G769" s="6"/>
    </row>
    <row r="770" spans="1:7" ht="19.5" customHeight="1">
      <c r="A770" s="6"/>
      <c r="B770" s="6"/>
      <c r="C770" s="6"/>
      <c r="D770" s="6"/>
      <c r="E770" s="6"/>
      <c r="F770" s="6"/>
      <c r="G770" s="6"/>
    </row>
    <row r="771" spans="1:7" ht="19.5" customHeight="1">
      <c r="A771" s="6"/>
      <c r="B771" s="6"/>
      <c r="C771" s="6"/>
      <c r="D771" s="6"/>
      <c r="E771" s="6"/>
      <c r="F771" s="6"/>
      <c r="G771" s="6"/>
    </row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3" customHeight="1"/>
    <row r="795" ht="29.25" customHeight="1"/>
    <row r="796" ht="23.25" customHeight="1"/>
    <row r="797" ht="33.75" customHeight="1"/>
    <row r="798" ht="33" customHeight="1"/>
    <row r="799" ht="30" customHeight="1"/>
    <row r="800" ht="30" customHeight="1"/>
    <row r="801" ht="31.5" customHeight="1"/>
    <row r="802" ht="33.75" customHeight="1"/>
    <row r="803" ht="30" customHeight="1"/>
    <row r="804" ht="30" customHeight="1"/>
    <row r="805" ht="33.75" customHeight="1"/>
    <row r="806" ht="30" customHeight="1"/>
    <row r="807" ht="39.75" customHeight="1"/>
    <row r="808" ht="47.25" customHeight="1"/>
    <row r="809" ht="35.25" customHeight="1"/>
    <row r="810" ht="35.25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48.75" customHeight="1"/>
    <row r="828" ht="48.75" customHeight="1"/>
    <row r="829" ht="48.75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106.5" customHeight="1"/>
    <row r="847" ht="77.25" customHeight="1"/>
    <row r="848" ht="30" customHeight="1"/>
    <row r="849" ht="28.5" customHeight="1"/>
    <row r="850" ht="30" customHeight="1"/>
    <row r="851" ht="21.75" customHeight="1"/>
    <row r="852" ht="30" customHeight="1"/>
    <row r="853" ht="30" customHeight="1"/>
    <row r="854" ht="27.75" customHeight="1"/>
    <row r="855" ht="33" customHeight="1"/>
    <row r="856" ht="32.25" customHeight="1"/>
    <row r="857" ht="21" customHeight="1"/>
    <row r="858" ht="30" customHeight="1"/>
    <row r="859" ht="24" customHeight="1"/>
    <row r="860" ht="24.75" customHeight="1"/>
    <row r="861" ht="24.75" customHeight="1"/>
    <row r="862" ht="26.25" customHeight="1"/>
    <row r="863" ht="24" customHeight="1"/>
    <row r="864" ht="24" customHeight="1"/>
    <row r="865" ht="24.75" customHeight="1"/>
    <row r="866" ht="33.75" customHeight="1"/>
    <row r="867" ht="33.75" customHeight="1"/>
    <row r="868" ht="39.75" customHeight="1"/>
    <row r="869" ht="21.75" customHeight="1"/>
    <row r="870" ht="24.75" customHeight="1"/>
    <row r="871" ht="49.5" customHeight="1"/>
    <row r="872" ht="30.75" customHeight="1"/>
    <row r="873" ht="27.75" customHeight="1"/>
    <row r="874" ht="12.75"/>
    <row r="875" ht="12.75"/>
    <row r="876" ht="12.75"/>
  </sheetData>
  <mergeCells count="3">
    <mergeCell ref="F6:F8"/>
    <mergeCell ref="E6:E8"/>
    <mergeCell ref="D6:D8"/>
  </mergeCells>
  <printOptions horizontalCentered="1"/>
  <pageMargins left="0.5905511811023623" right="0.5905511811023623" top="0.6692913385826772" bottom="0.6692913385826772" header="0.5118110236220472" footer="0.5118110236220472"/>
  <pageSetup firstPageNumber="24" useFirstPageNumber="1" horizontalDpi="300" verticalDpi="300" orientation="landscape" paperSize="9" scale="85" r:id="rId2"/>
  <headerFooter alignWithMargins="0">
    <oddHeader>&amp;L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F2" sqref="F2:F4"/>
    </sheetView>
  </sheetViews>
  <sheetFormatPr defaultColWidth="9.00390625" defaultRowHeight="12.75"/>
  <cols>
    <col min="1" max="1" width="5.375" style="6" customWidth="1"/>
    <col min="2" max="2" width="68.375" style="6" customWidth="1"/>
    <col min="3" max="4" width="13.75390625" style="6" customWidth="1"/>
    <col min="5" max="5" width="15.875" style="6" customWidth="1"/>
    <col min="6" max="7" width="13.75390625" style="6" customWidth="1"/>
    <col min="8" max="8" width="16.00390625" style="6" customWidth="1"/>
    <col min="9" max="9" width="11.625" style="6" bestFit="1" customWidth="1"/>
    <col min="10" max="10" width="12.125" style="6" bestFit="1" customWidth="1"/>
    <col min="11" max="11" width="11.375" style="6" customWidth="1"/>
    <col min="12" max="12" width="14.625" style="6" customWidth="1"/>
    <col min="13" max="13" width="17.625" style="6" customWidth="1"/>
    <col min="14" max="16384" width="9.125" style="6" customWidth="1"/>
  </cols>
  <sheetData>
    <row r="1" spans="2:8" ht="13.5" customHeight="1">
      <c r="B1" s="481"/>
      <c r="C1" s="482"/>
      <c r="D1" s="482"/>
      <c r="E1" s="482"/>
      <c r="F1" s="6" t="s">
        <v>1148</v>
      </c>
      <c r="G1" s="482"/>
      <c r="H1" s="482"/>
    </row>
    <row r="2" spans="2:8" ht="13.5" customHeight="1">
      <c r="B2" s="483" t="s">
        <v>1149</v>
      </c>
      <c r="C2" s="482"/>
      <c r="D2" s="482"/>
      <c r="E2" s="482"/>
      <c r="F2" s="480" t="s">
        <v>293</v>
      </c>
      <c r="G2" s="482"/>
      <c r="H2" s="482"/>
    </row>
    <row r="3" spans="2:8" ht="13.5" customHeight="1">
      <c r="B3" s="483" t="s">
        <v>1150</v>
      </c>
      <c r="C3" s="482"/>
      <c r="D3" s="482"/>
      <c r="E3" s="482"/>
      <c r="F3" s="480" t="s">
        <v>893</v>
      </c>
      <c r="G3" s="482"/>
      <c r="H3" s="482"/>
    </row>
    <row r="4" spans="2:8" ht="13.5" customHeight="1">
      <c r="B4" s="484"/>
      <c r="C4" s="482"/>
      <c r="D4" s="482"/>
      <c r="E4" s="482"/>
      <c r="F4" s="480" t="s">
        <v>294</v>
      </c>
      <c r="G4" s="482"/>
      <c r="H4" s="482"/>
    </row>
    <row r="5" ht="13.5" customHeight="1">
      <c r="B5" s="484"/>
    </row>
    <row r="6" spans="1:8" ht="13.5" thickBot="1">
      <c r="A6" s="485"/>
      <c r="B6" s="47"/>
      <c r="C6" s="47"/>
      <c r="D6" s="47"/>
      <c r="E6" s="47"/>
      <c r="F6" s="486"/>
      <c r="G6" s="486"/>
      <c r="H6" s="486" t="s">
        <v>725</v>
      </c>
    </row>
    <row r="7" spans="1:8" ht="70.5" customHeight="1" thickBot="1" thickTop="1">
      <c r="A7" s="487" t="s">
        <v>1151</v>
      </c>
      <c r="B7" s="488" t="s">
        <v>127</v>
      </c>
      <c r="C7" s="489" t="s">
        <v>1152</v>
      </c>
      <c r="D7" s="489" t="s">
        <v>1153</v>
      </c>
      <c r="E7" s="490" t="s">
        <v>1154</v>
      </c>
      <c r="F7" s="489" t="s">
        <v>1155</v>
      </c>
      <c r="G7" s="489" t="s">
        <v>1156</v>
      </c>
      <c r="H7" s="490" t="s">
        <v>1157</v>
      </c>
    </row>
    <row r="8" spans="1:8" ht="14.25" thickBot="1" thickTop="1">
      <c r="A8" s="491">
        <v>1</v>
      </c>
      <c r="B8" s="492">
        <v>2</v>
      </c>
      <c r="C8" s="493">
        <v>3</v>
      </c>
      <c r="D8" s="493">
        <v>4</v>
      </c>
      <c r="E8" s="493">
        <v>5</v>
      </c>
      <c r="F8" s="493">
        <v>6</v>
      </c>
      <c r="G8" s="493">
        <v>7</v>
      </c>
      <c r="H8" s="493">
        <v>8</v>
      </c>
    </row>
    <row r="9" spans="1:12" ht="20.25" customHeight="1" thickBot="1" thickTop="1">
      <c r="A9" s="494"/>
      <c r="B9" s="495" t="s">
        <v>65</v>
      </c>
      <c r="C9" s="496">
        <f>C12+C16+C14+C10</f>
        <v>74657500</v>
      </c>
      <c r="D9" s="496">
        <f>D12+D16+D14+D10+D18</f>
        <v>88252647</v>
      </c>
      <c r="E9" s="497">
        <f>E12+E16+E14+E10+E18</f>
        <v>80653883.66</v>
      </c>
      <c r="F9" s="498">
        <f>F20+F22</f>
        <v>44200000</v>
      </c>
      <c r="G9" s="498">
        <f>G20+G22</f>
        <v>43550000</v>
      </c>
      <c r="H9" s="499">
        <f>H20+H22</f>
        <v>43457355.99</v>
      </c>
      <c r="I9" s="248"/>
      <c r="J9" s="248">
        <f>C9-F9</f>
        <v>30457500</v>
      </c>
      <c r="K9" s="248">
        <f>D9-G9</f>
        <v>44702647</v>
      </c>
      <c r="L9" s="480">
        <f>E9-H9</f>
        <v>37196527.669999994</v>
      </c>
    </row>
    <row r="10" spans="1:12" s="75" customFormat="1" ht="45.75" customHeight="1">
      <c r="A10" s="500">
        <v>902</v>
      </c>
      <c r="B10" s="501" t="s">
        <v>1158</v>
      </c>
      <c r="C10" s="502">
        <f>C11</f>
        <v>60000</v>
      </c>
      <c r="D10" s="502">
        <f>D11</f>
        <v>60000</v>
      </c>
      <c r="E10" s="503">
        <f>E11</f>
        <v>52834.06</v>
      </c>
      <c r="F10" s="502"/>
      <c r="G10" s="502"/>
      <c r="H10" s="503"/>
      <c r="I10" s="504"/>
      <c r="J10" s="504"/>
      <c r="K10" s="504"/>
      <c r="L10" s="504">
        <v>15802586.57</v>
      </c>
    </row>
    <row r="11" spans="1:12" s="75" customFormat="1" ht="30.75" customHeight="1">
      <c r="A11" s="505"/>
      <c r="B11" s="506" t="s">
        <v>1159</v>
      </c>
      <c r="C11" s="507">
        <f>-540000+600000</f>
        <v>60000</v>
      </c>
      <c r="D11" s="507">
        <f>-540000+600000</f>
        <v>60000</v>
      </c>
      <c r="E11" s="508">
        <v>52834.06</v>
      </c>
      <c r="F11" s="509"/>
      <c r="G11" s="509"/>
      <c r="H11" s="510"/>
      <c r="I11" s="504"/>
      <c r="J11" s="504"/>
      <c r="K11" s="504"/>
      <c r="L11" s="511">
        <f>L9-L10</f>
        <v>21393941.099999994</v>
      </c>
    </row>
    <row r="12" spans="1:12" s="75" customFormat="1" ht="18" customHeight="1" hidden="1">
      <c r="A12" s="500">
        <v>931</v>
      </c>
      <c r="B12" s="512" t="s">
        <v>1160</v>
      </c>
      <c r="C12" s="509">
        <f>C13</f>
        <v>0</v>
      </c>
      <c r="D12" s="509">
        <f>D13</f>
        <v>0</v>
      </c>
      <c r="E12" s="509"/>
      <c r="F12" s="509"/>
      <c r="G12" s="509"/>
      <c r="H12" s="510"/>
      <c r="I12" s="504"/>
      <c r="J12" s="504"/>
      <c r="K12" s="504"/>
      <c r="L12" s="504"/>
    </row>
    <row r="13" spans="1:12" s="75" customFormat="1" ht="18" customHeight="1" hidden="1">
      <c r="A13" s="505"/>
      <c r="B13" s="506" t="s">
        <v>1161</v>
      </c>
      <c r="C13" s="507"/>
      <c r="D13" s="507"/>
      <c r="E13" s="507"/>
      <c r="F13" s="509"/>
      <c r="G13" s="509"/>
      <c r="H13" s="510"/>
      <c r="I13" s="504"/>
      <c r="J13" s="504"/>
      <c r="K13" s="504"/>
      <c r="L13" s="504"/>
    </row>
    <row r="14" spans="1:12" s="75" customFormat="1" ht="46.5" customHeight="1">
      <c r="A14" s="500">
        <v>943</v>
      </c>
      <c r="B14" s="512" t="s">
        <v>1162</v>
      </c>
      <c r="C14" s="509">
        <f>C15</f>
        <v>2000000</v>
      </c>
      <c r="D14" s="509">
        <f>D15</f>
        <v>2000000</v>
      </c>
      <c r="E14" s="510">
        <f>E15</f>
        <v>500000</v>
      </c>
      <c r="F14" s="509"/>
      <c r="G14" s="509"/>
      <c r="H14" s="510"/>
      <c r="I14" s="504"/>
      <c r="J14" s="504"/>
      <c r="K14" s="504"/>
      <c r="L14" s="504"/>
    </row>
    <row r="15" spans="1:12" s="75" customFormat="1" ht="18.75" customHeight="1">
      <c r="A15" s="505"/>
      <c r="B15" s="506" t="s">
        <v>1163</v>
      </c>
      <c r="C15" s="507">
        <v>2000000</v>
      </c>
      <c r="D15" s="507">
        <v>2000000</v>
      </c>
      <c r="E15" s="508">
        <v>500000</v>
      </c>
      <c r="F15" s="509"/>
      <c r="G15" s="509"/>
      <c r="H15" s="510"/>
      <c r="I15" s="504"/>
      <c r="J15" s="504"/>
      <c r="K15" s="504"/>
      <c r="L15" s="504"/>
    </row>
    <row r="16" spans="1:8" s="75" customFormat="1" ht="18.75" customHeight="1">
      <c r="A16" s="500">
        <v>952</v>
      </c>
      <c r="B16" s="513" t="s">
        <v>1164</v>
      </c>
      <c r="C16" s="514">
        <f>C17</f>
        <v>72597500</v>
      </c>
      <c r="D16" s="514">
        <f>D17</f>
        <v>69709100</v>
      </c>
      <c r="E16" s="515">
        <f>E17</f>
        <v>63617502.21</v>
      </c>
      <c r="F16" s="514"/>
      <c r="G16" s="514"/>
      <c r="H16" s="515"/>
    </row>
    <row r="17" spans="1:8" s="75" customFormat="1" ht="18.75" customHeight="1">
      <c r="A17" s="516"/>
      <c r="B17" s="517" t="s">
        <v>1165</v>
      </c>
      <c r="C17" s="518">
        <f>12597500+60000000</f>
        <v>72597500</v>
      </c>
      <c r="D17" s="518">
        <v>69709100</v>
      </c>
      <c r="E17" s="519">
        <f>57000000+6574839.71+42662.5</f>
        <v>63617502.21</v>
      </c>
      <c r="F17" s="514"/>
      <c r="G17" s="514"/>
      <c r="H17" s="515"/>
    </row>
    <row r="18" spans="1:8" s="75" customFormat="1" ht="18.75" customHeight="1">
      <c r="A18" s="500">
        <v>957</v>
      </c>
      <c r="B18" s="513" t="s">
        <v>1166</v>
      </c>
      <c r="C18" s="514"/>
      <c r="D18" s="514">
        <f>D19</f>
        <v>16483547</v>
      </c>
      <c r="E18" s="515">
        <f>E19</f>
        <v>16483547.39</v>
      </c>
      <c r="F18" s="514"/>
      <c r="G18" s="514"/>
      <c r="H18" s="515"/>
    </row>
    <row r="19" spans="1:8" s="75" customFormat="1" ht="29.25">
      <c r="A19" s="517"/>
      <c r="B19" s="520" t="s">
        <v>1167</v>
      </c>
      <c r="C19" s="521"/>
      <c r="D19" s="521">
        <v>16483547</v>
      </c>
      <c r="E19" s="522">
        <v>16483547.39</v>
      </c>
      <c r="F19" s="523"/>
      <c r="G19" s="523"/>
      <c r="H19" s="524"/>
    </row>
    <row r="20" spans="1:12" s="75" customFormat="1" ht="18.75" customHeight="1">
      <c r="A20" s="500">
        <v>982</v>
      </c>
      <c r="B20" s="513" t="s">
        <v>1168</v>
      </c>
      <c r="C20" s="514"/>
      <c r="D20" s="514"/>
      <c r="E20" s="515"/>
      <c r="F20" s="514">
        <f>F21</f>
        <v>35000000</v>
      </c>
      <c r="G20" s="514">
        <f>G21</f>
        <v>35000000</v>
      </c>
      <c r="H20" s="515">
        <f>H21</f>
        <v>35000000</v>
      </c>
      <c r="I20" s="84"/>
      <c r="J20" s="84"/>
      <c r="K20" s="84"/>
      <c r="L20" s="84"/>
    </row>
    <row r="21" spans="1:8" s="75" customFormat="1" ht="18.75" customHeight="1">
      <c r="A21" s="516"/>
      <c r="B21" s="525" t="s">
        <v>1169</v>
      </c>
      <c r="C21" s="518"/>
      <c r="D21" s="518"/>
      <c r="E21" s="519"/>
      <c r="F21" s="518">
        <v>35000000</v>
      </c>
      <c r="G21" s="518">
        <v>35000000</v>
      </c>
      <c r="H21" s="519">
        <v>35000000</v>
      </c>
    </row>
    <row r="22" spans="1:8" s="75" customFormat="1" ht="18.75" customHeight="1">
      <c r="A22" s="500">
        <v>992</v>
      </c>
      <c r="B22" s="513" t="s">
        <v>1170</v>
      </c>
      <c r="C22" s="514"/>
      <c r="D22" s="514"/>
      <c r="E22" s="515"/>
      <c r="F22" s="514">
        <f>SUM(F23:F23)</f>
        <v>9200000</v>
      </c>
      <c r="G22" s="514">
        <f>SUM(G23:G23)</f>
        <v>8550000</v>
      </c>
      <c r="H22" s="515">
        <f>H23</f>
        <v>8457355.99</v>
      </c>
    </row>
    <row r="23" spans="1:9" s="75" customFormat="1" ht="18.75" customHeight="1">
      <c r="A23" s="516"/>
      <c r="B23" s="526" t="s">
        <v>1171</v>
      </c>
      <c r="C23" s="527"/>
      <c r="D23" s="527"/>
      <c r="E23" s="528"/>
      <c r="F23" s="527">
        <v>9200000</v>
      </c>
      <c r="G23" s="529">
        <v>8550000</v>
      </c>
      <c r="H23" s="530">
        <v>8457355.99</v>
      </c>
      <c r="I23" s="531"/>
    </row>
    <row r="24" spans="1:8" ht="13.5" customHeight="1">
      <c r="A24" s="154"/>
      <c r="B24" s="154"/>
      <c r="C24" s="154"/>
      <c r="D24" s="154"/>
      <c r="E24" s="154"/>
      <c r="F24" s="154"/>
      <c r="G24" s="47"/>
      <c r="H24" s="47"/>
    </row>
    <row r="25" spans="1:9" ht="13.5" customHeight="1">
      <c r="A25" s="47"/>
      <c r="B25" s="532"/>
      <c r="C25" s="47"/>
      <c r="D25" s="47"/>
      <c r="E25" s="47"/>
      <c r="F25" s="533"/>
      <c r="G25" s="533"/>
      <c r="H25" s="533"/>
      <c r="I25" s="47"/>
    </row>
    <row r="26" spans="1:8" ht="13.5" customHeight="1">
      <c r="A26"/>
      <c r="B26" s="417" t="s">
        <v>287</v>
      </c>
      <c r="C26"/>
      <c r="D26"/>
      <c r="E26" t="s">
        <v>289</v>
      </c>
      <c r="F26" s="534"/>
      <c r="G26" s="534"/>
      <c r="H26" s="534"/>
    </row>
    <row r="27" spans="2:5" ht="13.5" customHeight="1">
      <c r="B27" s="417" t="s">
        <v>288</v>
      </c>
      <c r="E27" t="s">
        <v>290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printOptions horizontalCentered="1"/>
  <pageMargins left="0.5905511811023623" right="0.5905511811023623" top="0.66" bottom="0.5" header="0.45" footer="0.34"/>
  <pageSetup firstPageNumber="49" useFirstPageNumber="1"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19"/>
  <sheetViews>
    <sheetView zoomScale="75" zoomScaleNormal="75" zoomScaleSheetLayoutView="75" workbookViewId="0" topLeftCell="A1">
      <selection activeCell="O7" sqref="O7"/>
    </sheetView>
  </sheetViews>
  <sheetFormatPr defaultColWidth="9.00390625" defaultRowHeight="12.75"/>
  <cols>
    <col min="1" max="1" width="6.125" style="535" customWidth="1"/>
    <col min="2" max="2" width="7.875" style="535" customWidth="1"/>
    <col min="3" max="3" width="48.00390625" style="0" customWidth="1"/>
    <col min="4" max="5" width="15.75390625" style="0" customWidth="1"/>
    <col min="6" max="7" width="14.75390625" style="0" customWidth="1"/>
    <col min="8" max="8" width="15.75390625" style="0" hidden="1" customWidth="1"/>
    <col min="9" max="9" width="15.875" style="0" customWidth="1"/>
    <col min="10" max="10" width="17.625" style="0" customWidth="1"/>
    <col min="11" max="11" width="17.75390625" style="0" customWidth="1"/>
    <col min="12" max="12" width="16.375" style="0" customWidth="1"/>
    <col min="13" max="13" width="15.75390625" style="0" hidden="1" customWidth="1"/>
    <col min="14" max="14" width="16.00390625" style="0" customWidth="1"/>
    <col min="15" max="15" width="12.625" style="0" customWidth="1"/>
    <col min="16" max="16" width="15.75390625" style="0" hidden="1" customWidth="1"/>
    <col min="17" max="18" width="11.625" style="0" customWidth="1"/>
    <col min="19" max="19" width="9.75390625" style="0" bestFit="1" customWidth="1"/>
  </cols>
  <sheetData>
    <row r="1" spans="7:15" ht="17.25" customHeight="1">
      <c r="G1" s="35"/>
      <c r="L1" s="35"/>
      <c r="O1" s="6" t="s">
        <v>1172</v>
      </c>
    </row>
    <row r="2" spans="1:21" s="34" customFormat="1" ht="18" customHeight="1">
      <c r="A2" s="536"/>
      <c r="B2" s="537" t="s">
        <v>1173</v>
      </c>
      <c r="C2" s="230"/>
      <c r="G2" s="35"/>
      <c r="L2" s="35"/>
      <c r="O2" s="6" t="s">
        <v>293</v>
      </c>
      <c r="S2"/>
      <c r="T2"/>
      <c r="U2"/>
    </row>
    <row r="3" spans="7:15" ht="17.25" customHeight="1">
      <c r="G3" s="35"/>
      <c r="L3" s="35"/>
      <c r="O3" s="6" t="s">
        <v>893</v>
      </c>
    </row>
    <row r="4" spans="7:15" ht="17.25" customHeight="1">
      <c r="G4" s="35"/>
      <c r="L4" s="35"/>
      <c r="O4" s="6" t="s">
        <v>294</v>
      </c>
    </row>
    <row r="5" spans="6:11" ht="10.5" customHeight="1">
      <c r="F5" s="35"/>
      <c r="K5" s="35"/>
    </row>
    <row r="6" spans="7:18" ht="13.5" thickBot="1">
      <c r="G6" s="6"/>
      <c r="H6" s="6"/>
      <c r="I6" s="6"/>
      <c r="L6" s="6"/>
      <c r="M6" s="6"/>
      <c r="N6" s="486" t="s">
        <v>725</v>
      </c>
      <c r="O6" s="6"/>
      <c r="P6" s="6"/>
      <c r="Q6" s="6"/>
      <c r="R6" s="6"/>
    </row>
    <row r="7" spans="1:21" s="548" customFormat="1" ht="30.75" customHeight="1" thickTop="1">
      <c r="A7" s="538"/>
      <c r="B7" s="538"/>
      <c r="C7" s="539"/>
      <c r="D7" s="2769" t="s">
        <v>1174</v>
      </c>
      <c r="E7" s="2769" t="s">
        <v>1175</v>
      </c>
      <c r="F7" s="540" t="s">
        <v>1176</v>
      </c>
      <c r="G7" s="540"/>
      <c r="H7" s="540"/>
      <c r="I7" s="541"/>
      <c r="J7" s="2774" t="s">
        <v>1177</v>
      </c>
      <c r="K7" s="542" t="s">
        <v>1176</v>
      </c>
      <c r="L7" s="542"/>
      <c r="M7" s="542"/>
      <c r="N7" s="543"/>
      <c r="O7" s="544"/>
      <c r="P7" s="545"/>
      <c r="Q7" s="546"/>
      <c r="R7" s="547"/>
      <c r="S7"/>
      <c r="T7"/>
      <c r="U7"/>
    </row>
    <row r="8" spans="1:18" ht="22.5" customHeight="1">
      <c r="A8" s="549" t="s">
        <v>11</v>
      </c>
      <c r="B8" s="549" t="s">
        <v>12</v>
      </c>
      <c r="C8" s="235" t="s">
        <v>1178</v>
      </c>
      <c r="D8" s="2770"/>
      <c r="E8" s="2772"/>
      <c r="F8" s="550" t="s">
        <v>1179</v>
      </c>
      <c r="G8" s="551" t="s">
        <v>1180</v>
      </c>
      <c r="H8" s="551" t="s">
        <v>1181</v>
      </c>
      <c r="I8" s="552" t="s">
        <v>1182</v>
      </c>
      <c r="J8" s="2775"/>
      <c r="K8" s="553" t="s">
        <v>1179</v>
      </c>
      <c r="L8" s="554" t="s">
        <v>1180</v>
      </c>
      <c r="M8" s="554" t="s">
        <v>1181</v>
      </c>
      <c r="N8" s="555" t="s">
        <v>1182</v>
      </c>
      <c r="O8" s="556" t="s">
        <v>128</v>
      </c>
      <c r="P8" s="557" t="s">
        <v>1181</v>
      </c>
      <c r="Q8" s="558" t="s">
        <v>128</v>
      </c>
      <c r="R8" s="559"/>
    </row>
    <row r="9" spans="1:18" ht="24" customHeight="1">
      <c r="A9" s="560"/>
      <c r="B9" s="560"/>
      <c r="C9" s="561" t="s">
        <v>1183</v>
      </c>
      <c r="D9" s="2770"/>
      <c r="E9" s="2772"/>
      <c r="F9" s="562" t="s">
        <v>1184</v>
      </c>
      <c r="G9" s="563" t="s">
        <v>1185</v>
      </c>
      <c r="H9" s="563" t="s">
        <v>1186</v>
      </c>
      <c r="I9" s="564" t="s">
        <v>1187</v>
      </c>
      <c r="J9" s="2775"/>
      <c r="K9" s="565" t="s">
        <v>1184</v>
      </c>
      <c r="L9" s="566" t="s">
        <v>1185</v>
      </c>
      <c r="M9" s="566" t="s">
        <v>1186</v>
      </c>
      <c r="N9" s="567" t="s">
        <v>1187</v>
      </c>
      <c r="O9" s="568" t="s">
        <v>1188</v>
      </c>
      <c r="P9" s="568" t="s">
        <v>1186</v>
      </c>
      <c r="Q9" s="569" t="s">
        <v>1189</v>
      </c>
      <c r="R9" s="570"/>
    </row>
    <row r="10" spans="1:18" ht="20.25" customHeight="1" thickBot="1">
      <c r="A10" s="571"/>
      <c r="B10" s="571"/>
      <c r="C10" s="572"/>
      <c r="D10" s="2771"/>
      <c r="E10" s="2773"/>
      <c r="F10" s="573" t="s">
        <v>1190</v>
      </c>
      <c r="G10" s="574"/>
      <c r="H10" s="574" t="s">
        <v>1184</v>
      </c>
      <c r="I10" s="575" t="s">
        <v>1191</v>
      </c>
      <c r="J10" s="2776"/>
      <c r="K10" s="576" t="s">
        <v>1190</v>
      </c>
      <c r="L10" s="577"/>
      <c r="M10" s="577" t="s">
        <v>1184</v>
      </c>
      <c r="N10" s="578" t="s">
        <v>1191</v>
      </c>
      <c r="O10" s="579"/>
      <c r="P10" s="579" t="s">
        <v>1184</v>
      </c>
      <c r="Q10" s="580"/>
      <c r="R10" s="581"/>
    </row>
    <row r="11" spans="1:21" s="585" customFormat="1" ht="20.25" customHeight="1" thickBot="1" thickTop="1">
      <c r="A11" s="582">
        <v>1</v>
      </c>
      <c r="B11" s="582">
        <v>2</v>
      </c>
      <c r="C11" s="582">
        <v>3</v>
      </c>
      <c r="D11" s="582">
        <v>4</v>
      </c>
      <c r="E11" s="582">
        <v>5</v>
      </c>
      <c r="F11" s="582">
        <v>6</v>
      </c>
      <c r="G11" s="582">
        <v>7</v>
      </c>
      <c r="H11" s="582">
        <v>11</v>
      </c>
      <c r="I11" s="582">
        <v>8</v>
      </c>
      <c r="J11" s="583">
        <v>9</v>
      </c>
      <c r="K11" s="583">
        <v>10</v>
      </c>
      <c r="L11" s="583">
        <v>11</v>
      </c>
      <c r="M11" s="583">
        <v>11</v>
      </c>
      <c r="N11" s="583">
        <v>12</v>
      </c>
      <c r="O11" s="582">
        <v>13</v>
      </c>
      <c r="P11" s="582">
        <v>11</v>
      </c>
      <c r="Q11" s="582">
        <v>14</v>
      </c>
      <c r="R11" s="584"/>
      <c r="S11"/>
      <c r="T11"/>
      <c r="U11"/>
    </row>
    <row r="12" spans="1:21" s="585" customFormat="1" ht="9" customHeight="1" thickTop="1">
      <c r="A12" s="586"/>
      <c r="B12" s="586"/>
      <c r="C12" s="586"/>
      <c r="D12" s="587"/>
      <c r="E12" s="587"/>
      <c r="F12" s="588"/>
      <c r="G12" s="586"/>
      <c r="H12" s="586"/>
      <c r="I12" s="586"/>
      <c r="J12" s="589"/>
      <c r="K12" s="590"/>
      <c r="L12" s="591"/>
      <c r="M12" s="591"/>
      <c r="N12" s="591"/>
      <c r="O12" s="586"/>
      <c r="P12" s="586"/>
      <c r="Q12" s="586"/>
      <c r="R12" s="584"/>
      <c r="S12"/>
      <c r="T12"/>
      <c r="U12"/>
    </row>
    <row r="13" spans="1:21" s="601" customFormat="1" ht="20.25" customHeight="1" thickBot="1">
      <c r="A13" s="592"/>
      <c r="B13" s="592"/>
      <c r="C13" s="593" t="s">
        <v>1192</v>
      </c>
      <c r="D13" s="594">
        <v>164475780</v>
      </c>
      <c r="E13" s="594">
        <f>F13+H13+I13+G13</f>
        <v>217566780</v>
      </c>
      <c r="F13" s="595">
        <f>F15+F298+F287</f>
        <v>140554011</v>
      </c>
      <c r="G13" s="595">
        <f>G15+G298+G287</f>
        <v>53752649</v>
      </c>
      <c r="H13" s="595">
        <f>H15+H298+H287</f>
        <v>0</v>
      </c>
      <c r="I13" s="595">
        <f>I15+I298+I287</f>
        <v>23260120</v>
      </c>
      <c r="J13" s="596">
        <f>K13+M13+N13+L13</f>
        <v>202843119.23000002</v>
      </c>
      <c r="K13" s="597">
        <f>K15+K298+K287</f>
        <v>131319603.92999999</v>
      </c>
      <c r="L13" s="598">
        <f>L15+L298+L287</f>
        <v>51731182.61000001</v>
      </c>
      <c r="M13" s="598">
        <f>M15+M298</f>
        <v>0</v>
      </c>
      <c r="N13" s="598">
        <f>N15+N298+N287</f>
        <v>19792332.69</v>
      </c>
      <c r="O13" s="599">
        <f>J13/E13</f>
        <v>0.9323257862712314</v>
      </c>
      <c r="P13" s="599"/>
      <c r="Q13" s="599">
        <f>K13/F13</f>
        <v>0.9342999391885016</v>
      </c>
      <c r="R13" s="600"/>
      <c r="S13" t="b">
        <f aca="true" t="shared" si="0" ref="S13:S76">J13=K13+L13+N13</f>
        <v>1</v>
      </c>
      <c r="T13"/>
      <c r="U13"/>
    </row>
    <row r="14" spans="1:21" s="611" customFormat="1" ht="18.75" customHeight="1">
      <c r="A14" s="602"/>
      <c r="B14" s="602"/>
      <c r="C14" s="603" t="s">
        <v>132</v>
      </c>
      <c r="D14" s="604"/>
      <c r="E14" s="604"/>
      <c r="F14" s="605"/>
      <c r="G14" s="603"/>
      <c r="H14" s="603"/>
      <c r="I14" s="603"/>
      <c r="J14" s="606"/>
      <c r="K14" s="607"/>
      <c r="L14" s="608"/>
      <c r="M14" s="608"/>
      <c r="N14" s="608"/>
      <c r="O14" s="609"/>
      <c r="P14" s="609"/>
      <c r="Q14" s="609"/>
      <c r="R14" s="610"/>
      <c r="S14" t="b">
        <f t="shared" si="0"/>
        <v>1</v>
      </c>
      <c r="T14"/>
      <c r="U14"/>
    </row>
    <row r="15" spans="1:21" s="620" customFormat="1" ht="24.75" customHeight="1" thickBot="1">
      <c r="A15" s="612"/>
      <c r="B15" s="612"/>
      <c r="C15" s="613" t="s">
        <v>133</v>
      </c>
      <c r="D15" s="614">
        <v>164391780</v>
      </c>
      <c r="E15" s="614">
        <f>F15+H15+I15+G15</f>
        <v>215830850</v>
      </c>
      <c r="F15" s="615">
        <f>F16+F75+F85+F98+F118+F148+F157+F210+F254+F270+F181+F191+F72+F82+F115</f>
        <v>139973701</v>
      </c>
      <c r="G15" s="615">
        <f>G16+G75+G85+G98+G118+G148+G157+G210+G254+G270+G181+G191+G72+G82+G115</f>
        <v>53748144</v>
      </c>
      <c r="H15" s="615">
        <f>H16+H75+H85+H98+H118+H148+H157+H210+H254+H270+H181+H191+H72+H82+H115</f>
        <v>0</v>
      </c>
      <c r="I15" s="615">
        <f>I16+I75+I85+I98+I118+I148+I157+I210+I254+I270+I181+I191+I72+I82+I115</f>
        <v>22109005</v>
      </c>
      <c r="J15" s="616">
        <f>K15+M15+N15+L15</f>
        <v>201156762.04</v>
      </c>
      <c r="K15" s="617">
        <f>K16+K75+K82+K85+K98+K118+K148+K157+K210+K254+K270+K115+K181+K65+K191+K72</f>
        <v>130780166.74999999</v>
      </c>
      <c r="L15" s="617">
        <f>L16+L75+L85+L98+L118+L148+L157+L210+L254+L270+L181+L72</f>
        <v>51726677.71000001</v>
      </c>
      <c r="M15" s="617">
        <f>M16+M75+M85+M98+M118+M148+M157+M210+M254+M270+M181</f>
        <v>0</v>
      </c>
      <c r="N15" s="617">
        <f>N16+N75+N85+N98+N118+N148+N157+N210+N254+N270+N181+N191+N72</f>
        <v>18649917.58</v>
      </c>
      <c r="O15" s="618">
        <f aca="true" t="shared" si="1" ref="O15:O39">J15/E15</f>
        <v>0.9320111654103201</v>
      </c>
      <c r="P15" s="618"/>
      <c r="Q15" s="618">
        <f aca="true" t="shared" si="2" ref="Q15:Q39">K15/F15</f>
        <v>0.9343195601436586</v>
      </c>
      <c r="R15" s="619"/>
      <c r="S15" t="b">
        <f t="shared" si="0"/>
        <v>1</v>
      </c>
      <c r="T15"/>
      <c r="U15"/>
    </row>
    <row r="16" spans="1:21" s="630" customFormat="1" ht="22.5" customHeight="1" thickBot="1" thickTop="1">
      <c r="A16" s="621">
        <v>600</v>
      </c>
      <c r="B16" s="621"/>
      <c r="C16" s="622" t="s">
        <v>147</v>
      </c>
      <c r="D16" s="623">
        <v>69628000</v>
      </c>
      <c r="E16" s="623">
        <f>F16+H16+I16+G16</f>
        <v>106894701</v>
      </c>
      <c r="F16" s="624">
        <f>F17+F22+F50+F61+F68</f>
        <v>48829412</v>
      </c>
      <c r="G16" s="624">
        <f>G17+G22+G50+G61+G68</f>
        <v>41020789</v>
      </c>
      <c r="H16" s="624">
        <f>H17+H22+H50+H61</f>
        <v>0</v>
      </c>
      <c r="I16" s="624">
        <f>I17+I22+I50+I61+I68</f>
        <v>17044500</v>
      </c>
      <c r="J16" s="625">
        <f>K16+M16+N16+L16</f>
        <v>101572596.69</v>
      </c>
      <c r="K16" s="626">
        <f>K17+K22+K50+K61+K68</f>
        <v>47134565.209999986</v>
      </c>
      <c r="L16" s="626">
        <f>L17+L22+L50+L61+L68</f>
        <v>40080267.480000004</v>
      </c>
      <c r="M16" s="626">
        <f>M17+M22+M50+M61</f>
        <v>0</v>
      </c>
      <c r="N16" s="626">
        <f>N22+N68</f>
        <v>14357764</v>
      </c>
      <c r="O16" s="627">
        <f t="shared" si="1"/>
        <v>0.9502117105879738</v>
      </c>
      <c r="P16" s="627"/>
      <c r="Q16" s="627">
        <f t="shared" si="2"/>
        <v>0.9652904526067196</v>
      </c>
      <c r="R16" s="628"/>
      <c r="S16" s="629" t="b">
        <f t="shared" si="0"/>
        <v>1</v>
      </c>
      <c r="T16" s="629"/>
      <c r="U16" s="629"/>
    </row>
    <row r="17" spans="1:21" s="620" customFormat="1" ht="21.75" customHeight="1">
      <c r="A17" s="631"/>
      <c r="B17" s="632">
        <v>60004</v>
      </c>
      <c r="C17" s="633" t="s">
        <v>148</v>
      </c>
      <c r="D17" s="634">
        <v>4300000</v>
      </c>
      <c r="E17" s="634">
        <f>F17+H17+I17+G17</f>
        <v>6684160</v>
      </c>
      <c r="F17" s="635">
        <f>F18+F20+F19+F21</f>
        <v>5787115</v>
      </c>
      <c r="G17" s="635">
        <f>G21</f>
        <v>897045</v>
      </c>
      <c r="H17" s="635"/>
      <c r="I17" s="635"/>
      <c r="J17" s="636">
        <f>K17+M17+N17+L17</f>
        <v>6176649.14</v>
      </c>
      <c r="K17" s="637">
        <f>K19+K21</f>
        <v>5279761.55</v>
      </c>
      <c r="L17" s="637">
        <f>L21</f>
        <v>896887.59</v>
      </c>
      <c r="M17" s="637"/>
      <c r="N17" s="637"/>
      <c r="O17" s="638">
        <f t="shared" si="1"/>
        <v>0.9240726044858292</v>
      </c>
      <c r="P17" s="638"/>
      <c r="Q17" s="638">
        <f t="shared" si="2"/>
        <v>0.9123305049234376</v>
      </c>
      <c r="R17" s="619"/>
      <c r="S17" t="b">
        <f t="shared" si="0"/>
        <v>1</v>
      </c>
      <c r="T17"/>
      <c r="U17"/>
    </row>
    <row r="18" spans="1:21" s="648" customFormat="1" ht="40.5" customHeight="1" hidden="1">
      <c r="A18" s="602"/>
      <c r="B18" s="639"/>
      <c r="C18" s="640" t="s">
        <v>1193</v>
      </c>
      <c r="D18" s="641">
        <v>0</v>
      </c>
      <c r="E18" s="641">
        <f>+F18+H18+I18</f>
        <v>0</v>
      </c>
      <c r="F18" s="642"/>
      <c r="G18" s="643"/>
      <c r="H18" s="643"/>
      <c r="I18" s="643"/>
      <c r="J18" s="644">
        <f>+K18+M18+N18</f>
        <v>0</v>
      </c>
      <c r="K18" s="645"/>
      <c r="L18" s="646"/>
      <c r="M18" s="646"/>
      <c r="N18" s="646"/>
      <c r="O18" s="647" t="e">
        <f t="shared" si="1"/>
        <v>#DIV/0!</v>
      </c>
      <c r="P18" s="647"/>
      <c r="Q18" s="647" t="e">
        <f t="shared" si="2"/>
        <v>#DIV/0!</v>
      </c>
      <c r="R18" s="610"/>
      <c r="S18" t="b">
        <f t="shared" si="0"/>
        <v>1</v>
      </c>
      <c r="T18"/>
      <c r="U18"/>
    </row>
    <row r="19" spans="1:21" s="648" customFormat="1" ht="23.25" customHeight="1">
      <c r="A19" s="602"/>
      <c r="B19" s="602"/>
      <c r="C19" s="649" t="s">
        <v>1193</v>
      </c>
      <c r="D19" s="650">
        <v>4300000</v>
      </c>
      <c r="E19" s="650">
        <f>+F19+H19+I19</f>
        <v>5488100</v>
      </c>
      <c r="F19" s="651">
        <v>5488100</v>
      </c>
      <c r="G19" s="652"/>
      <c r="H19" s="652"/>
      <c r="I19" s="652"/>
      <c r="J19" s="653">
        <f>+K19+M19+N19</f>
        <v>4980799.02</v>
      </c>
      <c r="K19" s="654">
        <v>4980799.02</v>
      </c>
      <c r="L19" s="655"/>
      <c r="M19" s="655"/>
      <c r="N19" s="655"/>
      <c r="O19" s="656">
        <f t="shared" si="1"/>
        <v>0.9075634591206427</v>
      </c>
      <c r="P19" s="656"/>
      <c r="Q19" s="656">
        <f t="shared" si="2"/>
        <v>0.9075634591206427</v>
      </c>
      <c r="R19" s="657"/>
      <c r="S19" t="b">
        <f t="shared" si="0"/>
        <v>1</v>
      </c>
      <c r="T19"/>
      <c r="U19"/>
    </row>
    <row r="20" spans="1:21" s="648" customFormat="1" ht="32.25" customHeight="1" hidden="1">
      <c r="A20" s="602"/>
      <c r="B20" s="602"/>
      <c r="C20" s="658" t="s">
        <v>1194</v>
      </c>
      <c r="D20" s="604"/>
      <c r="E20" s="650">
        <f>+F20+H20+I20</f>
        <v>0</v>
      </c>
      <c r="F20" s="605"/>
      <c r="G20" s="603"/>
      <c r="H20" s="603"/>
      <c r="I20" s="603"/>
      <c r="J20" s="653">
        <f>+K20+M20+N20</f>
        <v>0</v>
      </c>
      <c r="K20" s="659"/>
      <c r="L20" s="660"/>
      <c r="M20" s="660"/>
      <c r="N20" s="660"/>
      <c r="O20" s="656" t="e">
        <f t="shared" si="1"/>
        <v>#DIV/0!</v>
      </c>
      <c r="P20" s="609"/>
      <c r="Q20" s="656" t="e">
        <f t="shared" si="2"/>
        <v>#DIV/0!</v>
      </c>
      <c r="R20" s="657"/>
      <c r="S20" t="b">
        <f t="shared" si="0"/>
        <v>1</v>
      </c>
      <c r="T20"/>
      <c r="U20"/>
    </row>
    <row r="21" spans="1:21" s="648" customFormat="1" ht="42.75">
      <c r="A21" s="602"/>
      <c r="B21" s="602"/>
      <c r="C21" s="658" t="s">
        <v>1195</v>
      </c>
      <c r="D21" s="604"/>
      <c r="E21" s="650">
        <f>+F21+H21+I21+G21</f>
        <v>1196060</v>
      </c>
      <c r="F21" s="605">
        <v>299015</v>
      </c>
      <c r="G21" s="603">
        <v>897045</v>
      </c>
      <c r="H21" s="603"/>
      <c r="I21" s="603"/>
      <c r="J21" s="653">
        <f>+K21+M21+N21+L21</f>
        <v>1195850.12</v>
      </c>
      <c r="K21" s="659">
        <v>298962.53</v>
      </c>
      <c r="L21" s="660">
        <v>896887.59</v>
      </c>
      <c r="M21" s="660"/>
      <c r="N21" s="660"/>
      <c r="O21" s="656">
        <f t="shared" si="1"/>
        <v>0.9998245238533184</v>
      </c>
      <c r="P21" s="609"/>
      <c r="Q21" s="656">
        <f t="shared" si="2"/>
        <v>0.9998245238533184</v>
      </c>
      <c r="R21" s="657"/>
      <c r="S21" t="b">
        <f t="shared" si="0"/>
        <v>1</v>
      </c>
      <c r="T21"/>
      <c r="U21"/>
    </row>
    <row r="22" spans="1:21" s="620" customFormat="1" ht="30.75" customHeight="1">
      <c r="A22" s="631"/>
      <c r="B22" s="661">
        <v>60015</v>
      </c>
      <c r="C22" s="662" t="s">
        <v>153</v>
      </c>
      <c r="D22" s="663">
        <v>62172000</v>
      </c>
      <c r="E22" s="663">
        <f>F22+H22+I22+G22</f>
        <v>79605541</v>
      </c>
      <c r="F22" s="664">
        <f>SUM(F23:F49)</f>
        <v>36437297</v>
      </c>
      <c r="G22" s="664">
        <f>SUM(G23:G47)</f>
        <v>40123744</v>
      </c>
      <c r="H22" s="664">
        <f>SUM(H23:H47)</f>
        <v>0</v>
      </c>
      <c r="I22" s="664">
        <f>SUM(I23:I49)</f>
        <v>3044500</v>
      </c>
      <c r="J22" s="665">
        <f>K22+M22+N22+L22</f>
        <v>76117748.78</v>
      </c>
      <c r="K22" s="666">
        <f>SUM(K23:K47)</f>
        <v>35434368.88999999</v>
      </c>
      <c r="L22" s="666">
        <f>SUM(L23:L47)</f>
        <v>39183379.89</v>
      </c>
      <c r="M22" s="666">
        <f>SUM(M23:M47)</f>
        <v>0</v>
      </c>
      <c r="N22" s="666">
        <f>N27</f>
        <v>1500000</v>
      </c>
      <c r="O22" s="667">
        <f t="shared" si="1"/>
        <v>0.9561865647015703</v>
      </c>
      <c r="P22" s="667"/>
      <c r="Q22" s="667">
        <f t="shared" si="2"/>
        <v>0.9724752330009548</v>
      </c>
      <c r="R22" s="619"/>
      <c r="S22" t="b">
        <f t="shared" si="0"/>
        <v>1</v>
      </c>
      <c r="T22"/>
      <c r="U22"/>
    </row>
    <row r="23" spans="1:21" s="648" customFormat="1" ht="19.5" customHeight="1">
      <c r="A23" s="602"/>
      <c r="B23" s="639"/>
      <c r="C23" s="640" t="s">
        <v>1196</v>
      </c>
      <c r="D23" s="668">
        <v>4995000</v>
      </c>
      <c r="E23" s="668">
        <f>+F23+H23+I23+G23</f>
        <v>5642348</v>
      </c>
      <c r="F23" s="669">
        <v>2650000</v>
      </c>
      <c r="G23" s="643">
        <v>2992348</v>
      </c>
      <c r="H23" s="643"/>
      <c r="I23" s="643"/>
      <c r="J23" s="670">
        <f>+K23+M23+N23+L23</f>
        <v>5605095.62</v>
      </c>
      <c r="K23" s="671">
        <f>763817.46+996592.25+50000+804909.14</f>
        <v>2615318.85</v>
      </c>
      <c r="L23" s="672">
        <v>2989776.77</v>
      </c>
      <c r="M23" s="672"/>
      <c r="N23" s="672"/>
      <c r="O23" s="673">
        <f t="shared" si="1"/>
        <v>0.9933977166952481</v>
      </c>
      <c r="P23" s="673"/>
      <c r="Q23" s="673">
        <f t="shared" si="2"/>
        <v>0.9869127735849057</v>
      </c>
      <c r="R23" s="674"/>
      <c r="S23" t="b">
        <f t="shared" si="0"/>
        <v>1</v>
      </c>
      <c r="T23"/>
      <c r="U23"/>
    </row>
    <row r="24" spans="1:21" s="648" customFormat="1" ht="19.5" customHeight="1">
      <c r="A24" s="602"/>
      <c r="B24" s="602"/>
      <c r="C24" s="675" t="s">
        <v>1197</v>
      </c>
      <c r="D24" s="668">
        <v>600000</v>
      </c>
      <c r="E24" s="668">
        <f>+F24+H24+I24</f>
        <v>749000</v>
      </c>
      <c r="F24" s="675">
        <v>749000</v>
      </c>
      <c r="G24" s="675"/>
      <c r="H24" s="675"/>
      <c r="I24" s="675"/>
      <c r="J24" s="670">
        <f>+K24+M24+N24</f>
        <v>727129.89</v>
      </c>
      <c r="K24" s="676">
        <v>727129.89</v>
      </c>
      <c r="L24" s="676"/>
      <c r="M24" s="676"/>
      <c r="N24" s="676"/>
      <c r="O24" s="677">
        <f t="shared" si="1"/>
        <v>0.9708009212283044</v>
      </c>
      <c r="P24" s="677"/>
      <c r="Q24" s="677">
        <f t="shared" si="2"/>
        <v>0.9708009212283044</v>
      </c>
      <c r="R24" s="674"/>
      <c r="S24" t="b">
        <f t="shared" si="0"/>
        <v>1</v>
      </c>
      <c r="T24"/>
      <c r="U24"/>
    </row>
    <row r="25" spans="1:21" s="648" customFormat="1" ht="19.5" customHeight="1">
      <c r="A25" s="602"/>
      <c r="B25" s="602"/>
      <c r="C25" s="675" t="s">
        <v>1198</v>
      </c>
      <c r="D25" s="678">
        <v>5000000</v>
      </c>
      <c r="E25" s="678">
        <f>F25+H25+I25</f>
        <v>4798000</v>
      </c>
      <c r="F25" s="675">
        <v>4798000</v>
      </c>
      <c r="G25" s="675"/>
      <c r="H25" s="675"/>
      <c r="I25" s="675"/>
      <c r="J25" s="679">
        <f>K25+M25+N25</f>
        <v>4796907.23</v>
      </c>
      <c r="K25" s="676">
        <v>4796907.23</v>
      </c>
      <c r="L25" s="676"/>
      <c r="M25" s="676"/>
      <c r="N25" s="676"/>
      <c r="O25" s="677">
        <f t="shared" si="1"/>
        <v>0.9997722446852856</v>
      </c>
      <c r="P25" s="677"/>
      <c r="Q25" s="677">
        <f t="shared" si="2"/>
        <v>0.9997722446852856</v>
      </c>
      <c r="R25" s="674"/>
      <c r="S25" t="b">
        <f t="shared" si="0"/>
        <v>1</v>
      </c>
      <c r="T25"/>
      <c r="U25"/>
    </row>
    <row r="26" spans="1:21" s="648" customFormat="1" ht="19.5" customHeight="1">
      <c r="A26" s="602"/>
      <c r="B26" s="602"/>
      <c r="C26" s="675" t="s">
        <v>1199</v>
      </c>
      <c r="D26" s="678">
        <v>250000</v>
      </c>
      <c r="E26" s="678">
        <f>F26+H26+I26</f>
        <v>228000</v>
      </c>
      <c r="F26" s="675">
        <v>228000</v>
      </c>
      <c r="G26" s="675"/>
      <c r="H26" s="675"/>
      <c r="I26" s="675"/>
      <c r="J26" s="679">
        <f>K26+M26+N26</f>
        <v>227544.64</v>
      </c>
      <c r="K26" s="676">
        <v>227544.64</v>
      </c>
      <c r="L26" s="676"/>
      <c r="M26" s="676"/>
      <c r="N26" s="676"/>
      <c r="O26" s="677">
        <f t="shared" si="1"/>
        <v>0.998002807017544</v>
      </c>
      <c r="P26" s="677"/>
      <c r="Q26" s="677">
        <f t="shared" si="2"/>
        <v>0.998002807017544</v>
      </c>
      <c r="R26" s="674"/>
      <c r="S26" t="b">
        <f t="shared" si="0"/>
        <v>1</v>
      </c>
      <c r="T26"/>
      <c r="U26"/>
    </row>
    <row r="27" spans="1:21" s="648" customFormat="1" ht="30.75" customHeight="1">
      <c r="A27" s="602"/>
      <c r="B27" s="602"/>
      <c r="C27" s="680" t="s">
        <v>1200</v>
      </c>
      <c r="D27" s="678">
        <v>2100000</v>
      </c>
      <c r="E27" s="678">
        <f>F27+H27+I27</f>
        <v>5660000</v>
      </c>
      <c r="F27" s="675">
        <v>4160000</v>
      </c>
      <c r="G27" s="675"/>
      <c r="H27" s="675"/>
      <c r="I27" s="675">
        <v>1500000</v>
      </c>
      <c r="J27" s="679">
        <f>K27+M27+N27</f>
        <v>5659999.970000001</v>
      </c>
      <c r="K27" s="676">
        <v>4159999.97</v>
      </c>
      <c r="L27" s="676"/>
      <c r="M27" s="676"/>
      <c r="N27" s="676">
        <v>1500000</v>
      </c>
      <c r="O27" s="677">
        <f t="shared" si="1"/>
        <v>0.9999999946996467</v>
      </c>
      <c r="P27" s="677"/>
      <c r="Q27" s="677">
        <f t="shared" si="2"/>
        <v>0.9999999927884616</v>
      </c>
      <c r="R27" s="674"/>
      <c r="S27" t="b">
        <f t="shared" si="0"/>
        <v>1</v>
      </c>
      <c r="T27"/>
      <c r="U27"/>
    </row>
    <row r="28" spans="1:21" s="648" customFormat="1" ht="33" customHeight="1">
      <c r="A28" s="602"/>
      <c r="B28" s="602"/>
      <c r="C28" s="680" t="s">
        <v>1201</v>
      </c>
      <c r="D28" s="678">
        <v>3500000</v>
      </c>
      <c r="E28" s="678">
        <f>F28+H28+I28+G28</f>
        <v>13365000</v>
      </c>
      <c r="F28" s="675">
        <v>5070000</v>
      </c>
      <c r="G28" s="675">
        <v>8295000</v>
      </c>
      <c r="H28" s="675"/>
      <c r="I28" s="675"/>
      <c r="J28" s="679">
        <f>K28+M28+N28+L28</f>
        <v>12960278.98</v>
      </c>
      <c r="K28" s="676">
        <v>5054445.71</v>
      </c>
      <c r="L28" s="676">
        <v>7905833.27</v>
      </c>
      <c r="M28" s="676"/>
      <c r="N28" s="676"/>
      <c r="O28" s="677">
        <f t="shared" si="1"/>
        <v>0.9697178436213992</v>
      </c>
      <c r="P28" s="677"/>
      <c r="Q28" s="677">
        <f t="shared" si="2"/>
        <v>0.9969320927021696</v>
      </c>
      <c r="R28" s="674"/>
      <c r="S28" t="b">
        <f t="shared" si="0"/>
        <v>1</v>
      </c>
      <c r="T28"/>
      <c r="U28"/>
    </row>
    <row r="29" spans="1:21" s="648" customFormat="1" ht="30" customHeight="1">
      <c r="A29" s="602"/>
      <c r="B29" s="602"/>
      <c r="C29" s="680" t="s">
        <v>1202</v>
      </c>
      <c r="D29" s="678">
        <v>2000000</v>
      </c>
      <c r="E29" s="678">
        <f>F29+H29+I29</f>
        <v>140000</v>
      </c>
      <c r="F29" s="675">
        <v>140000</v>
      </c>
      <c r="G29" s="675"/>
      <c r="H29" s="675"/>
      <c r="I29" s="675"/>
      <c r="J29" s="679">
        <f>K29+M29+N29</f>
        <v>136121.19</v>
      </c>
      <c r="K29" s="676">
        <v>136121.19</v>
      </c>
      <c r="L29" s="676"/>
      <c r="M29" s="676"/>
      <c r="N29" s="676"/>
      <c r="O29" s="677">
        <f t="shared" si="1"/>
        <v>0.9722942142857143</v>
      </c>
      <c r="P29" s="677"/>
      <c r="Q29" s="677">
        <f t="shared" si="2"/>
        <v>0.9722942142857143</v>
      </c>
      <c r="R29" s="674"/>
      <c r="S29" t="b">
        <f t="shared" si="0"/>
        <v>1</v>
      </c>
      <c r="T29"/>
      <c r="U29"/>
    </row>
    <row r="30" spans="1:21" s="648" customFormat="1" ht="30" customHeight="1">
      <c r="A30" s="602"/>
      <c r="B30" s="602"/>
      <c r="C30" s="681" t="s">
        <v>1203</v>
      </c>
      <c r="D30" s="678">
        <v>800000</v>
      </c>
      <c r="E30" s="678">
        <f>F30+H30+I30</f>
        <v>3482600</v>
      </c>
      <c r="F30" s="675">
        <v>3482600</v>
      </c>
      <c r="G30" s="675"/>
      <c r="H30" s="675"/>
      <c r="I30" s="675"/>
      <c r="J30" s="679">
        <f>K30+M30+N30</f>
        <v>3482421.31</v>
      </c>
      <c r="K30" s="676">
        <v>3482421.31</v>
      </c>
      <c r="L30" s="676"/>
      <c r="M30" s="676"/>
      <c r="N30" s="676"/>
      <c r="O30" s="677">
        <f t="shared" si="1"/>
        <v>0.9999486906334348</v>
      </c>
      <c r="P30" s="677"/>
      <c r="Q30" s="677">
        <f t="shared" si="2"/>
        <v>0.9999486906334348</v>
      </c>
      <c r="R30" s="674"/>
      <c r="S30" t="b">
        <f t="shared" si="0"/>
        <v>1</v>
      </c>
      <c r="T30"/>
      <c r="U30"/>
    </row>
    <row r="31" spans="1:21" s="648" customFormat="1" ht="30" customHeight="1">
      <c r="A31" s="602"/>
      <c r="B31" s="602"/>
      <c r="C31" s="680" t="s">
        <v>1204</v>
      </c>
      <c r="D31" s="678">
        <v>700000</v>
      </c>
      <c r="E31" s="678">
        <f>F31+H31+I31</f>
        <v>300</v>
      </c>
      <c r="F31" s="675">
        <v>300</v>
      </c>
      <c r="G31" s="675"/>
      <c r="H31" s="675"/>
      <c r="I31" s="675"/>
      <c r="J31" s="679">
        <f>K31+M31+N31</f>
        <v>210.04</v>
      </c>
      <c r="K31" s="676">
        <v>210.04</v>
      </c>
      <c r="L31" s="676"/>
      <c r="M31" s="676"/>
      <c r="N31" s="676"/>
      <c r="O31" s="677">
        <f t="shared" si="1"/>
        <v>0.7001333333333333</v>
      </c>
      <c r="P31" s="677"/>
      <c r="Q31" s="677">
        <f t="shared" si="2"/>
        <v>0.7001333333333333</v>
      </c>
      <c r="R31" s="674"/>
      <c r="S31" t="b">
        <f t="shared" si="0"/>
        <v>1</v>
      </c>
      <c r="T31"/>
      <c r="U31"/>
    </row>
    <row r="32" spans="1:21" s="648" customFormat="1" ht="30.75" customHeight="1">
      <c r="A32" s="602"/>
      <c r="B32" s="602"/>
      <c r="C32" s="681" t="s">
        <v>1205</v>
      </c>
      <c r="D32" s="678">
        <v>700000</v>
      </c>
      <c r="E32" s="678">
        <f>F32+H32+I32</f>
        <v>1324000</v>
      </c>
      <c r="F32" s="675">
        <v>1324000</v>
      </c>
      <c r="G32" s="675"/>
      <c r="H32" s="675"/>
      <c r="I32" s="675"/>
      <c r="J32" s="679">
        <f>K32+M32+N32</f>
        <v>1320946.56</v>
      </c>
      <c r="K32" s="676">
        <v>1320946.56</v>
      </c>
      <c r="L32" s="676"/>
      <c r="M32" s="676"/>
      <c r="N32" s="676"/>
      <c r="O32" s="677">
        <f t="shared" si="1"/>
        <v>0.9976937764350453</v>
      </c>
      <c r="P32" s="677"/>
      <c r="Q32" s="677">
        <f t="shared" si="2"/>
        <v>0.9976937764350453</v>
      </c>
      <c r="R32" s="674"/>
      <c r="S32" t="b">
        <f t="shared" si="0"/>
        <v>1</v>
      </c>
      <c r="T32"/>
      <c r="U32"/>
    </row>
    <row r="33" spans="1:21" s="648" customFormat="1" ht="33" customHeight="1">
      <c r="A33" s="602"/>
      <c r="B33" s="602"/>
      <c r="C33" s="680" t="s">
        <v>1206</v>
      </c>
      <c r="D33" s="682">
        <v>7173000</v>
      </c>
      <c r="E33" s="682">
        <f aca="true" t="shared" si="3" ref="E33:E43">F33+H33+I33+G33</f>
        <v>7173098</v>
      </c>
      <c r="F33" s="675">
        <v>1891000</v>
      </c>
      <c r="G33" s="675">
        <v>5282098</v>
      </c>
      <c r="H33" s="675"/>
      <c r="I33" s="675"/>
      <c r="J33" s="683">
        <f aca="true" t="shared" si="4" ref="J33:J39">K33+M33+N33+L33</f>
        <v>7109209.99</v>
      </c>
      <c r="K33" s="684">
        <f>107667.38+1750385.66</f>
        <v>1858053.04</v>
      </c>
      <c r="L33" s="684">
        <v>5251156.95</v>
      </c>
      <c r="M33" s="684"/>
      <c r="N33" s="684"/>
      <c r="O33" s="685">
        <f t="shared" si="1"/>
        <v>0.9910933867068316</v>
      </c>
      <c r="P33" s="685"/>
      <c r="Q33" s="685">
        <f t="shared" si="2"/>
        <v>0.9825769645690111</v>
      </c>
      <c r="R33" s="610"/>
      <c r="S33" t="b">
        <f t="shared" si="0"/>
        <v>1</v>
      </c>
      <c r="T33"/>
      <c r="U33"/>
    </row>
    <row r="34" spans="1:21" s="648" customFormat="1" ht="30.75" customHeight="1">
      <c r="A34" s="602"/>
      <c r="B34" s="602"/>
      <c r="C34" s="686" t="s">
        <v>1207</v>
      </c>
      <c r="D34" s="687">
        <v>19599000</v>
      </c>
      <c r="E34" s="687">
        <f t="shared" si="3"/>
        <v>19578330</v>
      </c>
      <c r="F34" s="688">
        <v>4909000</v>
      </c>
      <c r="G34" s="689">
        <v>14669330</v>
      </c>
      <c r="H34" s="688"/>
      <c r="I34" s="688"/>
      <c r="J34" s="690">
        <f t="shared" si="4"/>
        <v>19570781.34</v>
      </c>
      <c r="K34" s="691">
        <f>4889776.49+11675.4</f>
        <v>4901451.890000001</v>
      </c>
      <c r="L34" s="692">
        <f>14628154.45+41175</f>
        <v>14669329.45</v>
      </c>
      <c r="M34" s="691"/>
      <c r="N34" s="691"/>
      <c r="O34" s="693">
        <f t="shared" si="1"/>
        <v>0.9996144380036499</v>
      </c>
      <c r="P34" s="694"/>
      <c r="Q34" s="694">
        <f t="shared" si="2"/>
        <v>0.9984623935628438</v>
      </c>
      <c r="R34" s="610"/>
      <c r="S34" t="b">
        <f t="shared" si="0"/>
        <v>1</v>
      </c>
      <c r="T34"/>
      <c r="U34"/>
    </row>
    <row r="35" spans="1:21" s="648" customFormat="1" ht="30.75" customHeight="1">
      <c r="A35" s="602"/>
      <c r="B35" s="602"/>
      <c r="C35" s="680" t="s">
        <v>1208</v>
      </c>
      <c r="D35" s="682">
        <v>5446000</v>
      </c>
      <c r="E35" s="682">
        <f t="shared" si="3"/>
        <v>5428059</v>
      </c>
      <c r="F35" s="675">
        <v>1444000</v>
      </c>
      <c r="G35" s="675">
        <v>3984059</v>
      </c>
      <c r="H35" s="675"/>
      <c r="I35" s="675"/>
      <c r="J35" s="683">
        <f t="shared" si="4"/>
        <v>5351729.06</v>
      </c>
      <c r="K35" s="684">
        <f>43920+1326952.28</f>
        <v>1370872.28</v>
      </c>
      <c r="L35" s="684">
        <v>3980856.78</v>
      </c>
      <c r="M35" s="684"/>
      <c r="N35" s="684"/>
      <c r="O35" s="685">
        <f t="shared" si="1"/>
        <v>0.98593789419017</v>
      </c>
      <c r="P35" s="685"/>
      <c r="Q35" s="685">
        <f t="shared" si="2"/>
        <v>0.9493575346260388</v>
      </c>
      <c r="R35" s="610"/>
      <c r="S35" t="b">
        <f t="shared" si="0"/>
        <v>1</v>
      </c>
      <c r="T35"/>
      <c r="U35"/>
    </row>
    <row r="36" spans="1:21" s="648" customFormat="1" ht="30" customHeight="1">
      <c r="A36" s="602"/>
      <c r="B36" s="602"/>
      <c r="C36" s="681" t="s">
        <v>1209</v>
      </c>
      <c r="D36" s="682">
        <v>3806000</v>
      </c>
      <c r="E36" s="682">
        <f t="shared" si="3"/>
        <v>3790521</v>
      </c>
      <c r="F36" s="675">
        <v>1011000</v>
      </c>
      <c r="G36" s="675">
        <v>2779521</v>
      </c>
      <c r="H36" s="675"/>
      <c r="I36" s="675"/>
      <c r="J36" s="683">
        <f t="shared" si="4"/>
        <v>3740988.3200000003</v>
      </c>
      <c r="K36" s="684">
        <f>47160+923457.08</f>
        <v>970617.08</v>
      </c>
      <c r="L36" s="684">
        <v>2770371.24</v>
      </c>
      <c r="M36" s="684"/>
      <c r="N36" s="684"/>
      <c r="O36" s="685">
        <f t="shared" si="1"/>
        <v>0.9869324876448383</v>
      </c>
      <c r="P36" s="685"/>
      <c r="Q36" s="685">
        <f t="shared" si="2"/>
        <v>0.9600564589515331</v>
      </c>
      <c r="R36" s="610"/>
      <c r="S36" t="b">
        <f t="shared" si="0"/>
        <v>1</v>
      </c>
      <c r="T36"/>
      <c r="U36"/>
    </row>
    <row r="37" spans="1:21" s="648" customFormat="1" ht="30.75" customHeight="1">
      <c r="A37" s="695"/>
      <c r="B37" s="695"/>
      <c r="C37" s="696" t="s">
        <v>1210</v>
      </c>
      <c r="D37" s="697">
        <v>127000</v>
      </c>
      <c r="E37" s="697">
        <f t="shared" si="3"/>
        <v>644200</v>
      </c>
      <c r="F37" s="698">
        <v>162550</v>
      </c>
      <c r="G37" s="698">
        <v>481650</v>
      </c>
      <c r="H37" s="698"/>
      <c r="I37" s="698"/>
      <c r="J37" s="699">
        <f t="shared" si="4"/>
        <v>642870.26</v>
      </c>
      <c r="K37" s="700">
        <f>160547.85+678.86</f>
        <v>161226.71</v>
      </c>
      <c r="L37" s="700">
        <v>481643.55</v>
      </c>
      <c r="M37" s="700"/>
      <c r="N37" s="700"/>
      <c r="O37" s="701">
        <f t="shared" si="1"/>
        <v>0.9979358273828004</v>
      </c>
      <c r="P37" s="701"/>
      <c r="Q37" s="701">
        <f t="shared" si="2"/>
        <v>0.9918591817902184</v>
      </c>
      <c r="R37" s="610"/>
      <c r="S37" t="b">
        <f t="shared" si="0"/>
        <v>1</v>
      </c>
      <c r="T37"/>
      <c r="U37"/>
    </row>
    <row r="38" spans="1:21" s="648" customFormat="1" ht="43.5" customHeight="1">
      <c r="A38" s="639"/>
      <c r="B38" s="639"/>
      <c r="C38" s="702" t="s">
        <v>1211</v>
      </c>
      <c r="D38" s="703">
        <v>748000</v>
      </c>
      <c r="E38" s="703">
        <f t="shared" si="3"/>
        <v>966600</v>
      </c>
      <c r="F38" s="704">
        <v>243200</v>
      </c>
      <c r="G38" s="705">
        <v>723400</v>
      </c>
      <c r="H38" s="704"/>
      <c r="I38" s="704"/>
      <c r="J38" s="706">
        <f t="shared" si="4"/>
        <v>294909.46</v>
      </c>
      <c r="K38" s="707">
        <f>73422.36+1220</f>
        <v>74642.36</v>
      </c>
      <c r="L38" s="708">
        <v>220267.1</v>
      </c>
      <c r="M38" s="707"/>
      <c r="N38" s="707"/>
      <c r="O38" s="647">
        <f t="shared" si="1"/>
        <v>0.30509979308917856</v>
      </c>
      <c r="P38" s="709"/>
      <c r="Q38" s="647">
        <f t="shared" si="2"/>
        <v>0.30691759868421054</v>
      </c>
      <c r="R38" s="610"/>
      <c r="S38" t="b">
        <f t="shared" si="0"/>
        <v>1</v>
      </c>
      <c r="T38"/>
      <c r="U38"/>
    </row>
    <row r="39" spans="1:21" s="648" customFormat="1" ht="30" customHeight="1">
      <c r="A39" s="602"/>
      <c r="B39" s="602"/>
      <c r="C39" s="680" t="s">
        <v>1212</v>
      </c>
      <c r="D39" s="682">
        <v>818000</v>
      </c>
      <c r="E39" s="682">
        <f t="shared" si="3"/>
        <v>1228385</v>
      </c>
      <c r="F39" s="675">
        <v>312047</v>
      </c>
      <c r="G39" s="675">
        <v>916338</v>
      </c>
      <c r="H39" s="675"/>
      <c r="I39" s="675"/>
      <c r="J39" s="683">
        <f t="shared" si="4"/>
        <v>1225412.83</v>
      </c>
      <c r="K39" s="684">
        <f>6553.12+304714.93</f>
        <v>311268.05</v>
      </c>
      <c r="L39" s="684">
        <v>914144.78</v>
      </c>
      <c r="M39" s="684"/>
      <c r="N39" s="684"/>
      <c r="O39" s="685">
        <f t="shared" si="1"/>
        <v>0.9975804247039813</v>
      </c>
      <c r="P39" s="685"/>
      <c r="Q39" s="685">
        <f t="shared" si="2"/>
        <v>0.9975037414235676</v>
      </c>
      <c r="R39" s="610"/>
      <c r="S39" t="b">
        <f t="shared" si="0"/>
        <v>1</v>
      </c>
      <c r="T39"/>
      <c r="U39"/>
    </row>
    <row r="40" spans="1:21" s="648" customFormat="1" ht="44.25" customHeight="1">
      <c r="A40" s="602"/>
      <c r="B40" s="602"/>
      <c r="C40" s="681" t="s">
        <v>1213</v>
      </c>
      <c r="D40" s="682">
        <v>560000</v>
      </c>
      <c r="E40" s="682">
        <f t="shared" si="3"/>
        <v>42800</v>
      </c>
      <c r="F40" s="675">
        <v>42800</v>
      </c>
      <c r="G40" s="675"/>
      <c r="H40" s="675"/>
      <c r="I40" s="675"/>
      <c r="J40" s="683"/>
      <c r="K40" s="684"/>
      <c r="L40" s="684"/>
      <c r="M40" s="684"/>
      <c r="N40" s="684"/>
      <c r="O40" s="685"/>
      <c r="P40" s="685"/>
      <c r="Q40" s="685"/>
      <c r="R40" s="610"/>
      <c r="S40" t="b">
        <f t="shared" si="0"/>
        <v>1</v>
      </c>
      <c r="T40"/>
      <c r="U40"/>
    </row>
    <row r="41" spans="1:21" s="648" customFormat="1" ht="27.75" customHeight="1" hidden="1">
      <c r="A41" s="602"/>
      <c r="B41" s="602"/>
      <c r="C41" s="710" t="s">
        <v>1214</v>
      </c>
      <c r="D41" s="711">
        <v>0</v>
      </c>
      <c r="E41" s="711">
        <f t="shared" si="3"/>
        <v>0</v>
      </c>
      <c r="F41" s="688"/>
      <c r="G41" s="688"/>
      <c r="H41" s="688"/>
      <c r="I41" s="688"/>
      <c r="J41" s="683">
        <f>K41+M41+N41+L41</f>
        <v>0</v>
      </c>
      <c r="K41" s="691"/>
      <c r="L41" s="691"/>
      <c r="M41" s="691"/>
      <c r="N41" s="691"/>
      <c r="O41" s="685" t="e">
        <f aca="true" t="shared" si="5" ref="O41:O47">J41/E41</f>
        <v>#DIV/0!</v>
      </c>
      <c r="P41" s="694"/>
      <c r="Q41" s="685" t="e">
        <f aca="true" t="shared" si="6" ref="Q41:Q47">K41/F41</f>
        <v>#DIV/0!</v>
      </c>
      <c r="R41" s="610"/>
      <c r="S41" t="b">
        <f t="shared" si="0"/>
        <v>1</v>
      </c>
      <c r="T41"/>
      <c r="U41"/>
    </row>
    <row r="42" spans="1:21" s="648" customFormat="1" ht="31.5" customHeight="1">
      <c r="A42" s="602"/>
      <c r="B42" s="602"/>
      <c r="C42" s="712" t="s">
        <v>1215</v>
      </c>
      <c r="D42" s="682">
        <v>200000</v>
      </c>
      <c r="E42" s="682">
        <f t="shared" si="3"/>
        <v>220000</v>
      </c>
      <c r="F42" s="688">
        <v>220000</v>
      </c>
      <c r="G42" s="688"/>
      <c r="H42" s="688"/>
      <c r="I42" s="688"/>
      <c r="J42" s="683">
        <f>K42+M42+N42+L42</f>
        <v>213792.8</v>
      </c>
      <c r="K42" s="691">
        <v>213792.8</v>
      </c>
      <c r="L42" s="691"/>
      <c r="M42" s="691"/>
      <c r="N42" s="691"/>
      <c r="O42" s="685">
        <f t="shared" si="5"/>
        <v>0.9717854545454545</v>
      </c>
      <c r="P42" s="694"/>
      <c r="Q42" s="685">
        <f t="shared" si="6"/>
        <v>0.9717854545454545</v>
      </c>
      <c r="R42" s="610"/>
      <c r="S42" t="b">
        <f t="shared" si="0"/>
        <v>1</v>
      </c>
      <c r="T42"/>
      <c r="U42"/>
    </row>
    <row r="43" spans="1:21" s="648" customFormat="1" ht="20.25" customHeight="1">
      <c r="A43" s="602"/>
      <c r="B43" s="602"/>
      <c r="C43" s="712" t="s">
        <v>1216</v>
      </c>
      <c r="D43" s="682">
        <v>200000</v>
      </c>
      <c r="E43" s="682">
        <f t="shared" si="3"/>
        <v>200000</v>
      </c>
      <c r="F43" s="688">
        <v>200000</v>
      </c>
      <c r="G43" s="688"/>
      <c r="H43" s="688"/>
      <c r="I43" s="688"/>
      <c r="J43" s="683">
        <f>K43+M43+N43+L43</f>
        <v>25010</v>
      </c>
      <c r="K43" s="691">
        <v>25010</v>
      </c>
      <c r="L43" s="691"/>
      <c r="M43" s="691"/>
      <c r="N43" s="691"/>
      <c r="O43" s="685">
        <f t="shared" si="5"/>
        <v>0.12505</v>
      </c>
      <c r="P43" s="694"/>
      <c r="Q43" s="685">
        <f t="shared" si="6"/>
        <v>0.12505</v>
      </c>
      <c r="R43" s="610"/>
      <c r="S43" t="b">
        <f t="shared" si="0"/>
        <v>1</v>
      </c>
      <c r="T43"/>
      <c r="U43"/>
    </row>
    <row r="44" spans="1:21" s="648" customFormat="1" ht="32.25" customHeight="1">
      <c r="A44" s="602"/>
      <c r="B44" s="602"/>
      <c r="C44" s="681" t="s">
        <v>1217</v>
      </c>
      <c r="D44" s="713">
        <v>1000000</v>
      </c>
      <c r="E44" s="713">
        <f>F44+H44+I44</f>
        <v>2638000</v>
      </c>
      <c r="F44" s="714">
        <v>2638000</v>
      </c>
      <c r="G44" s="688"/>
      <c r="H44" s="688"/>
      <c r="I44" s="688"/>
      <c r="J44" s="715">
        <f>K44+M44+N44</f>
        <v>2623964.03</v>
      </c>
      <c r="K44" s="716">
        <v>2623964.03</v>
      </c>
      <c r="L44" s="691"/>
      <c r="M44" s="691"/>
      <c r="N44" s="691"/>
      <c r="O44" s="694">
        <f t="shared" si="5"/>
        <v>0.994679313874147</v>
      </c>
      <c r="P44" s="694"/>
      <c r="Q44" s="694">
        <f t="shared" si="6"/>
        <v>0.994679313874147</v>
      </c>
      <c r="R44" s="610"/>
      <c r="S44" t="b">
        <f t="shared" si="0"/>
        <v>1</v>
      </c>
      <c r="T44"/>
      <c r="U44"/>
    </row>
    <row r="45" spans="1:21" s="648" customFormat="1" ht="31.5" customHeight="1">
      <c r="A45" s="602"/>
      <c r="B45" s="602"/>
      <c r="C45" s="686" t="s">
        <v>1218</v>
      </c>
      <c r="D45" s="713">
        <v>350000</v>
      </c>
      <c r="E45" s="713">
        <f>F45+H45+I45</f>
        <v>456000</v>
      </c>
      <c r="F45" s="714">
        <v>456000</v>
      </c>
      <c r="G45" s="688"/>
      <c r="H45" s="688"/>
      <c r="I45" s="688"/>
      <c r="J45" s="715">
        <f>K45+M45+N45</f>
        <v>375011.57</v>
      </c>
      <c r="K45" s="716">
        <v>375011.57</v>
      </c>
      <c r="L45" s="691"/>
      <c r="M45" s="691"/>
      <c r="N45" s="691"/>
      <c r="O45" s="694">
        <f t="shared" si="5"/>
        <v>0.8223937938596492</v>
      </c>
      <c r="P45" s="694"/>
      <c r="Q45" s="694">
        <f t="shared" si="6"/>
        <v>0.8223937938596492</v>
      </c>
      <c r="R45" s="610"/>
      <c r="S45" t="b">
        <f t="shared" si="0"/>
        <v>1</v>
      </c>
      <c r="T45"/>
      <c r="U45"/>
    </row>
    <row r="46" spans="1:21" s="648" customFormat="1" ht="21.75" customHeight="1">
      <c r="A46" s="602"/>
      <c r="B46" s="602"/>
      <c r="C46" s="680" t="s">
        <v>1219</v>
      </c>
      <c r="D46" s="678">
        <v>500000</v>
      </c>
      <c r="E46" s="678">
        <f>F46+H46+I46</f>
        <v>25000</v>
      </c>
      <c r="F46" s="717">
        <v>25000</v>
      </c>
      <c r="G46" s="675"/>
      <c r="H46" s="675"/>
      <c r="I46" s="675"/>
      <c r="J46" s="718">
        <f>K46</f>
        <v>24156</v>
      </c>
      <c r="K46" s="719">
        <v>24156</v>
      </c>
      <c r="L46" s="684"/>
      <c r="M46" s="684"/>
      <c r="N46" s="684"/>
      <c r="O46" s="694">
        <f t="shared" si="5"/>
        <v>0.96624</v>
      </c>
      <c r="P46" s="685"/>
      <c r="Q46" s="685">
        <f t="shared" si="6"/>
        <v>0.96624</v>
      </c>
      <c r="R46" s="610"/>
      <c r="S46" t="b">
        <f t="shared" si="0"/>
        <v>1</v>
      </c>
      <c r="T46"/>
      <c r="U46"/>
    </row>
    <row r="47" spans="1:21" s="648" customFormat="1" ht="21" customHeight="1">
      <c r="A47" s="602"/>
      <c r="B47" s="602"/>
      <c r="C47" s="675" t="s">
        <v>1220</v>
      </c>
      <c r="D47" s="678">
        <v>500000</v>
      </c>
      <c r="E47" s="678">
        <f>SUM(F47:I47)</f>
        <v>280800</v>
      </c>
      <c r="F47" s="717">
        <v>280800</v>
      </c>
      <c r="G47" s="675"/>
      <c r="H47" s="675" t="s">
        <v>1221</v>
      </c>
      <c r="I47" s="675"/>
      <c r="J47" s="718">
        <f>K47</f>
        <v>3257.69</v>
      </c>
      <c r="K47" s="719">
        <v>3257.69</v>
      </c>
      <c r="L47" s="684"/>
      <c r="M47" s="684"/>
      <c r="N47" s="684"/>
      <c r="O47" s="694">
        <f t="shared" si="5"/>
        <v>0.011601460113960115</v>
      </c>
      <c r="P47" s="685"/>
      <c r="Q47" s="685">
        <f t="shared" si="6"/>
        <v>0.011601460113960115</v>
      </c>
      <c r="R47" s="610"/>
      <c r="S47" t="b">
        <f t="shared" si="0"/>
        <v>1</v>
      </c>
      <c r="T47"/>
      <c r="U47"/>
    </row>
    <row r="48" spans="1:21" s="648" customFormat="1" ht="20.25" customHeight="1">
      <c r="A48" s="602"/>
      <c r="B48" s="602"/>
      <c r="C48" s="712" t="s">
        <v>1222</v>
      </c>
      <c r="D48" s="687"/>
      <c r="E48" s="682">
        <f>F48+H48+I48+G48</f>
        <v>1544500</v>
      </c>
      <c r="F48" s="714"/>
      <c r="G48" s="688"/>
      <c r="H48" s="688"/>
      <c r="I48" s="688">
        <v>1544500</v>
      </c>
      <c r="J48" s="683"/>
      <c r="K48" s="716"/>
      <c r="L48" s="691"/>
      <c r="M48" s="691"/>
      <c r="N48" s="691"/>
      <c r="O48" s="685"/>
      <c r="P48" s="694"/>
      <c r="Q48" s="685"/>
      <c r="R48" s="610"/>
      <c r="S48" t="b">
        <f t="shared" si="0"/>
        <v>1</v>
      </c>
      <c r="T48"/>
      <c r="U48"/>
    </row>
    <row r="49" spans="1:21" s="648" customFormat="1" ht="31.5" customHeight="1">
      <c r="A49" s="602"/>
      <c r="B49" s="602"/>
      <c r="C49" s="720" t="s">
        <v>1223</v>
      </c>
      <c r="D49" s="682">
        <v>500000</v>
      </c>
      <c r="E49" s="682"/>
      <c r="F49" s="688"/>
      <c r="G49" s="688"/>
      <c r="H49" s="688"/>
      <c r="I49" s="688"/>
      <c r="J49" s="683"/>
      <c r="K49" s="691"/>
      <c r="L49" s="691"/>
      <c r="M49" s="691"/>
      <c r="N49" s="691"/>
      <c r="O49" s="685"/>
      <c r="P49" s="694"/>
      <c r="Q49" s="685"/>
      <c r="R49" s="610"/>
      <c r="S49" t="b">
        <f t="shared" si="0"/>
        <v>1</v>
      </c>
      <c r="T49"/>
      <c r="U49"/>
    </row>
    <row r="50" spans="1:21" s="620" customFormat="1" ht="22.5" customHeight="1">
      <c r="A50" s="631"/>
      <c r="B50" s="721">
        <v>60016</v>
      </c>
      <c r="C50" s="664" t="s">
        <v>156</v>
      </c>
      <c r="D50" s="663">
        <v>2826000</v>
      </c>
      <c r="E50" s="663">
        <f>F50+H50+I50+G50</f>
        <v>5833000</v>
      </c>
      <c r="F50" s="722">
        <f>SUM(F51:F60)</f>
        <v>5833000</v>
      </c>
      <c r="G50" s="722"/>
      <c r="H50" s="722"/>
      <c r="I50" s="664"/>
      <c r="J50" s="665">
        <f>K50+M50+N50+L50</f>
        <v>5744455.380000001</v>
      </c>
      <c r="K50" s="723">
        <f>SUM(K51:K60)</f>
        <v>5744455.380000001</v>
      </c>
      <c r="L50" s="723"/>
      <c r="M50" s="723"/>
      <c r="N50" s="666"/>
      <c r="O50" s="724">
        <f aca="true" t="shared" si="7" ref="O50:O56">J50/E50</f>
        <v>0.9848200548602779</v>
      </c>
      <c r="P50" s="724"/>
      <c r="Q50" s="667">
        <f aca="true" t="shared" si="8" ref="Q50:Q56">K50/F50</f>
        <v>0.9848200548602779</v>
      </c>
      <c r="R50" s="619"/>
      <c r="S50" t="b">
        <f t="shared" si="0"/>
        <v>1</v>
      </c>
      <c r="T50"/>
      <c r="U50"/>
    </row>
    <row r="51" spans="1:21" s="648" customFormat="1" ht="20.25" customHeight="1">
      <c r="A51" s="602"/>
      <c r="B51" s="602"/>
      <c r="C51" s="680" t="s">
        <v>1224</v>
      </c>
      <c r="D51" s="725">
        <v>500000</v>
      </c>
      <c r="E51" s="725">
        <f>F51+H51+I51</f>
        <v>500000</v>
      </c>
      <c r="F51" s="726">
        <v>500000</v>
      </c>
      <c r="G51" s="726"/>
      <c r="H51" s="726"/>
      <c r="I51" s="726"/>
      <c r="J51" s="727">
        <f>K51+M51+N51</f>
        <v>500000</v>
      </c>
      <c r="K51" s="728">
        <v>500000</v>
      </c>
      <c r="L51" s="728"/>
      <c r="M51" s="728"/>
      <c r="N51" s="728"/>
      <c r="O51" s="729">
        <f t="shared" si="7"/>
        <v>1</v>
      </c>
      <c r="P51" s="729"/>
      <c r="Q51" s="729">
        <f t="shared" si="8"/>
        <v>1</v>
      </c>
      <c r="R51" s="657"/>
      <c r="S51" t="b">
        <f t="shared" si="0"/>
        <v>1</v>
      </c>
      <c r="T51"/>
      <c r="U51"/>
    </row>
    <row r="52" spans="1:21" s="648" customFormat="1" ht="33" customHeight="1">
      <c r="A52" s="602"/>
      <c r="B52" s="602"/>
      <c r="C52" s="680" t="s">
        <v>1225</v>
      </c>
      <c r="D52" s="678">
        <v>50000</v>
      </c>
      <c r="E52" s="678">
        <f>F52+H52+I52</f>
        <v>36000</v>
      </c>
      <c r="F52" s="675">
        <v>36000</v>
      </c>
      <c r="G52" s="675"/>
      <c r="H52" s="675"/>
      <c r="I52" s="675"/>
      <c r="J52" s="718">
        <f>K52+M52+N52</f>
        <v>35986.97</v>
      </c>
      <c r="K52" s="684">
        <v>35986.97</v>
      </c>
      <c r="L52" s="684"/>
      <c r="M52" s="684"/>
      <c r="N52" s="684"/>
      <c r="O52" s="685">
        <f t="shared" si="7"/>
        <v>0.9996380555555556</v>
      </c>
      <c r="P52" s="685"/>
      <c r="Q52" s="685">
        <f t="shared" si="8"/>
        <v>0.9996380555555556</v>
      </c>
      <c r="R52" s="610"/>
      <c r="S52" t="b">
        <f t="shared" si="0"/>
        <v>1</v>
      </c>
      <c r="T52"/>
      <c r="U52"/>
    </row>
    <row r="53" spans="1:21" s="648" customFormat="1" ht="21" customHeight="1">
      <c r="A53" s="602"/>
      <c r="B53" s="602"/>
      <c r="C53" s="686" t="s">
        <v>1226</v>
      </c>
      <c r="D53" s="678">
        <v>500000</v>
      </c>
      <c r="E53" s="678">
        <f>F53+H53+I53</f>
        <v>605000</v>
      </c>
      <c r="F53" s="688">
        <v>605000</v>
      </c>
      <c r="G53" s="688"/>
      <c r="H53" s="688"/>
      <c r="I53" s="688"/>
      <c r="J53" s="718">
        <f>K53+M53+N53</f>
        <v>601137.73</v>
      </c>
      <c r="K53" s="691">
        <v>601137.73</v>
      </c>
      <c r="L53" s="691"/>
      <c r="M53" s="691"/>
      <c r="N53" s="691"/>
      <c r="O53" s="694">
        <f t="shared" si="7"/>
        <v>0.9936160826446281</v>
      </c>
      <c r="P53" s="694"/>
      <c r="Q53" s="694">
        <f t="shared" si="8"/>
        <v>0.9936160826446281</v>
      </c>
      <c r="R53" s="610"/>
      <c r="S53" t="b">
        <f t="shared" si="0"/>
        <v>1</v>
      </c>
      <c r="T53"/>
      <c r="U53"/>
    </row>
    <row r="54" spans="1:21" s="648" customFormat="1" ht="21" customHeight="1" hidden="1">
      <c r="A54" s="602"/>
      <c r="B54" s="602"/>
      <c r="C54" s="686" t="s">
        <v>1227</v>
      </c>
      <c r="D54" s="678">
        <v>0</v>
      </c>
      <c r="E54" s="678">
        <f>F54+H54+I54</f>
        <v>0</v>
      </c>
      <c r="F54" s="688"/>
      <c r="G54" s="688"/>
      <c r="H54" s="688"/>
      <c r="I54" s="688"/>
      <c r="J54" s="718">
        <f>K54+M54+N54</f>
        <v>0</v>
      </c>
      <c r="K54" s="691"/>
      <c r="L54" s="691"/>
      <c r="M54" s="691"/>
      <c r="N54" s="691"/>
      <c r="O54" s="694" t="e">
        <f t="shared" si="7"/>
        <v>#DIV/0!</v>
      </c>
      <c r="P54" s="694"/>
      <c r="Q54" s="694" t="e">
        <f t="shared" si="8"/>
        <v>#DIV/0!</v>
      </c>
      <c r="R54" s="610"/>
      <c r="S54" t="b">
        <f t="shared" si="0"/>
        <v>1</v>
      </c>
      <c r="T54"/>
      <c r="U54"/>
    </row>
    <row r="55" spans="1:21" s="648" customFormat="1" ht="30" customHeight="1">
      <c r="A55" s="602"/>
      <c r="B55" s="602"/>
      <c r="C55" s="686" t="s">
        <v>1228</v>
      </c>
      <c r="D55" s="713">
        <v>651000</v>
      </c>
      <c r="E55" s="713">
        <f>F55+H55+G55</f>
        <v>3938000</v>
      </c>
      <c r="F55" s="688">
        <v>3938000</v>
      </c>
      <c r="G55" s="688"/>
      <c r="H55" s="688"/>
      <c r="I55" s="688"/>
      <c r="J55" s="715">
        <f>K55+M55+L55</f>
        <v>3935037.3899999997</v>
      </c>
      <c r="K55" s="691">
        <f>7037.82+3927999.57</f>
        <v>3935037.3899999997</v>
      </c>
      <c r="L55" s="691"/>
      <c r="M55" s="691"/>
      <c r="N55" s="691"/>
      <c r="O55" s="694">
        <f t="shared" si="7"/>
        <v>0.9992476866429659</v>
      </c>
      <c r="P55" s="694"/>
      <c r="Q55" s="694">
        <f t="shared" si="8"/>
        <v>0.9992476866429659</v>
      </c>
      <c r="R55" s="610"/>
      <c r="S55" t="b">
        <f t="shared" si="0"/>
        <v>1</v>
      </c>
      <c r="T55"/>
      <c r="U55"/>
    </row>
    <row r="56" spans="1:21" s="648" customFormat="1" ht="19.5" customHeight="1">
      <c r="A56" s="602"/>
      <c r="B56" s="602"/>
      <c r="C56" s="680" t="s">
        <v>1229</v>
      </c>
      <c r="D56" s="678">
        <v>300000</v>
      </c>
      <c r="E56" s="678">
        <f>F56+H56+I56</f>
        <v>300000</v>
      </c>
      <c r="F56" s="675">
        <v>300000</v>
      </c>
      <c r="G56" s="675"/>
      <c r="H56" s="675"/>
      <c r="I56" s="675"/>
      <c r="J56" s="718">
        <f>K56</f>
        <v>299999.99</v>
      </c>
      <c r="K56" s="684">
        <v>299999.99</v>
      </c>
      <c r="L56" s="684"/>
      <c r="M56" s="684"/>
      <c r="N56" s="684"/>
      <c r="O56" s="685">
        <f t="shared" si="7"/>
        <v>0.9999999666666667</v>
      </c>
      <c r="P56" s="685"/>
      <c r="Q56" s="694">
        <f t="shared" si="8"/>
        <v>0.9999999666666667</v>
      </c>
      <c r="R56" s="610"/>
      <c r="S56" t="b">
        <f t="shared" si="0"/>
        <v>1</v>
      </c>
      <c r="T56"/>
      <c r="U56"/>
    </row>
    <row r="57" spans="1:21" s="648" customFormat="1" ht="21.75" customHeight="1">
      <c r="A57" s="602"/>
      <c r="B57" s="602"/>
      <c r="C57" s="680" t="s">
        <v>1230</v>
      </c>
      <c r="D57" s="678">
        <v>200000</v>
      </c>
      <c r="E57" s="678">
        <f>F57+H57+I57</f>
        <v>2000</v>
      </c>
      <c r="F57" s="675">
        <v>2000</v>
      </c>
      <c r="G57" s="675"/>
      <c r="H57" s="675"/>
      <c r="I57" s="675"/>
      <c r="J57" s="718"/>
      <c r="K57" s="684"/>
      <c r="L57" s="684"/>
      <c r="M57" s="684"/>
      <c r="N57" s="684"/>
      <c r="O57" s="685"/>
      <c r="P57" s="685"/>
      <c r="Q57" s="694"/>
      <c r="R57" s="610"/>
      <c r="S57" t="b">
        <f t="shared" si="0"/>
        <v>1</v>
      </c>
      <c r="T57"/>
      <c r="U57"/>
    </row>
    <row r="58" spans="1:21" s="648" customFormat="1" ht="21.75" customHeight="1">
      <c r="A58" s="602"/>
      <c r="B58" s="602"/>
      <c r="C58" s="686" t="s">
        <v>1231</v>
      </c>
      <c r="D58" s="713">
        <v>225000</v>
      </c>
      <c r="E58" s="713">
        <f>F58</f>
        <v>250000</v>
      </c>
      <c r="F58" s="714">
        <v>250000</v>
      </c>
      <c r="G58" s="688"/>
      <c r="H58" s="688"/>
      <c r="I58" s="688"/>
      <c r="J58" s="718">
        <f>K58</f>
        <v>249800.29</v>
      </c>
      <c r="K58" s="684">
        <v>249800.29</v>
      </c>
      <c r="L58" s="691"/>
      <c r="M58" s="691"/>
      <c r="N58" s="691"/>
      <c r="O58" s="685">
        <f aca="true" t="shared" si="9" ref="O58:O89">J58/E58</f>
        <v>0.99920116</v>
      </c>
      <c r="P58" s="694"/>
      <c r="Q58" s="694">
        <f aca="true" t="shared" si="10" ref="Q58:Q95">K58/F58</f>
        <v>0.99920116</v>
      </c>
      <c r="R58" s="610"/>
      <c r="S58" t="b">
        <f t="shared" si="0"/>
        <v>1</v>
      </c>
      <c r="T58"/>
      <c r="U58"/>
    </row>
    <row r="59" spans="1:21" s="648" customFormat="1" ht="21.75" customHeight="1">
      <c r="A59" s="602"/>
      <c r="B59" s="602"/>
      <c r="C59" s="652" t="s">
        <v>1232</v>
      </c>
      <c r="D59" s="650">
        <v>150000</v>
      </c>
      <c r="E59" s="650">
        <f aca="true" t="shared" si="11" ref="E59:E66">F59+H59+I59</f>
        <v>150000</v>
      </c>
      <c r="F59" s="651">
        <v>150000</v>
      </c>
      <c r="G59" s="652"/>
      <c r="H59" s="652"/>
      <c r="I59" s="652"/>
      <c r="J59" s="718">
        <f>K59</f>
        <v>71505.69</v>
      </c>
      <c r="K59" s="684">
        <v>71505.69</v>
      </c>
      <c r="L59" s="655"/>
      <c r="M59" s="655"/>
      <c r="N59" s="655"/>
      <c r="O59" s="685">
        <f t="shared" si="9"/>
        <v>0.47670460000000003</v>
      </c>
      <c r="P59" s="656"/>
      <c r="Q59" s="694">
        <f t="shared" si="10"/>
        <v>0.47670460000000003</v>
      </c>
      <c r="R59" s="610"/>
      <c r="S59" t="b">
        <f t="shared" si="0"/>
        <v>1</v>
      </c>
      <c r="T59"/>
      <c r="U59"/>
    </row>
    <row r="60" spans="1:21" s="648" customFormat="1" ht="21.75" customHeight="1">
      <c r="A60" s="602"/>
      <c r="B60" s="602"/>
      <c r="C60" s="652" t="s">
        <v>1233</v>
      </c>
      <c r="D60" s="650">
        <v>250000</v>
      </c>
      <c r="E60" s="650">
        <f t="shared" si="11"/>
        <v>52000</v>
      </c>
      <c r="F60" s="651">
        <v>52000</v>
      </c>
      <c r="G60" s="652"/>
      <c r="H60" s="652"/>
      <c r="I60" s="652"/>
      <c r="J60" s="730">
        <f aca="true" t="shared" si="12" ref="J60:J66">K60+M60+N60</f>
        <v>50987.32</v>
      </c>
      <c r="K60" s="654">
        <v>50987.32</v>
      </c>
      <c r="L60" s="655"/>
      <c r="M60" s="655"/>
      <c r="N60" s="655"/>
      <c r="O60" s="731">
        <f t="shared" si="9"/>
        <v>0.9805253846153846</v>
      </c>
      <c r="P60" s="731"/>
      <c r="Q60" s="731">
        <f t="shared" si="10"/>
        <v>0.9805253846153846</v>
      </c>
      <c r="R60" s="657"/>
      <c r="S60" t="b">
        <f t="shared" si="0"/>
        <v>1</v>
      </c>
      <c r="T60"/>
      <c r="U60"/>
    </row>
    <row r="61" spans="1:21" s="620" customFormat="1" ht="21.75" customHeight="1">
      <c r="A61" s="631"/>
      <c r="B61" s="721">
        <v>60017</v>
      </c>
      <c r="C61" s="664" t="s">
        <v>158</v>
      </c>
      <c r="D61" s="732">
        <v>330000</v>
      </c>
      <c r="E61" s="732">
        <f t="shared" si="11"/>
        <v>332000</v>
      </c>
      <c r="F61" s="733">
        <f>F62+F64+F63</f>
        <v>332000</v>
      </c>
      <c r="G61" s="734"/>
      <c r="H61" s="734"/>
      <c r="I61" s="734"/>
      <c r="J61" s="735">
        <f t="shared" si="12"/>
        <v>235979.47999999998</v>
      </c>
      <c r="K61" s="736">
        <f>K63+K64</f>
        <v>235979.47999999998</v>
      </c>
      <c r="L61" s="737"/>
      <c r="M61" s="737"/>
      <c r="N61" s="737"/>
      <c r="O61" s="738">
        <f t="shared" si="9"/>
        <v>0.7107815662650602</v>
      </c>
      <c r="P61" s="739"/>
      <c r="Q61" s="738">
        <f t="shared" si="10"/>
        <v>0.7107815662650602</v>
      </c>
      <c r="R61" s="740"/>
      <c r="S61" t="b">
        <f t="shared" si="0"/>
        <v>1</v>
      </c>
      <c r="T61"/>
      <c r="U61"/>
    </row>
    <row r="62" spans="1:21" s="648" customFormat="1" ht="21" customHeight="1" hidden="1">
      <c r="A62" s="602"/>
      <c r="B62" s="602"/>
      <c r="C62" s="680" t="s">
        <v>1232</v>
      </c>
      <c r="D62" s="678">
        <v>0</v>
      </c>
      <c r="E62" s="678">
        <f t="shared" si="11"/>
        <v>0</v>
      </c>
      <c r="F62" s="717"/>
      <c r="G62" s="675"/>
      <c r="H62" s="675"/>
      <c r="I62" s="675"/>
      <c r="J62" s="653">
        <f t="shared" si="12"/>
        <v>0</v>
      </c>
      <c r="K62" s="719"/>
      <c r="L62" s="684"/>
      <c r="M62" s="684"/>
      <c r="N62" s="684"/>
      <c r="O62" s="656" t="e">
        <f t="shared" si="9"/>
        <v>#DIV/0!</v>
      </c>
      <c r="P62" s="694"/>
      <c r="Q62" s="656" t="e">
        <f t="shared" si="10"/>
        <v>#DIV/0!</v>
      </c>
      <c r="R62" s="657"/>
      <c r="S62" t="b">
        <f t="shared" si="0"/>
        <v>1</v>
      </c>
      <c r="T62"/>
      <c r="U62"/>
    </row>
    <row r="63" spans="1:21" s="648" customFormat="1" ht="23.25" customHeight="1">
      <c r="A63" s="602"/>
      <c r="B63" s="602"/>
      <c r="C63" s="680" t="s">
        <v>1234</v>
      </c>
      <c r="D63" s="678">
        <v>120000</v>
      </c>
      <c r="E63" s="678">
        <f t="shared" si="11"/>
        <v>92000</v>
      </c>
      <c r="F63" s="717">
        <v>92000</v>
      </c>
      <c r="G63" s="675"/>
      <c r="H63" s="675"/>
      <c r="I63" s="675"/>
      <c r="J63" s="653">
        <f t="shared" si="12"/>
        <v>91430.73</v>
      </c>
      <c r="K63" s="719">
        <v>91430.73</v>
      </c>
      <c r="L63" s="684"/>
      <c r="M63" s="684"/>
      <c r="N63" s="684"/>
      <c r="O63" s="656">
        <f t="shared" si="9"/>
        <v>0.9938122826086956</v>
      </c>
      <c r="P63" s="685"/>
      <c r="Q63" s="656">
        <f t="shared" si="10"/>
        <v>0.9938122826086956</v>
      </c>
      <c r="R63" s="657"/>
      <c r="S63" t="b">
        <f t="shared" si="0"/>
        <v>1</v>
      </c>
      <c r="T63"/>
      <c r="U63"/>
    </row>
    <row r="64" spans="1:21" s="648" customFormat="1" ht="33.75" customHeight="1">
      <c r="A64" s="602"/>
      <c r="B64" s="602"/>
      <c r="C64" s="741" t="s">
        <v>1235</v>
      </c>
      <c r="D64" s="678">
        <v>210000</v>
      </c>
      <c r="E64" s="678">
        <f t="shared" si="11"/>
        <v>240000</v>
      </c>
      <c r="F64" s="717">
        <v>240000</v>
      </c>
      <c r="G64" s="675"/>
      <c r="H64" s="675"/>
      <c r="I64" s="675"/>
      <c r="J64" s="653">
        <f t="shared" si="12"/>
        <v>144548.75</v>
      </c>
      <c r="K64" s="719">
        <v>144548.75</v>
      </c>
      <c r="L64" s="684"/>
      <c r="M64" s="684"/>
      <c r="N64" s="684"/>
      <c r="O64" s="656">
        <f t="shared" si="9"/>
        <v>0.6022864583333334</v>
      </c>
      <c r="P64" s="685"/>
      <c r="Q64" s="656">
        <f t="shared" si="10"/>
        <v>0.6022864583333334</v>
      </c>
      <c r="R64" s="657"/>
      <c r="S64" t="b">
        <f t="shared" si="0"/>
        <v>1</v>
      </c>
      <c r="T64"/>
      <c r="U64"/>
    </row>
    <row r="65" spans="1:21" s="648" customFormat="1" ht="19.5" customHeight="1" hidden="1">
      <c r="A65" s="742">
        <v>630</v>
      </c>
      <c r="B65" s="742"/>
      <c r="C65" s="743" t="s">
        <v>25</v>
      </c>
      <c r="D65" s="744">
        <v>0</v>
      </c>
      <c r="E65" s="744">
        <f t="shared" si="11"/>
        <v>0</v>
      </c>
      <c r="F65" s="745">
        <f>F66</f>
        <v>0</v>
      </c>
      <c r="G65" s="745"/>
      <c r="H65" s="745"/>
      <c r="I65" s="745"/>
      <c r="J65" s="746">
        <f t="shared" si="12"/>
        <v>0</v>
      </c>
      <c r="K65" s="747">
        <f>K66</f>
        <v>0</v>
      </c>
      <c r="L65" s="747"/>
      <c r="M65" s="747"/>
      <c r="N65" s="747"/>
      <c r="O65" s="748" t="e">
        <f t="shared" si="9"/>
        <v>#DIV/0!</v>
      </c>
      <c r="P65" s="748"/>
      <c r="Q65" s="748" t="e">
        <f t="shared" si="10"/>
        <v>#DIV/0!</v>
      </c>
      <c r="R65" s="749"/>
      <c r="S65" t="b">
        <f t="shared" si="0"/>
        <v>1</v>
      </c>
      <c r="T65"/>
      <c r="U65"/>
    </row>
    <row r="66" spans="1:21" s="620" customFormat="1" ht="21.75" customHeight="1" hidden="1">
      <c r="A66" s="631"/>
      <c r="B66" s="721">
        <v>63003</v>
      </c>
      <c r="C66" s="664" t="s">
        <v>26</v>
      </c>
      <c r="D66" s="663">
        <v>0</v>
      </c>
      <c r="E66" s="663">
        <f t="shared" si="11"/>
        <v>0</v>
      </c>
      <c r="F66" s="722">
        <f>F67</f>
        <v>0</v>
      </c>
      <c r="G66" s="722"/>
      <c r="H66" s="722"/>
      <c r="I66" s="722"/>
      <c r="J66" s="665">
        <f t="shared" si="12"/>
        <v>0</v>
      </c>
      <c r="K66" s="723">
        <f>K67</f>
        <v>0</v>
      </c>
      <c r="L66" s="723"/>
      <c r="M66" s="723"/>
      <c r="N66" s="723"/>
      <c r="O66" s="724" t="e">
        <f t="shared" si="9"/>
        <v>#DIV/0!</v>
      </c>
      <c r="P66" s="724"/>
      <c r="Q66" s="724" t="e">
        <f t="shared" si="10"/>
        <v>#DIV/0!</v>
      </c>
      <c r="R66" s="619"/>
      <c r="S66" t="b">
        <f t="shared" si="0"/>
        <v>1</v>
      </c>
      <c r="T66"/>
      <c r="U66"/>
    </row>
    <row r="67" spans="1:21" s="648" customFormat="1" ht="27.75" customHeight="1" hidden="1">
      <c r="A67" s="695"/>
      <c r="B67" s="750"/>
      <c r="C67" s="751" t="s">
        <v>1236</v>
      </c>
      <c r="D67" s="752">
        <v>0</v>
      </c>
      <c r="E67" s="752">
        <f>F67</f>
        <v>0</v>
      </c>
      <c r="F67" s="753"/>
      <c r="G67" s="754"/>
      <c r="H67" s="754"/>
      <c r="I67" s="754"/>
      <c r="J67" s="755">
        <f>K67</f>
        <v>0</v>
      </c>
      <c r="K67" s="756"/>
      <c r="L67" s="757"/>
      <c r="M67" s="757"/>
      <c r="N67" s="757"/>
      <c r="O67" s="758" t="e">
        <f t="shared" si="9"/>
        <v>#DIV/0!</v>
      </c>
      <c r="P67" s="758"/>
      <c r="Q67" s="758" t="e">
        <f t="shared" si="10"/>
        <v>#DIV/0!</v>
      </c>
      <c r="R67" s="610"/>
      <c r="S67" t="b">
        <f t="shared" si="0"/>
        <v>1</v>
      </c>
      <c r="T67"/>
      <c r="U67"/>
    </row>
    <row r="68" spans="1:21" s="620" customFormat="1" ht="22.5" customHeight="1">
      <c r="A68" s="631"/>
      <c r="B68" s="721">
        <v>60095</v>
      </c>
      <c r="C68" s="664" t="s">
        <v>13</v>
      </c>
      <c r="D68" s="663"/>
      <c r="E68" s="663">
        <f>F68+H68+I68</f>
        <v>14440000</v>
      </c>
      <c r="F68" s="722">
        <f>F70+F71</f>
        <v>440000</v>
      </c>
      <c r="G68" s="722"/>
      <c r="H68" s="722">
        <f>H70+H71</f>
        <v>0</v>
      </c>
      <c r="I68" s="722">
        <f>I70+I71</f>
        <v>14000000</v>
      </c>
      <c r="J68" s="735">
        <f>K68+M68+N68</f>
        <v>13297763.91</v>
      </c>
      <c r="K68" s="736">
        <f>K70+K71</f>
        <v>439999.91000000003</v>
      </c>
      <c r="L68" s="737"/>
      <c r="M68" s="737"/>
      <c r="N68" s="737">
        <f>N71</f>
        <v>12857764</v>
      </c>
      <c r="O68" s="738">
        <f t="shared" si="9"/>
        <v>0.920897777700831</v>
      </c>
      <c r="P68" s="739"/>
      <c r="Q68" s="738">
        <f t="shared" si="10"/>
        <v>0.9999997954545455</v>
      </c>
      <c r="R68" s="740"/>
      <c r="S68" t="b">
        <f t="shared" si="0"/>
        <v>1</v>
      </c>
      <c r="T68"/>
      <c r="U68"/>
    </row>
    <row r="69" spans="1:21" s="648" customFormat="1" ht="21" customHeight="1" hidden="1">
      <c r="A69" s="602"/>
      <c r="B69" s="602"/>
      <c r="C69" s="680" t="s">
        <v>1232</v>
      </c>
      <c r="D69" s="678"/>
      <c r="E69" s="678">
        <f>F69+H69+I69</f>
        <v>0</v>
      </c>
      <c r="F69" s="717"/>
      <c r="G69" s="675"/>
      <c r="H69" s="675"/>
      <c r="I69" s="675"/>
      <c r="J69" s="653">
        <f>K69+M69+N69</f>
        <v>0</v>
      </c>
      <c r="K69" s="719"/>
      <c r="L69" s="684"/>
      <c r="M69" s="684"/>
      <c r="N69" s="684"/>
      <c r="O69" s="656" t="e">
        <f t="shared" si="9"/>
        <v>#DIV/0!</v>
      </c>
      <c r="P69" s="694"/>
      <c r="Q69" s="656" t="e">
        <f t="shared" si="10"/>
        <v>#DIV/0!</v>
      </c>
      <c r="R69" s="657"/>
      <c r="S69" t="b">
        <f t="shared" si="0"/>
        <v>1</v>
      </c>
      <c r="T69"/>
      <c r="U69"/>
    </row>
    <row r="70" spans="1:21" s="648" customFormat="1" ht="31.5" customHeight="1">
      <c r="A70" s="602"/>
      <c r="B70" s="602"/>
      <c r="C70" s="680" t="s">
        <v>1237</v>
      </c>
      <c r="D70" s="678"/>
      <c r="E70" s="678">
        <f>F70+H70+I70</f>
        <v>300000</v>
      </c>
      <c r="F70" s="717">
        <v>300000</v>
      </c>
      <c r="G70" s="675"/>
      <c r="H70" s="675"/>
      <c r="I70" s="675"/>
      <c r="J70" s="653">
        <f>K70+M70+N70</f>
        <v>300000</v>
      </c>
      <c r="K70" s="719">
        <v>300000</v>
      </c>
      <c r="L70" s="684"/>
      <c r="M70" s="684"/>
      <c r="N70" s="684"/>
      <c r="O70" s="656">
        <f t="shared" si="9"/>
        <v>1</v>
      </c>
      <c r="P70" s="685"/>
      <c r="Q70" s="656">
        <f t="shared" si="10"/>
        <v>1</v>
      </c>
      <c r="R70" s="657"/>
      <c r="S70" t="b">
        <f t="shared" si="0"/>
        <v>1</v>
      </c>
      <c r="T70"/>
      <c r="U70"/>
    </row>
    <row r="71" spans="1:21" s="648" customFormat="1" ht="31.5" customHeight="1">
      <c r="A71" s="695"/>
      <c r="B71" s="695"/>
      <c r="C71" s="759" t="s">
        <v>1238</v>
      </c>
      <c r="D71" s="760"/>
      <c r="E71" s="761">
        <f>F71+H71+I71</f>
        <v>14140000</v>
      </c>
      <c r="F71" s="762">
        <v>140000</v>
      </c>
      <c r="G71" s="762"/>
      <c r="H71" s="762"/>
      <c r="I71" s="762">
        <v>14000000</v>
      </c>
      <c r="J71" s="763">
        <f>K71+M71+N71</f>
        <v>12997763.91</v>
      </c>
      <c r="K71" s="764">
        <v>139999.91</v>
      </c>
      <c r="L71" s="700"/>
      <c r="M71" s="700"/>
      <c r="N71" s="700">
        <v>12857764</v>
      </c>
      <c r="O71" s="765">
        <f t="shared" si="9"/>
        <v>0.9192195127298445</v>
      </c>
      <c r="P71" s="701"/>
      <c r="Q71" s="765">
        <f t="shared" si="10"/>
        <v>0.9999993571428571</v>
      </c>
      <c r="R71" s="657"/>
      <c r="S71" t="b">
        <f t="shared" si="0"/>
        <v>1</v>
      </c>
      <c r="T71"/>
      <c r="U71"/>
    </row>
    <row r="72" spans="1:21" s="630" customFormat="1" ht="22.5" customHeight="1" thickBot="1">
      <c r="A72" s="621">
        <v>630</v>
      </c>
      <c r="B72" s="621"/>
      <c r="C72" s="766" t="s">
        <v>25</v>
      </c>
      <c r="D72" s="767"/>
      <c r="E72" s="767">
        <f>F72+H72+I72+G72</f>
        <v>528216</v>
      </c>
      <c r="F72" s="768">
        <f>F73</f>
        <v>146079</v>
      </c>
      <c r="G72" s="768">
        <f>G73</f>
        <v>382137</v>
      </c>
      <c r="H72" s="768"/>
      <c r="I72" s="768"/>
      <c r="J72" s="769">
        <f>K72+L72</f>
        <v>449928.43</v>
      </c>
      <c r="K72" s="770">
        <f>K73</f>
        <v>126447.11</v>
      </c>
      <c r="L72" s="770">
        <f>L73</f>
        <v>323481.32</v>
      </c>
      <c r="M72" s="770"/>
      <c r="N72" s="770"/>
      <c r="O72" s="771">
        <f t="shared" si="9"/>
        <v>0.8517887190088903</v>
      </c>
      <c r="P72" s="771">
        <f>K72/F72</f>
        <v>0.8656077191108921</v>
      </c>
      <c r="Q72" s="771">
        <f t="shared" si="10"/>
        <v>0.8656077191108921</v>
      </c>
      <c r="R72" s="628"/>
      <c r="S72" s="629" t="b">
        <f t="shared" si="0"/>
        <v>1</v>
      </c>
      <c r="T72" s="629"/>
      <c r="U72" s="629"/>
    </row>
    <row r="73" spans="1:21" s="780" customFormat="1" ht="21.75" customHeight="1">
      <c r="A73" s="772"/>
      <c r="B73" s="773">
        <v>63003</v>
      </c>
      <c r="C73" s="774" t="s">
        <v>26</v>
      </c>
      <c r="D73" s="775"/>
      <c r="E73" s="775">
        <f>F73+H73+I73+G73</f>
        <v>528216</v>
      </c>
      <c r="F73" s="776">
        <f>F74</f>
        <v>146079</v>
      </c>
      <c r="G73" s="776">
        <f>G74</f>
        <v>382137</v>
      </c>
      <c r="H73" s="776"/>
      <c r="I73" s="776"/>
      <c r="J73" s="777">
        <f>K73+L73</f>
        <v>449928.43</v>
      </c>
      <c r="K73" s="778">
        <f>K74</f>
        <v>126447.11</v>
      </c>
      <c r="L73" s="778">
        <f>L74</f>
        <v>323481.32</v>
      </c>
      <c r="M73" s="778"/>
      <c r="N73" s="778"/>
      <c r="O73" s="779">
        <f t="shared" si="9"/>
        <v>0.8517887190088903</v>
      </c>
      <c r="P73" s="779">
        <f>K73/F73</f>
        <v>0.8656077191108921</v>
      </c>
      <c r="Q73" s="779">
        <f t="shared" si="10"/>
        <v>0.8656077191108921</v>
      </c>
      <c r="R73" s="628"/>
      <c r="S73" s="629" t="b">
        <f t="shared" si="0"/>
        <v>1</v>
      </c>
      <c r="T73" s="629"/>
      <c r="U73" s="629"/>
    </row>
    <row r="74" spans="1:21" s="630" customFormat="1" ht="32.25" customHeight="1">
      <c r="A74" s="781"/>
      <c r="B74" s="782"/>
      <c r="C74" s="783" t="s">
        <v>1239</v>
      </c>
      <c r="D74" s="784"/>
      <c r="E74" s="784">
        <f>F74+H74+I74+G74</f>
        <v>528216</v>
      </c>
      <c r="F74" s="785">
        <v>146079</v>
      </c>
      <c r="G74" s="786">
        <v>382137</v>
      </c>
      <c r="H74" s="786"/>
      <c r="I74" s="786"/>
      <c r="J74" s="787">
        <f>K74+L74</f>
        <v>449928.43</v>
      </c>
      <c r="K74" s="788">
        <f>18620+750.91+107076.2</f>
        <v>126447.11</v>
      </c>
      <c r="L74" s="789">
        <f>2252.73+321228.59</f>
        <v>323481.32</v>
      </c>
      <c r="M74" s="789"/>
      <c r="N74" s="789"/>
      <c r="O74" s="790">
        <f t="shared" si="9"/>
        <v>0.8517887190088903</v>
      </c>
      <c r="P74" s="790">
        <f>K74/F74</f>
        <v>0.8656077191108921</v>
      </c>
      <c r="Q74" s="790">
        <f t="shared" si="10"/>
        <v>0.8656077191108921</v>
      </c>
      <c r="R74" s="791"/>
      <c r="S74" s="629" t="b">
        <f t="shared" si="0"/>
        <v>1</v>
      </c>
      <c r="T74" s="629"/>
      <c r="U74" s="629"/>
    </row>
    <row r="75" spans="1:21" s="630" customFormat="1" ht="21.75" customHeight="1" thickBot="1">
      <c r="A75" s="621">
        <v>700</v>
      </c>
      <c r="B75" s="621"/>
      <c r="C75" s="766" t="s">
        <v>165</v>
      </c>
      <c r="D75" s="767">
        <v>7371000</v>
      </c>
      <c r="E75" s="767">
        <f>F75+H75+I75</f>
        <v>7616000</v>
      </c>
      <c r="F75" s="768">
        <f>F80+F76+F78</f>
        <v>7616000</v>
      </c>
      <c r="G75" s="768"/>
      <c r="H75" s="768"/>
      <c r="I75" s="768"/>
      <c r="J75" s="769">
        <f>K75+M75+N75</f>
        <v>7293390.63</v>
      </c>
      <c r="K75" s="770">
        <f>K80+K76+K78</f>
        <v>7293390.63</v>
      </c>
      <c r="L75" s="770"/>
      <c r="M75" s="770"/>
      <c r="N75" s="770"/>
      <c r="O75" s="771">
        <f t="shared" si="9"/>
        <v>0.9576405764180672</v>
      </c>
      <c r="P75" s="771"/>
      <c r="Q75" s="771">
        <f t="shared" si="10"/>
        <v>0.9576405764180672</v>
      </c>
      <c r="R75" s="628"/>
      <c r="S75" s="629" t="b">
        <f t="shared" si="0"/>
        <v>1</v>
      </c>
      <c r="T75" s="629"/>
      <c r="U75" s="629"/>
    </row>
    <row r="76" spans="1:21" s="620" customFormat="1" ht="21.75" customHeight="1">
      <c r="A76" s="631"/>
      <c r="B76" s="612">
        <v>70001</v>
      </c>
      <c r="C76" s="635" t="s">
        <v>166</v>
      </c>
      <c r="D76" s="634">
        <v>1500000</v>
      </c>
      <c r="E76" s="634">
        <f>F76+H76+I76</f>
        <v>1745000</v>
      </c>
      <c r="F76" s="792">
        <f>F77</f>
        <v>1745000</v>
      </c>
      <c r="G76" s="792"/>
      <c r="H76" s="792"/>
      <c r="I76" s="792"/>
      <c r="J76" s="636">
        <f>K76+M76+N76</f>
        <v>1745000</v>
      </c>
      <c r="K76" s="793">
        <f>K77</f>
        <v>1745000</v>
      </c>
      <c r="L76" s="793"/>
      <c r="M76" s="793"/>
      <c r="N76" s="793"/>
      <c r="O76" s="794">
        <f t="shared" si="9"/>
        <v>1</v>
      </c>
      <c r="P76" s="794"/>
      <c r="Q76" s="794">
        <f t="shared" si="10"/>
        <v>1</v>
      </c>
      <c r="R76" s="619"/>
      <c r="S76" t="b">
        <f t="shared" si="0"/>
        <v>1</v>
      </c>
      <c r="T76"/>
      <c r="U76"/>
    </row>
    <row r="77" spans="1:21" s="648" customFormat="1" ht="20.25" customHeight="1">
      <c r="A77" s="602"/>
      <c r="B77" s="750"/>
      <c r="C77" s="751" t="s">
        <v>1240</v>
      </c>
      <c r="D77" s="752">
        <v>1500000</v>
      </c>
      <c r="E77" s="752">
        <f>F77</f>
        <v>1745000</v>
      </c>
      <c r="F77" s="753">
        <v>1745000</v>
      </c>
      <c r="G77" s="754"/>
      <c r="H77" s="754"/>
      <c r="I77" s="754"/>
      <c r="J77" s="755">
        <f>K77</f>
        <v>1745000</v>
      </c>
      <c r="K77" s="756">
        <v>1745000</v>
      </c>
      <c r="L77" s="757"/>
      <c r="M77" s="757"/>
      <c r="N77" s="757"/>
      <c r="O77" s="758">
        <f t="shared" si="9"/>
        <v>1</v>
      </c>
      <c r="P77" s="758"/>
      <c r="Q77" s="758">
        <f t="shared" si="10"/>
        <v>1</v>
      </c>
      <c r="R77" s="610"/>
      <c r="S77" t="b">
        <f aca="true" t="shared" si="13" ref="S77:S140">J77=K77+L77+N77</f>
        <v>1</v>
      </c>
      <c r="T77"/>
      <c r="U77"/>
    </row>
    <row r="78" spans="1:21" s="620" customFormat="1" ht="21.75" customHeight="1">
      <c r="A78" s="631"/>
      <c r="B78" s="721">
        <v>70021</v>
      </c>
      <c r="C78" s="664" t="s">
        <v>174</v>
      </c>
      <c r="D78" s="663">
        <v>871000</v>
      </c>
      <c r="E78" s="663">
        <f>F78+H78+I78</f>
        <v>871000</v>
      </c>
      <c r="F78" s="722">
        <f>F79</f>
        <v>871000</v>
      </c>
      <c r="G78" s="722"/>
      <c r="H78" s="722"/>
      <c r="I78" s="722"/>
      <c r="J78" s="665">
        <f>K78</f>
        <v>870600</v>
      </c>
      <c r="K78" s="723">
        <f>K79</f>
        <v>870600</v>
      </c>
      <c r="L78" s="723"/>
      <c r="M78" s="723"/>
      <c r="N78" s="723"/>
      <c r="O78" s="739">
        <f t="shared" si="9"/>
        <v>0.999540757749713</v>
      </c>
      <c r="P78" s="795"/>
      <c r="Q78" s="739">
        <f t="shared" si="10"/>
        <v>0.999540757749713</v>
      </c>
      <c r="R78" s="796"/>
      <c r="S78" t="b">
        <f t="shared" si="13"/>
        <v>1</v>
      </c>
      <c r="T78"/>
      <c r="U78"/>
    </row>
    <row r="79" spans="1:21" s="648" customFormat="1" ht="27.75" customHeight="1">
      <c r="A79" s="602"/>
      <c r="B79" s="750"/>
      <c r="C79" s="751" t="s">
        <v>1241</v>
      </c>
      <c r="D79" s="752">
        <v>871000</v>
      </c>
      <c r="E79" s="752">
        <f>F79</f>
        <v>871000</v>
      </c>
      <c r="F79" s="753">
        <f>1000000-129000</f>
        <v>871000</v>
      </c>
      <c r="G79" s="754"/>
      <c r="H79" s="754"/>
      <c r="I79" s="754"/>
      <c r="J79" s="755">
        <f>K79</f>
        <v>870600</v>
      </c>
      <c r="K79" s="756">
        <v>870600</v>
      </c>
      <c r="L79" s="757"/>
      <c r="M79" s="757"/>
      <c r="N79" s="757"/>
      <c r="O79" s="758">
        <f t="shared" si="9"/>
        <v>0.999540757749713</v>
      </c>
      <c r="P79" s="758"/>
      <c r="Q79" s="758">
        <f t="shared" si="10"/>
        <v>0.999540757749713</v>
      </c>
      <c r="R79" s="610"/>
      <c r="S79" t="b">
        <f t="shared" si="13"/>
        <v>1</v>
      </c>
      <c r="T79"/>
      <c r="U79"/>
    </row>
    <row r="80" spans="1:21" s="620" customFormat="1" ht="21" customHeight="1">
      <c r="A80" s="631"/>
      <c r="B80" s="721">
        <v>70095</v>
      </c>
      <c r="C80" s="664" t="s">
        <v>13</v>
      </c>
      <c r="D80" s="663">
        <v>5000000</v>
      </c>
      <c r="E80" s="663">
        <f>F80+H80+I80</f>
        <v>5000000</v>
      </c>
      <c r="F80" s="722">
        <f>F81</f>
        <v>5000000</v>
      </c>
      <c r="G80" s="722"/>
      <c r="H80" s="722"/>
      <c r="I80" s="722"/>
      <c r="J80" s="665">
        <f>K80+M80+N80</f>
        <v>4677790.63</v>
      </c>
      <c r="K80" s="723">
        <f>K81</f>
        <v>4677790.63</v>
      </c>
      <c r="L80" s="723"/>
      <c r="M80" s="723"/>
      <c r="N80" s="723"/>
      <c r="O80" s="724">
        <f t="shared" si="9"/>
        <v>0.935558126</v>
      </c>
      <c r="P80" s="724"/>
      <c r="Q80" s="724">
        <f t="shared" si="10"/>
        <v>0.935558126</v>
      </c>
      <c r="R80" s="619"/>
      <c r="S80" t="b">
        <f t="shared" si="13"/>
        <v>1</v>
      </c>
      <c r="T80"/>
      <c r="U80"/>
    </row>
    <row r="81" spans="1:21" s="648" customFormat="1" ht="20.25" customHeight="1">
      <c r="A81" s="695"/>
      <c r="B81" s="750"/>
      <c r="C81" s="751" t="s">
        <v>1242</v>
      </c>
      <c r="D81" s="752">
        <v>5000000</v>
      </c>
      <c r="E81" s="752">
        <f>F81</f>
        <v>5000000</v>
      </c>
      <c r="F81" s="753">
        <v>5000000</v>
      </c>
      <c r="G81" s="754"/>
      <c r="H81" s="754"/>
      <c r="I81" s="754"/>
      <c r="J81" s="755">
        <f>K81</f>
        <v>4677790.63</v>
      </c>
      <c r="K81" s="756">
        <v>4677790.63</v>
      </c>
      <c r="L81" s="757"/>
      <c r="M81" s="757"/>
      <c r="N81" s="757"/>
      <c r="O81" s="758">
        <f t="shared" si="9"/>
        <v>0.935558126</v>
      </c>
      <c r="P81" s="758"/>
      <c r="Q81" s="758">
        <f t="shared" si="10"/>
        <v>0.935558126</v>
      </c>
      <c r="R81" s="610"/>
      <c r="S81" t="b">
        <f t="shared" si="13"/>
        <v>1</v>
      </c>
      <c r="T81"/>
      <c r="U81"/>
    </row>
    <row r="82" spans="1:21" s="630" customFormat="1" ht="21" customHeight="1" thickBot="1">
      <c r="A82" s="621">
        <v>710</v>
      </c>
      <c r="B82" s="621"/>
      <c r="C82" s="766" t="s">
        <v>175</v>
      </c>
      <c r="D82" s="767">
        <v>400000</v>
      </c>
      <c r="E82" s="767">
        <f>F82+H82+I82</f>
        <v>677900</v>
      </c>
      <c r="F82" s="768">
        <f>F83</f>
        <v>677900</v>
      </c>
      <c r="G82" s="768"/>
      <c r="H82" s="768"/>
      <c r="I82" s="768"/>
      <c r="J82" s="769">
        <f>K82+M82+N82</f>
        <v>677627.17</v>
      </c>
      <c r="K82" s="770">
        <f>K83</f>
        <v>677627.17</v>
      </c>
      <c r="L82" s="770"/>
      <c r="M82" s="770"/>
      <c r="N82" s="770"/>
      <c r="O82" s="771">
        <f t="shared" si="9"/>
        <v>0.9995975365098098</v>
      </c>
      <c r="P82" s="771"/>
      <c r="Q82" s="771">
        <f t="shared" si="10"/>
        <v>0.9995975365098098</v>
      </c>
      <c r="R82" s="628"/>
      <c r="S82" s="629" t="b">
        <f t="shared" si="13"/>
        <v>1</v>
      </c>
      <c r="T82" s="629"/>
      <c r="U82" s="629"/>
    </row>
    <row r="83" spans="1:21" s="780" customFormat="1" ht="21.75" customHeight="1">
      <c r="A83" s="772"/>
      <c r="B83" s="773">
        <v>71035</v>
      </c>
      <c r="C83" s="774" t="s">
        <v>181</v>
      </c>
      <c r="D83" s="775">
        <v>400000</v>
      </c>
      <c r="E83" s="775">
        <f>F83+H83+I83</f>
        <v>677900</v>
      </c>
      <c r="F83" s="776">
        <f>SUM(F84:F84)</f>
        <v>677900</v>
      </c>
      <c r="G83" s="776"/>
      <c r="H83" s="776"/>
      <c r="I83" s="776"/>
      <c r="J83" s="777">
        <f>K83+M83+N83</f>
        <v>677627.17</v>
      </c>
      <c r="K83" s="778">
        <f>SUM(K84:K84)</f>
        <v>677627.17</v>
      </c>
      <c r="L83" s="778"/>
      <c r="M83" s="778"/>
      <c r="N83" s="778"/>
      <c r="O83" s="779">
        <f t="shared" si="9"/>
        <v>0.9995975365098098</v>
      </c>
      <c r="P83" s="779"/>
      <c r="Q83" s="779">
        <f t="shared" si="10"/>
        <v>0.9995975365098098</v>
      </c>
      <c r="R83" s="628"/>
      <c r="S83" s="629" t="b">
        <f t="shared" si="13"/>
        <v>1</v>
      </c>
      <c r="T83" s="629"/>
      <c r="U83" s="629"/>
    </row>
    <row r="84" spans="1:21" s="630" customFormat="1" ht="20.25" customHeight="1">
      <c r="A84" s="797"/>
      <c r="B84" s="798"/>
      <c r="C84" s="783" t="s">
        <v>1243</v>
      </c>
      <c r="D84" s="799">
        <v>400000</v>
      </c>
      <c r="E84" s="799">
        <f>F84+H84+I84</f>
        <v>677900</v>
      </c>
      <c r="F84" s="800">
        <v>677900</v>
      </c>
      <c r="G84" s="801"/>
      <c r="H84" s="801"/>
      <c r="I84" s="801"/>
      <c r="J84" s="802">
        <f>K84+M84+N84</f>
        <v>677627.17</v>
      </c>
      <c r="K84" s="671">
        <v>677627.17</v>
      </c>
      <c r="L84" s="672"/>
      <c r="M84" s="672"/>
      <c r="N84" s="672"/>
      <c r="O84" s="673">
        <f t="shared" si="9"/>
        <v>0.9995975365098098</v>
      </c>
      <c r="P84" s="673"/>
      <c r="Q84" s="673">
        <f t="shared" si="10"/>
        <v>0.9995975365098098</v>
      </c>
      <c r="R84" s="674"/>
      <c r="S84" s="629" t="b">
        <f t="shared" si="13"/>
        <v>1</v>
      </c>
      <c r="T84" s="629"/>
      <c r="U84" s="629"/>
    </row>
    <row r="85" spans="1:21" s="630" customFormat="1" ht="21.75" customHeight="1" thickBot="1">
      <c r="A85" s="621">
        <v>750</v>
      </c>
      <c r="B85" s="621"/>
      <c r="C85" s="766" t="s">
        <v>184</v>
      </c>
      <c r="D85" s="767">
        <v>4549000</v>
      </c>
      <c r="E85" s="767">
        <f>F85+G85+I85</f>
        <v>5573715</v>
      </c>
      <c r="F85" s="768">
        <f>F88+F86+F96</f>
        <v>4598020</v>
      </c>
      <c r="G85" s="768">
        <f>G88+G86+G96</f>
        <v>973145</v>
      </c>
      <c r="H85" s="768">
        <f>H88+H86+H96</f>
        <v>0</v>
      </c>
      <c r="I85" s="768">
        <f>I88+I86+I96</f>
        <v>2550</v>
      </c>
      <c r="J85" s="769">
        <f>K85+M85+N85+L85</f>
        <v>4823219.3</v>
      </c>
      <c r="K85" s="770">
        <f>K88+K86+K96</f>
        <v>4270547</v>
      </c>
      <c r="L85" s="770">
        <f>L88+L86+L96</f>
        <v>550528.4500000001</v>
      </c>
      <c r="M85" s="770">
        <f>M88+M86+M96</f>
        <v>0</v>
      </c>
      <c r="N85" s="770">
        <f>N88+N86+N96</f>
        <v>2143.85</v>
      </c>
      <c r="O85" s="771">
        <f t="shared" si="9"/>
        <v>0.86535090150824</v>
      </c>
      <c r="P85" s="771"/>
      <c r="Q85" s="771">
        <f t="shared" si="10"/>
        <v>0.9287795616374005</v>
      </c>
      <c r="R85" s="628"/>
      <c r="S85" s="629" t="b">
        <f t="shared" si="13"/>
        <v>1</v>
      </c>
      <c r="T85" s="629"/>
      <c r="U85" s="629"/>
    </row>
    <row r="86" spans="1:21" s="620" customFormat="1" ht="21" customHeight="1">
      <c r="A86" s="631"/>
      <c r="B86" s="612">
        <v>75022</v>
      </c>
      <c r="C86" s="633" t="s">
        <v>185</v>
      </c>
      <c r="D86" s="634"/>
      <c r="E86" s="634">
        <f>F86+G86+I86</f>
        <v>15000</v>
      </c>
      <c r="F86" s="792">
        <f>SUM(F87)</f>
        <v>15000</v>
      </c>
      <c r="G86" s="792"/>
      <c r="H86" s="792"/>
      <c r="I86" s="792"/>
      <c r="J86" s="636">
        <f>K86+M86+N86</f>
        <v>14945</v>
      </c>
      <c r="K86" s="793">
        <f>K87</f>
        <v>14945</v>
      </c>
      <c r="L86" s="793"/>
      <c r="M86" s="793"/>
      <c r="N86" s="793"/>
      <c r="O86" s="794">
        <f t="shared" si="9"/>
        <v>0.9963333333333333</v>
      </c>
      <c r="P86" s="794"/>
      <c r="Q86" s="794">
        <f t="shared" si="10"/>
        <v>0.9963333333333333</v>
      </c>
      <c r="R86" s="619"/>
      <c r="S86" t="b">
        <f t="shared" si="13"/>
        <v>1</v>
      </c>
      <c r="T86"/>
      <c r="U86"/>
    </row>
    <row r="87" spans="1:21" s="648" customFormat="1" ht="21.75" customHeight="1">
      <c r="A87" s="603"/>
      <c r="B87" s="704"/>
      <c r="C87" s="688" t="s">
        <v>1244</v>
      </c>
      <c r="D87" s="713"/>
      <c r="E87" s="713">
        <f>F87+H87+I87</f>
        <v>15000</v>
      </c>
      <c r="F87" s="714">
        <v>15000</v>
      </c>
      <c r="G87" s="688"/>
      <c r="H87" s="688"/>
      <c r="I87" s="688"/>
      <c r="J87" s="715">
        <f>K87+M87+N87</f>
        <v>14945</v>
      </c>
      <c r="K87" s="716">
        <v>14945</v>
      </c>
      <c r="L87" s="691"/>
      <c r="M87" s="691"/>
      <c r="N87" s="691"/>
      <c r="O87" s="694">
        <f t="shared" si="9"/>
        <v>0.9963333333333333</v>
      </c>
      <c r="P87" s="694"/>
      <c r="Q87" s="694">
        <f t="shared" si="10"/>
        <v>0.9963333333333333</v>
      </c>
      <c r="R87" s="610"/>
      <c r="S87" t="b">
        <f t="shared" si="13"/>
        <v>1</v>
      </c>
      <c r="T87"/>
      <c r="U87"/>
    </row>
    <row r="88" spans="1:21" s="620" customFormat="1" ht="23.25" customHeight="1">
      <c r="A88" s="631"/>
      <c r="B88" s="721">
        <v>75023</v>
      </c>
      <c r="C88" s="662" t="s">
        <v>189</v>
      </c>
      <c r="D88" s="663">
        <v>4549000</v>
      </c>
      <c r="E88" s="663">
        <f>F88+G88+I88</f>
        <v>5548515</v>
      </c>
      <c r="F88" s="722">
        <f>SUM(F89:F95)</f>
        <v>4583020</v>
      </c>
      <c r="G88" s="722">
        <f>SUM(G89:G95)</f>
        <v>965495</v>
      </c>
      <c r="H88" s="722"/>
      <c r="I88" s="722"/>
      <c r="J88" s="665">
        <f>K88+M88+N88+L88</f>
        <v>4799698.92</v>
      </c>
      <c r="K88" s="723">
        <f>SUM(K89:K95)</f>
        <v>4255602</v>
      </c>
      <c r="L88" s="723">
        <f>L91</f>
        <v>544096.92</v>
      </c>
      <c r="M88" s="723"/>
      <c r="N88" s="723"/>
      <c r="O88" s="724">
        <f t="shared" si="9"/>
        <v>0.8650420734196447</v>
      </c>
      <c r="P88" s="724"/>
      <c r="Q88" s="724">
        <f t="shared" si="10"/>
        <v>0.9285584614511828</v>
      </c>
      <c r="R88" s="619"/>
      <c r="S88" t="b">
        <f t="shared" si="13"/>
        <v>1</v>
      </c>
      <c r="T88"/>
      <c r="U88"/>
    </row>
    <row r="89" spans="1:21" s="648" customFormat="1" ht="21.75" customHeight="1">
      <c r="A89" s="603"/>
      <c r="B89" s="704"/>
      <c r="C89" s="688" t="s">
        <v>1240</v>
      </c>
      <c r="D89" s="713">
        <v>1342000</v>
      </c>
      <c r="E89" s="713">
        <f>F89+H89+I89</f>
        <v>1240000</v>
      </c>
      <c r="F89" s="714">
        <v>1240000</v>
      </c>
      <c r="G89" s="688"/>
      <c r="H89" s="688"/>
      <c r="I89" s="688"/>
      <c r="J89" s="715">
        <f>K89+M89+N89</f>
        <v>1088819.71</v>
      </c>
      <c r="K89" s="716">
        <f>778626.71+310193</f>
        <v>1088819.71</v>
      </c>
      <c r="L89" s="691"/>
      <c r="M89" s="691"/>
      <c r="N89" s="691"/>
      <c r="O89" s="694">
        <f t="shared" si="9"/>
        <v>0.8780804112903225</v>
      </c>
      <c r="P89" s="694"/>
      <c r="Q89" s="694">
        <f t="shared" si="10"/>
        <v>0.8780804112903225</v>
      </c>
      <c r="R89" s="610"/>
      <c r="S89" t="b">
        <f t="shared" si="13"/>
        <v>1</v>
      </c>
      <c r="T89"/>
      <c r="U89"/>
    </row>
    <row r="90" spans="1:21" s="648" customFormat="1" ht="21.75" customHeight="1">
      <c r="A90" s="602"/>
      <c r="B90" s="602"/>
      <c r="C90" s="688" t="s">
        <v>1245</v>
      </c>
      <c r="D90" s="713">
        <v>150000</v>
      </c>
      <c r="E90" s="713">
        <f>F90+H90+I90</f>
        <v>150000</v>
      </c>
      <c r="F90" s="714">
        <v>150000</v>
      </c>
      <c r="G90" s="688"/>
      <c r="H90" s="688"/>
      <c r="I90" s="688"/>
      <c r="J90" s="715">
        <f>K90</f>
        <v>150000</v>
      </c>
      <c r="K90" s="716">
        <v>150000</v>
      </c>
      <c r="L90" s="691"/>
      <c r="M90" s="691"/>
      <c r="N90" s="691"/>
      <c r="O90" s="694">
        <f aca="true" t="shared" si="14" ref="O90:O114">J90/E90</f>
        <v>1</v>
      </c>
      <c r="P90" s="694"/>
      <c r="Q90" s="694">
        <f t="shared" si="10"/>
        <v>1</v>
      </c>
      <c r="R90" s="610"/>
      <c r="S90" t="b">
        <f t="shared" si="13"/>
        <v>1</v>
      </c>
      <c r="T90"/>
      <c r="U90"/>
    </row>
    <row r="91" spans="1:21" s="648" customFormat="1" ht="45.75" customHeight="1">
      <c r="A91" s="602"/>
      <c r="B91" s="602"/>
      <c r="C91" s="686" t="s">
        <v>1246</v>
      </c>
      <c r="D91" s="713">
        <v>737000</v>
      </c>
      <c r="E91" s="713">
        <f>F91+G91+I91</f>
        <v>802679</v>
      </c>
      <c r="F91" s="714">
        <v>200669</v>
      </c>
      <c r="G91" s="688">
        <v>602010</v>
      </c>
      <c r="H91" s="688"/>
      <c r="I91" s="688"/>
      <c r="J91" s="715">
        <f>K91+L91</f>
        <v>733418.48</v>
      </c>
      <c r="K91" s="716">
        <f>111391.56+77930</f>
        <v>189321.56</v>
      </c>
      <c r="L91" s="691">
        <f>358247+185849.92</f>
        <v>544096.92</v>
      </c>
      <c r="M91" s="691"/>
      <c r="N91" s="691"/>
      <c r="O91" s="694">
        <f t="shared" si="14"/>
        <v>0.9137133025779919</v>
      </c>
      <c r="P91" s="694"/>
      <c r="Q91" s="694">
        <f t="shared" si="10"/>
        <v>0.9434519532164908</v>
      </c>
      <c r="R91" s="610"/>
      <c r="S91" t="b">
        <f t="shared" si="13"/>
        <v>1</v>
      </c>
      <c r="T91"/>
      <c r="U91"/>
    </row>
    <row r="92" spans="1:21" s="648" customFormat="1" ht="31.5" customHeight="1">
      <c r="A92" s="602"/>
      <c r="B92" s="602"/>
      <c r="C92" s="686" t="s">
        <v>1247</v>
      </c>
      <c r="D92" s="713">
        <v>412000</v>
      </c>
      <c r="E92" s="713">
        <f>F92+G92+I92</f>
        <v>2343026</v>
      </c>
      <c r="F92" s="714">
        <v>1979541</v>
      </c>
      <c r="G92" s="688">
        <v>363485</v>
      </c>
      <c r="H92" s="688"/>
      <c r="I92" s="688"/>
      <c r="J92" s="715">
        <f>K92+M92+N92</f>
        <v>1979541.12</v>
      </c>
      <c r="K92" s="716">
        <f>511091.12+1468450</f>
        <v>1979541.12</v>
      </c>
      <c r="L92" s="691"/>
      <c r="M92" s="691"/>
      <c r="N92" s="691"/>
      <c r="O92" s="694">
        <f t="shared" si="14"/>
        <v>0.8448651956913837</v>
      </c>
      <c r="P92" s="694"/>
      <c r="Q92" s="694">
        <f t="shared" si="10"/>
        <v>1.0000000606201136</v>
      </c>
      <c r="R92" s="610"/>
      <c r="S92" t="b">
        <f t="shared" si="13"/>
        <v>1</v>
      </c>
      <c r="T92"/>
      <c r="U92"/>
    </row>
    <row r="93" spans="1:21" s="648" customFormat="1" ht="20.25" customHeight="1">
      <c r="A93" s="602"/>
      <c r="B93" s="602"/>
      <c r="C93" s="603" t="s">
        <v>1248</v>
      </c>
      <c r="D93" s="604">
        <v>708000</v>
      </c>
      <c r="E93" s="604">
        <f>F93+H93+I93</f>
        <v>30000</v>
      </c>
      <c r="F93" s="605">
        <v>30000</v>
      </c>
      <c r="G93" s="603"/>
      <c r="H93" s="603"/>
      <c r="I93" s="603"/>
      <c r="J93" s="803">
        <f>K93+M93+N93</f>
        <v>29036</v>
      </c>
      <c r="K93" s="659">
        <v>29036</v>
      </c>
      <c r="L93" s="660"/>
      <c r="M93" s="660"/>
      <c r="N93" s="660"/>
      <c r="O93" s="609">
        <f t="shared" si="14"/>
        <v>0.9678666666666667</v>
      </c>
      <c r="P93" s="609"/>
      <c r="Q93" s="609">
        <f t="shared" si="10"/>
        <v>0.9678666666666667</v>
      </c>
      <c r="R93" s="610"/>
      <c r="S93" t="b">
        <f t="shared" si="13"/>
        <v>1</v>
      </c>
      <c r="T93"/>
      <c r="U93"/>
    </row>
    <row r="94" spans="1:21" s="648" customFormat="1" ht="32.25" customHeight="1">
      <c r="A94" s="602"/>
      <c r="B94" s="602"/>
      <c r="C94" s="680" t="s">
        <v>1249</v>
      </c>
      <c r="D94" s="678">
        <v>200000</v>
      </c>
      <c r="E94" s="678">
        <f>F94</f>
        <v>14030</v>
      </c>
      <c r="F94" s="717">
        <v>14030</v>
      </c>
      <c r="G94" s="675"/>
      <c r="H94" s="675"/>
      <c r="I94" s="675"/>
      <c r="J94" s="718">
        <f>K94</f>
        <v>14030</v>
      </c>
      <c r="K94" s="719">
        <v>14030</v>
      </c>
      <c r="L94" s="684"/>
      <c r="M94" s="684"/>
      <c r="N94" s="684"/>
      <c r="O94" s="685">
        <f t="shared" si="14"/>
        <v>1</v>
      </c>
      <c r="P94" s="685"/>
      <c r="Q94" s="685">
        <f t="shared" si="10"/>
        <v>1</v>
      </c>
      <c r="R94" s="610"/>
      <c r="S94" t="b">
        <f t="shared" si="13"/>
        <v>1</v>
      </c>
      <c r="T94"/>
      <c r="U94"/>
    </row>
    <row r="95" spans="1:21" s="648" customFormat="1" ht="19.5" customHeight="1">
      <c r="A95" s="602"/>
      <c r="B95" s="695"/>
      <c r="C95" s="804" t="s">
        <v>1244</v>
      </c>
      <c r="D95" s="760">
        <v>1000000</v>
      </c>
      <c r="E95" s="760">
        <f>F95+H95+I95</f>
        <v>968780</v>
      </c>
      <c r="F95" s="762">
        <v>968780</v>
      </c>
      <c r="G95" s="804"/>
      <c r="H95" s="804"/>
      <c r="I95" s="804"/>
      <c r="J95" s="805">
        <f>K95+M95+N95</f>
        <v>804853.61</v>
      </c>
      <c r="K95" s="806">
        <v>804853.61</v>
      </c>
      <c r="L95" s="807"/>
      <c r="M95" s="807"/>
      <c r="N95" s="807"/>
      <c r="O95" s="808">
        <f t="shared" si="14"/>
        <v>0.8307909019591652</v>
      </c>
      <c r="P95" s="808"/>
      <c r="Q95" s="808">
        <f t="shared" si="10"/>
        <v>0.8307909019591652</v>
      </c>
      <c r="R95" s="610"/>
      <c r="S95" t="b">
        <f t="shared" si="13"/>
        <v>1</v>
      </c>
      <c r="T95"/>
      <c r="U95"/>
    </row>
    <row r="96" spans="1:21" s="620" customFormat="1" ht="23.25" customHeight="1">
      <c r="A96" s="631"/>
      <c r="B96" s="721">
        <v>75075</v>
      </c>
      <c r="C96" s="662" t="s">
        <v>195</v>
      </c>
      <c r="D96" s="663"/>
      <c r="E96" s="663">
        <f>F96+G96+I96</f>
        <v>10200</v>
      </c>
      <c r="F96" s="722"/>
      <c r="G96" s="722">
        <f>SUM(G97)</f>
        <v>7650</v>
      </c>
      <c r="H96" s="722">
        <f>SUM(H97)</f>
        <v>0</v>
      </c>
      <c r="I96" s="722">
        <f>SUM(I97)</f>
        <v>2550</v>
      </c>
      <c r="J96" s="665">
        <f>K96+M96+N96+L96</f>
        <v>8575.38</v>
      </c>
      <c r="K96" s="723"/>
      <c r="L96" s="723">
        <f>L97</f>
        <v>6431.53</v>
      </c>
      <c r="M96" s="723"/>
      <c r="N96" s="723">
        <f>N97</f>
        <v>2143.85</v>
      </c>
      <c r="O96" s="724">
        <f t="shared" si="14"/>
        <v>0.8407235294117646</v>
      </c>
      <c r="P96" s="724"/>
      <c r="Q96" s="724"/>
      <c r="R96" s="619"/>
      <c r="S96" t="b">
        <f t="shared" si="13"/>
        <v>1</v>
      </c>
      <c r="T96"/>
      <c r="U96"/>
    </row>
    <row r="97" spans="1:21" s="648" customFormat="1" ht="30.75" customHeight="1">
      <c r="A97" s="603"/>
      <c r="B97" s="704"/>
      <c r="C97" s="686" t="s">
        <v>1250</v>
      </c>
      <c r="D97" s="713"/>
      <c r="E97" s="713">
        <f>F97+H97+I97+G97</f>
        <v>10200</v>
      </c>
      <c r="F97" s="714"/>
      <c r="G97" s="688">
        <v>7650</v>
      </c>
      <c r="H97" s="688"/>
      <c r="I97" s="688">
        <v>2550</v>
      </c>
      <c r="J97" s="715">
        <f>K97+M97+N97+L97</f>
        <v>8575.38</v>
      </c>
      <c r="K97" s="716"/>
      <c r="L97" s="691">
        <v>6431.53</v>
      </c>
      <c r="M97" s="691"/>
      <c r="N97" s="691">
        <v>2143.85</v>
      </c>
      <c r="O97" s="694">
        <f t="shared" si="14"/>
        <v>0.8407235294117646</v>
      </c>
      <c r="P97" s="694"/>
      <c r="Q97" s="694"/>
      <c r="R97" s="610"/>
      <c r="S97" t="b">
        <f t="shared" si="13"/>
        <v>1</v>
      </c>
      <c r="T97"/>
      <c r="U97"/>
    </row>
    <row r="98" spans="1:21" s="630" customFormat="1" ht="31.5" customHeight="1" thickBot="1">
      <c r="A98" s="809">
        <v>754</v>
      </c>
      <c r="B98" s="621"/>
      <c r="C98" s="810" t="s">
        <v>200</v>
      </c>
      <c r="D98" s="767">
        <v>850000</v>
      </c>
      <c r="E98" s="767">
        <f>E103+E111+E107+E99+E101+E109+E105</f>
        <v>1336514</v>
      </c>
      <c r="F98" s="768">
        <f>F103+F111+F107+F99+F101+F105+F109</f>
        <v>1336514</v>
      </c>
      <c r="G98" s="768"/>
      <c r="H98" s="768"/>
      <c r="I98" s="768"/>
      <c r="J98" s="769">
        <f>K98+L98+N98</f>
        <v>852115.5800000001</v>
      </c>
      <c r="K98" s="770">
        <f>K103+K111+K107+K99+K101+K105+K109</f>
        <v>852115.5800000001</v>
      </c>
      <c r="L98" s="770"/>
      <c r="M98" s="770"/>
      <c r="N98" s="770"/>
      <c r="O98" s="771">
        <f t="shared" si="14"/>
        <v>0.6375657718512489</v>
      </c>
      <c r="P98" s="771"/>
      <c r="Q98" s="771">
        <f aca="true" t="shared" si="15" ref="Q98:Q114">K98/F98</f>
        <v>0.6375657718512489</v>
      </c>
      <c r="R98" s="628"/>
      <c r="S98" s="629" t="b">
        <f t="shared" si="13"/>
        <v>1</v>
      </c>
      <c r="T98" s="629"/>
      <c r="U98" s="629"/>
    </row>
    <row r="99" spans="1:21" s="620" customFormat="1" ht="20.25" customHeight="1" hidden="1">
      <c r="A99" s="631"/>
      <c r="B99" s="632">
        <v>75405</v>
      </c>
      <c r="C99" s="633" t="s">
        <v>204</v>
      </c>
      <c r="D99" s="634">
        <v>0</v>
      </c>
      <c r="E99" s="634">
        <f aca="true" t="shared" si="16" ref="E99:E112">F99+H99+I99</f>
        <v>0</v>
      </c>
      <c r="F99" s="792">
        <f>F100</f>
        <v>0</v>
      </c>
      <c r="G99" s="792"/>
      <c r="H99" s="792"/>
      <c r="I99" s="792"/>
      <c r="J99" s="636">
        <f>K99+M99+N99</f>
        <v>0</v>
      </c>
      <c r="K99" s="793">
        <f>K100</f>
        <v>0</v>
      </c>
      <c r="L99" s="793"/>
      <c r="M99" s="793"/>
      <c r="N99" s="793"/>
      <c r="O99" s="794" t="e">
        <f t="shared" si="14"/>
        <v>#DIV/0!</v>
      </c>
      <c r="P99" s="794"/>
      <c r="Q99" s="794" t="e">
        <f t="shared" si="15"/>
        <v>#DIV/0!</v>
      </c>
      <c r="R99" s="619"/>
      <c r="S99" t="b">
        <f t="shared" si="13"/>
        <v>1</v>
      </c>
      <c r="T99"/>
      <c r="U99"/>
    </row>
    <row r="100" spans="1:21" s="648" customFormat="1" ht="24" customHeight="1" hidden="1">
      <c r="A100" s="602"/>
      <c r="B100" s="811"/>
      <c r="C100" s="751" t="s">
        <v>1251</v>
      </c>
      <c r="D100" s="752">
        <v>0</v>
      </c>
      <c r="E100" s="752">
        <f t="shared" si="16"/>
        <v>0</v>
      </c>
      <c r="F100" s="753"/>
      <c r="G100" s="754"/>
      <c r="H100" s="754"/>
      <c r="I100" s="754"/>
      <c r="J100" s="755">
        <f>K100+M100+N100</f>
        <v>0</v>
      </c>
      <c r="K100" s="756"/>
      <c r="L100" s="757"/>
      <c r="M100" s="757"/>
      <c r="N100" s="757"/>
      <c r="O100" s="758" t="e">
        <f t="shared" si="14"/>
        <v>#DIV/0!</v>
      </c>
      <c r="P100" s="758"/>
      <c r="Q100" s="758" t="e">
        <f t="shared" si="15"/>
        <v>#DIV/0!</v>
      </c>
      <c r="R100" s="610"/>
      <c r="S100" t="b">
        <f t="shared" si="13"/>
        <v>1</v>
      </c>
      <c r="T100"/>
      <c r="U100"/>
    </row>
    <row r="101" spans="1:21" s="620" customFormat="1" ht="21.75" customHeight="1">
      <c r="A101" s="631"/>
      <c r="B101" s="632">
        <v>75404</v>
      </c>
      <c r="C101" s="633" t="s">
        <v>201</v>
      </c>
      <c r="D101" s="634"/>
      <c r="E101" s="634">
        <f t="shared" si="16"/>
        <v>30000</v>
      </c>
      <c r="F101" s="792">
        <f>F102</f>
        <v>30000</v>
      </c>
      <c r="G101" s="792"/>
      <c r="H101" s="792"/>
      <c r="I101" s="792"/>
      <c r="J101" s="636">
        <f>K101</f>
        <v>30000</v>
      </c>
      <c r="K101" s="793">
        <f>K102</f>
        <v>30000</v>
      </c>
      <c r="L101" s="793"/>
      <c r="M101" s="793"/>
      <c r="N101" s="793"/>
      <c r="O101" s="794">
        <f t="shared" si="14"/>
        <v>1</v>
      </c>
      <c r="P101" s="794"/>
      <c r="Q101" s="794">
        <f t="shared" si="15"/>
        <v>1</v>
      </c>
      <c r="R101" s="619"/>
      <c r="S101" t="b">
        <f t="shared" si="13"/>
        <v>1</v>
      </c>
      <c r="T101"/>
      <c r="U101"/>
    </row>
    <row r="102" spans="1:21" s="648" customFormat="1" ht="24" customHeight="1">
      <c r="A102" s="695"/>
      <c r="B102" s="750"/>
      <c r="C102" s="751" t="s">
        <v>1252</v>
      </c>
      <c r="D102" s="752"/>
      <c r="E102" s="752">
        <f t="shared" si="16"/>
        <v>30000</v>
      </c>
      <c r="F102" s="753">
        <v>30000</v>
      </c>
      <c r="G102" s="754"/>
      <c r="H102" s="754"/>
      <c r="I102" s="754"/>
      <c r="J102" s="755">
        <f>K102</f>
        <v>30000</v>
      </c>
      <c r="K102" s="756">
        <v>30000</v>
      </c>
      <c r="L102" s="757"/>
      <c r="M102" s="757"/>
      <c r="N102" s="757"/>
      <c r="O102" s="808">
        <f t="shared" si="14"/>
        <v>1</v>
      </c>
      <c r="P102" s="808"/>
      <c r="Q102" s="808">
        <f t="shared" si="15"/>
        <v>1</v>
      </c>
      <c r="R102" s="610"/>
      <c r="S102" t="b">
        <f t="shared" si="13"/>
        <v>1</v>
      </c>
      <c r="T102"/>
      <c r="U102"/>
    </row>
    <row r="103" spans="1:21" s="620" customFormat="1" ht="24" customHeight="1">
      <c r="A103" s="812"/>
      <c r="B103" s="661">
        <v>75411</v>
      </c>
      <c r="C103" s="662" t="s">
        <v>205</v>
      </c>
      <c r="D103" s="663">
        <v>50000</v>
      </c>
      <c r="E103" s="663">
        <f t="shared" si="16"/>
        <v>350000</v>
      </c>
      <c r="F103" s="722">
        <f>F104</f>
        <v>350000</v>
      </c>
      <c r="G103" s="722"/>
      <c r="H103" s="722"/>
      <c r="I103" s="722"/>
      <c r="J103" s="665">
        <f>K103</f>
        <v>350000</v>
      </c>
      <c r="K103" s="723">
        <f>K104</f>
        <v>350000</v>
      </c>
      <c r="L103" s="723"/>
      <c r="M103" s="723"/>
      <c r="N103" s="723"/>
      <c r="O103" s="724">
        <f t="shared" si="14"/>
        <v>1</v>
      </c>
      <c r="P103" s="724"/>
      <c r="Q103" s="724">
        <f t="shared" si="15"/>
        <v>1</v>
      </c>
      <c r="R103" s="619"/>
      <c r="S103" t="b">
        <f t="shared" si="13"/>
        <v>1</v>
      </c>
      <c r="T103"/>
      <c r="U103"/>
    </row>
    <row r="104" spans="1:21" s="648" customFormat="1" ht="21" customHeight="1">
      <c r="A104" s="602"/>
      <c r="B104" s="750"/>
      <c r="C104" s="751" t="s">
        <v>1244</v>
      </c>
      <c r="D104" s="752">
        <v>50000</v>
      </c>
      <c r="E104" s="752">
        <f t="shared" si="16"/>
        <v>350000</v>
      </c>
      <c r="F104" s="753">
        <v>350000</v>
      </c>
      <c r="G104" s="754"/>
      <c r="H104" s="754"/>
      <c r="I104" s="754"/>
      <c r="J104" s="755">
        <f>K104</f>
        <v>350000</v>
      </c>
      <c r="K104" s="756">
        <v>350000</v>
      </c>
      <c r="L104" s="757"/>
      <c r="M104" s="757"/>
      <c r="N104" s="757"/>
      <c r="O104" s="808">
        <f t="shared" si="14"/>
        <v>1</v>
      </c>
      <c r="P104" s="808"/>
      <c r="Q104" s="808">
        <f t="shared" si="15"/>
        <v>1</v>
      </c>
      <c r="R104" s="610"/>
      <c r="S104" t="b">
        <f t="shared" si="13"/>
        <v>1</v>
      </c>
      <c r="T104"/>
      <c r="U104"/>
    </row>
    <row r="105" spans="1:21" s="620" customFormat="1" ht="20.25" customHeight="1">
      <c r="A105" s="631"/>
      <c r="B105" s="632">
        <v>75412</v>
      </c>
      <c r="C105" s="633" t="s">
        <v>208</v>
      </c>
      <c r="D105" s="634"/>
      <c r="E105" s="634">
        <f t="shared" si="16"/>
        <v>6100</v>
      </c>
      <c r="F105" s="792">
        <f>F106</f>
        <v>6100</v>
      </c>
      <c r="G105" s="792"/>
      <c r="H105" s="792"/>
      <c r="I105" s="792"/>
      <c r="J105" s="636">
        <f aca="true" t="shared" si="17" ref="J105:J111">K105+M105+N105</f>
        <v>6100</v>
      </c>
      <c r="K105" s="793">
        <f>K106</f>
        <v>6100</v>
      </c>
      <c r="L105" s="793"/>
      <c r="M105" s="793"/>
      <c r="N105" s="793"/>
      <c r="O105" s="794">
        <f t="shared" si="14"/>
        <v>1</v>
      </c>
      <c r="P105" s="794"/>
      <c r="Q105" s="794">
        <f t="shared" si="15"/>
        <v>1</v>
      </c>
      <c r="R105" s="619"/>
      <c r="S105" t="b">
        <f t="shared" si="13"/>
        <v>1</v>
      </c>
      <c r="T105"/>
      <c r="U105"/>
    </row>
    <row r="106" spans="1:21" s="648" customFormat="1" ht="21" customHeight="1">
      <c r="A106" s="602"/>
      <c r="B106" s="695"/>
      <c r="C106" s="759" t="s">
        <v>1244</v>
      </c>
      <c r="D106" s="760"/>
      <c r="E106" s="760">
        <f t="shared" si="16"/>
        <v>6100</v>
      </c>
      <c r="F106" s="762">
        <v>6100</v>
      </c>
      <c r="G106" s="804"/>
      <c r="H106" s="804"/>
      <c r="I106" s="804"/>
      <c r="J106" s="805">
        <f t="shared" si="17"/>
        <v>6100</v>
      </c>
      <c r="K106" s="806">
        <v>6100</v>
      </c>
      <c r="L106" s="807"/>
      <c r="M106" s="807"/>
      <c r="N106" s="807"/>
      <c r="O106" s="808">
        <f t="shared" si="14"/>
        <v>1</v>
      </c>
      <c r="P106" s="808"/>
      <c r="Q106" s="808">
        <f t="shared" si="15"/>
        <v>1</v>
      </c>
      <c r="R106" s="610"/>
      <c r="S106" t="b">
        <f t="shared" si="13"/>
        <v>1</v>
      </c>
      <c r="T106"/>
      <c r="U106"/>
    </row>
    <row r="107" spans="1:21" s="620" customFormat="1" ht="20.25" customHeight="1">
      <c r="A107" s="631"/>
      <c r="B107" s="632">
        <v>75416</v>
      </c>
      <c r="C107" s="633" t="s">
        <v>210</v>
      </c>
      <c r="D107" s="634">
        <v>100000</v>
      </c>
      <c r="E107" s="634">
        <f t="shared" si="16"/>
        <v>101914</v>
      </c>
      <c r="F107" s="792">
        <f>F108</f>
        <v>101914</v>
      </c>
      <c r="G107" s="792"/>
      <c r="H107" s="792"/>
      <c r="I107" s="792"/>
      <c r="J107" s="636">
        <f t="shared" si="17"/>
        <v>101914</v>
      </c>
      <c r="K107" s="793">
        <f>K108</f>
        <v>101914</v>
      </c>
      <c r="L107" s="793"/>
      <c r="M107" s="793"/>
      <c r="N107" s="793"/>
      <c r="O107" s="794">
        <f t="shared" si="14"/>
        <v>1</v>
      </c>
      <c r="P107" s="794"/>
      <c r="Q107" s="794">
        <f t="shared" si="15"/>
        <v>1</v>
      </c>
      <c r="R107" s="619"/>
      <c r="S107" t="b">
        <f t="shared" si="13"/>
        <v>1</v>
      </c>
      <c r="T107"/>
      <c r="U107"/>
    </row>
    <row r="108" spans="1:21" s="648" customFormat="1" ht="21" customHeight="1">
      <c r="A108" s="602"/>
      <c r="B108" s="695"/>
      <c r="C108" s="759" t="s">
        <v>1244</v>
      </c>
      <c r="D108" s="760">
        <v>100000</v>
      </c>
      <c r="E108" s="760">
        <f t="shared" si="16"/>
        <v>101914</v>
      </c>
      <c r="F108" s="762">
        <v>101914</v>
      </c>
      <c r="G108" s="804"/>
      <c r="H108" s="804"/>
      <c r="I108" s="804"/>
      <c r="J108" s="805">
        <f t="shared" si="17"/>
        <v>101914</v>
      </c>
      <c r="K108" s="806">
        <v>101914</v>
      </c>
      <c r="L108" s="807"/>
      <c r="M108" s="807"/>
      <c r="N108" s="807"/>
      <c r="O108" s="808">
        <f t="shared" si="14"/>
        <v>1</v>
      </c>
      <c r="P108" s="808"/>
      <c r="Q108" s="808">
        <f t="shared" si="15"/>
        <v>1</v>
      </c>
      <c r="R108" s="610"/>
      <c r="S108" t="b">
        <f t="shared" si="13"/>
        <v>1</v>
      </c>
      <c r="T108"/>
      <c r="U108"/>
    </row>
    <row r="109" spans="1:21" s="620" customFormat="1" ht="20.25" customHeight="1">
      <c r="A109" s="631"/>
      <c r="B109" s="632">
        <v>75478</v>
      </c>
      <c r="C109" s="633" t="s">
        <v>211</v>
      </c>
      <c r="D109" s="634"/>
      <c r="E109" s="634">
        <f t="shared" si="16"/>
        <v>10500</v>
      </c>
      <c r="F109" s="792">
        <f>F110</f>
        <v>10500</v>
      </c>
      <c r="G109" s="792"/>
      <c r="H109" s="792"/>
      <c r="I109" s="792"/>
      <c r="J109" s="636">
        <f t="shared" si="17"/>
        <v>10410</v>
      </c>
      <c r="K109" s="793">
        <f>K110</f>
        <v>10410</v>
      </c>
      <c r="L109" s="793"/>
      <c r="M109" s="793"/>
      <c r="N109" s="793"/>
      <c r="O109" s="794">
        <f t="shared" si="14"/>
        <v>0.9914285714285714</v>
      </c>
      <c r="P109" s="794"/>
      <c r="Q109" s="794">
        <f t="shared" si="15"/>
        <v>0.9914285714285714</v>
      </c>
      <c r="R109" s="619"/>
      <c r="S109" t="b">
        <f t="shared" si="13"/>
        <v>1</v>
      </c>
      <c r="T109"/>
      <c r="U109"/>
    </row>
    <row r="110" spans="1:21" s="648" customFormat="1" ht="21" customHeight="1">
      <c r="A110" s="602"/>
      <c r="B110" s="695"/>
      <c r="C110" s="759" t="s">
        <v>1244</v>
      </c>
      <c r="D110" s="760"/>
      <c r="E110" s="760">
        <f t="shared" si="16"/>
        <v>10500</v>
      </c>
      <c r="F110" s="762">
        <v>10500</v>
      </c>
      <c r="G110" s="804"/>
      <c r="H110" s="804"/>
      <c r="I110" s="804"/>
      <c r="J110" s="805">
        <f t="shared" si="17"/>
        <v>10410</v>
      </c>
      <c r="K110" s="806">
        <v>10410</v>
      </c>
      <c r="L110" s="807"/>
      <c r="M110" s="807"/>
      <c r="N110" s="807"/>
      <c r="O110" s="808">
        <f t="shared" si="14"/>
        <v>0.9914285714285714</v>
      </c>
      <c r="P110" s="808"/>
      <c r="Q110" s="808">
        <f t="shared" si="15"/>
        <v>0.9914285714285714</v>
      </c>
      <c r="R110" s="610"/>
      <c r="S110" t="b">
        <f t="shared" si="13"/>
        <v>1</v>
      </c>
      <c r="T110"/>
      <c r="U110"/>
    </row>
    <row r="111" spans="1:21" s="620" customFormat="1" ht="21" customHeight="1">
      <c r="A111" s="631"/>
      <c r="B111" s="632">
        <v>75495</v>
      </c>
      <c r="C111" s="633" t="s">
        <v>13</v>
      </c>
      <c r="D111" s="634">
        <v>700000</v>
      </c>
      <c r="E111" s="634">
        <f t="shared" si="16"/>
        <v>838000</v>
      </c>
      <c r="F111" s="792">
        <f>F114+F112+F113</f>
        <v>838000</v>
      </c>
      <c r="G111" s="792"/>
      <c r="H111" s="792"/>
      <c r="I111" s="792"/>
      <c r="J111" s="636">
        <f t="shared" si="17"/>
        <v>353691.58</v>
      </c>
      <c r="K111" s="793">
        <f>K114+K112+K113</f>
        <v>353691.58</v>
      </c>
      <c r="L111" s="793"/>
      <c r="M111" s="793"/>
      <c r="N111" s="793"/>
      <c r="O111" s="794">
        <f t="shared" si="14"/>
        <v>0.42206632458233895</v>
      </c>
      <c r="P111" s="794"/>
      <c r="Q111" s="794">
        <f t="shared" si="15"/>
        <v>0.42206632458233895</v>
      </c>
      <c r="R111" s="619"/>
      <c r="S111" t="b">
        <f t="shared" si="13"/>
        <v>1</v>
      </c>
      <c r="T111"/>
      <c r="U111"/>
    </row>
    <row r="112" spans="1:21" s="822" customFormat="1" ht="29.25" customHeight="1">
      <c r="A112" s="813"/>
      <c r="B112" s="814"/>
      <c r="C112" s="815" t="s">
        <v>1253</v>
      </c>
      <c r="D112" s="816"/>
      <c r="E112" s="816">
        <f t="shared" si="16"/>
        <v>150000</v>
      </c>
      <c r="F112" s="817">
        <v>150000</v>
      </c>
      <c r="G112" s="817"/>
      <c r="H112" s="817"/>
      <c r="I112" s="817"/>
      <c r="J112" s="818">
        <f>K112</f>
        <v>149439.63</v>
      </c>
      <c r="K112" s="819">
        <v>149439.63</v>
      </c>
      <c r="L112" s="819"/>
      <c r="M112" s="819"/>
      <c r="N112" s="819"/>
      <c r="O112" s="820">
        <f t="shared" si="14"/>
        <v>0.9962642</v>
      </c>
      <c r="P112" s="821"/>
      <c r="Q112" s="609">
        <f t="shared" si="15"/>
        <v>0.9962642</v>
      </c>
      <c r="R112" s="610"/>
      <c r="S112" t="b">
        <f t="shared" si="13"/>
        <v>1</v>
      </c>
      <c r="T112" s="109"/>
      <c r="U112" s="109"/>
    </row>
    <row r="113" spans="1:21" s="822" customFormat="1" ht="29.25" customHeight="1">
      <c r="A113" s="813"/>
      <c r="B113" s="823"/>
      <c r="C113" s="824" t="s">
        <v>1254</v>
      </c>
      <c r="D113" s="825"/>
      <c r="E113" s="825">
        <f>F113+G113+I113</f>
        <v>11000</v>
      </c>
      <c r="F113" s="826">
        <v>11000</v>
      </c>
      <c r="G113" s="826"/>
      <c r="H113" s="826"/>
      <c r="I113" s="826"/>
      <c r="J113" s="827">
        <f>K113</f>
        <v>10993.46</v>
      </c>
      <c r="K113" s="828">
        <v>10993.46</v>
      </c>
      <c r="L113" s="828"/>
      <c r="M113" s="828"/>
      <c r="N113" s="828"/>
      <c r="O113" s="829">
        <f t="shared" si="14"/>
        <v>0.9994054545454545</v>
      </c>
      <c r="P113" s="830"/>
      <c r="Q113" s="685">
        <f t="shared" si="15"/>
        <v>0.9994054545454545</v>
      </c>
      <c r="R113" s="610"/>
      <c r="S113" t="b">
        <f t="shared" si="13"/>
        <v>1</v>
      </c>
      <c r="T113" s="109"/>
      <c r="U113" s="109"/>
    </row>
    <row r="114" spans="1:21" s="648" customFormat="1" ht="18.75" customHeight="1">
      <c r="A114" s="695"/>
      <c r="B114" s="695"/>
      <c r="C114" s="759" t="s">
        <v>213</v>
      </c>
      <c r="D114" s="760">
        <v>700000</v>
      </c>
      <c r="E114" s="760">
        <f>F114+H114+I114</f>
        <v>677000</v>
      </c>
      <c r="F114" s="762">
        <v>677000</v>
      </c>
      <c r="G114" s="804"/>
      <c r="H114" s="804"/>
      <c r="I114" s="804"/>
      <c r="J114" s="805">
        <f>K114+M114+N114</f>
        <v>193258.49</v>
      </c>
      <c r="K114" s="806">
        <v>193258.49</v>
      </c>
      <c r="L114" s="807"/>
      <c r="M114" s="807"/>
      <c r="N114" s="807"/>
      <c r="O114" s="808">
        <f t="shared" si="14"/>
        <v>0.28546305760709006</v>
      </c>
      <c r="P114" s="808"/>
      <c r="Q114" s="808">
        <f t="shared" si="15"/>
        <v>0.28546305760709006</v>
      </c>
      <c r="R114" s="610"/>
      <c r="S114" t="b">
        <f t="shared" si="13"/>
        <v>1</v>
      </c>
      <c r="T114"/>
      <c r="U114"/>
    </row>
    <row r="115" spans="1:21" s="630" customFormat="1" ht="21" customHeight="1" thickBot="1">
      <c r="A115" s="809">
        <v>758</v>
      </c>
      <c r="B115" s="621"/>
      <c r="C115" s="810" t="s">
        <v>225</v>
      </c>
      <c r="D115" s="767">
        <v>4400000</v>
      </c>
      <c r="E115" s="767">
        <f>E116</f>
        <v>1535253</v>
      </c>
      <c r="F115" s="768">
        <f>F116</f>
        <v>1535253</v>
      </c>
      <c r="G115" s="768"/>
      <c r="H115" s="768"/>
      <c r="I115" s="768"/>
      <c r="J115" s="769"/>
      <c r="K115" s="770"/>
      <c r="L115" s="770"/>
      <c r="M115" s="770"/>
      <c r="N115" s="770"/>
      <c r="O115" s="771"/>
      <c r="P115" s="771"/>
      <c r="Q115" s="771"/>
      <c r="R115" s="628"/>
      <c r="S115" s="629" t="b">
        <f t="shared" si="13"/>
        <v>1</v>
      </c>
      <c r="T115" s="629"/>
      <c r="U115" s="629"/>
    </row>
    <row r="116" spans="1:21" s="780" customFormat="1" ht="21" customHeight="1">
      <c r="A116" s="772"/>
      <c r="B116" s="831">
        <v>75818</v>
      </c>
      <c r="C116" s="832" t="s">
        <v>228</v>
      </c>
      <c r="D116" s="775">
        <v>4400000</v>
      </c>
      <c r="E116" s="775">
        <f>F116+H116+I116</f>
        <v>1535253</v>
      </c>
      <c r="F116" s="776">
        <f>F117</f>
        <v>1535253</v>
      </c>
      <c r="G116" s="776"/>
      <c r="H116" s="776"/>
      <c r="I116" s="776"/>
      <c r="J116" s="777"/>
      <c r="K116" s="778"/>
      <c r="L116" s="778"/>
      <c r="M116" s="778"/>
      <c r="N116" s="778"/>
      <c r="O116" s="779"/>
      <c r="P116" s="779"/>
      <c r="Q116" s="779"/>
      <c r="R116" s="628"/>
      <c r="S116" s="629" t="b">
        <f t="shared" si="13"/>
        <v>1</v>
      </c>
      <c r="T116" s="629"/>
      <c r="U116" s="629"/>
    </row>
    <row r="117" spans="1:21" s="630" customFormat="1" ht="27.75" customHeight="1">
      <c r="A117" s="781"/>
      <c r="B117" s="833"/>
      <c r="C117" s="783" t="s">
        <v>231</v>
      </c>
      <c r="D117" s="784">
        <v>4400000</v>
      </c>
      <c r="E117" s="784">
        <f>F117+H117+I117</f>
        <v>1535253</v>
      </c>
      <c r="F117" s="785">
        <v>1535253</v>
      </c>
      <c r="G117" s="786"/>
      <c r="H117" s="786"/>
      <c r="I117" s="786"/>
      <c r="J117" s="787"/>
      <c r="K117" s="788"/>
      <c r="L117" s="789"/>
      <c r="M117" s="789"/>
      <c r="N117" s="789"/>
      <c r="O117" s="834"/>
      <c r="P117" s="834"/>
      <c r="Q117" s="834"/>
      <c r="R117" s="674"/>
      <c r="S117" s="629" t="b">
        <f t="shared" si="13"/>
        <v>1</v>
      </c>
      <c r="T117" s="629"/>
      <c r="U117" s="629"/>
    </row>
    <row r="118" spans="1:21" s="630" customFormat="1" ht="19.5" customHeight="1" thickBot="1">
      <c r="A118" s="809">
        <v>801</v>
      </c>
      <c r="B118" s="621"/>
      <c r="C118" s="810" t="s">
        <v>42</v>
      </c>
      <c r="D118" s="835">
        <v>29997035</v>
      </c>
      <c r="E118" s="835">
        <f>F118+H118+I118+G118</f>
        <v>29223209</v>
      </c>
      <c r="F118" s="768">
        <f>F119+F131+F136+F139+F127+F146+F144</f>
        <v>28123218</v>
      </c>
      <c r="G118" s="768"/>
      <c r="H118" s="768">
        <f>H119+H131+H136+H139+H127</f>
        <v>0</v>
      </c>
      <c r="I118" s="768">
        <f>I119+I139+I136</f>
        <v>1099991</v>
      </c>
      <c r="J118" s="836">
        <f>K118+M118+N118+L118</f>
        <v>29137906.609999996</v>
      </c>
      <c r="K118" s="770">
        <f>K119+K131+K136+K139+K127+K146+K144</f>
        <v>28037916.179999996</v>
      </c>
      <c r="L118" s="770"/>
      <c r="M118" s="770">
        <f>M119+M131+M136+M139+M127</f>
        <v>0</v>
      </c>
      <c r="N118" s="770">
        <f>N119+N139+N136</f>
        <v>1099990.43</v>
      </c>
      <c r="O118" s="771">
        <f aca="true" t="shared" si="18" ref="O118:O134">J118/E118</f>
        <v>0.9970810053748715</v>
      </c>
      <c r="P118" s="771"/>
      <c r="Q118" s="771">
        <f aca="true" t="shared" si="19" ref="Q118:Q134">K118/F118</f>
        <v>0.9969668542198832</v>
      </c>
      <c r="R118" s="628"/>
      <c r="S118" s="629" t="b">
        <f t="shared" si="13"/>
        <v>1</v>
      </c>
      <c r="T118" s="629"/>
      <c r="U118" s="629"/>
    </row>
    <row r="119" spans="1:21" s="620" customFormat="1" ht="19.5" customHeight="1">
      <c r="A119" s="631"/>
      <c r="B119" s="632">
        <v>80101</v>
      </c>
      <c r="C119" s="633" t="s">
        <v>43</v>
      </c>
      <c r="D119" s="634">
        <v>13594130</v>
      </c>
      <c r="E119" s="634">
        <f>F119+H119+I119+G119</f>
        <v>15614678</v>
      </c>
      <c r="F119" s="792">
        <f>SUM(F120:F126)</f>
        <v>14714687</v>
      </c>
      <c r="G119" s="792"/>
      <c r="H119" s="792">
        <f>SUM(H120:H126)</f>
        <v>0</v>
      </c>
      <c r="I119" s="792">
        <f>SUM(I120:I126)</f>
        <v>899991</v>
      </c>
      <c r="J119" s="636">
        <f>K119+M119+N119+L119</f>
        <v>15608806.170000002</v>
      </c>
      <c r="K119" s="793">
        <f>SUM(K120:K126)</f>
        <v>14708815.740000002</v>
      </c>
      <c r="L119" s="793"/>
      <c r="M119" s="793">
        <f>SUM(M120:M126)</f>
        <v>0</v>
      </c>
      <c r="N119" s="793">
        <f>SUM(N120:N126)</f>
        <v>899990.4299999999</v>
      </c>
      <c r="O119" s="794">
        <f t="shared" si="18"/>
        <v>0.9996239544613089</v>
      </c>
      <c r="P119" s="794"/>
      <c r="Q119" s="794">
        <f t="shared" si="19"/>
        <v>0.9996009932117483</v>
      </c>
      <c r="R119" s="619"/>
      <c r="S119" t="b">
        <f t="shared" si="13"/>
        <v>1</v>
      </c>
      <c r="T119"/>
      <c r="U119"/>
    </row>
    <row r="120" spans="1:21" s="648" customFormat="1" ht="19.5" customHeight="1">
      <c r="A120" s="602"/>
      <c r="B120" s="602"/>
      <c r="C120" s="658" t="s">
        <v>1255</v>
      </c>
      <c r="D120" s="678">
        <v>2000000</v>
      </c>
      <c r="E120" s="678">
        <f>I120+H120+F120</f>
        <v>4070000</v>
      </c>
      <c r="F120" s="717">
        <v>4070000</v>
      </c>
      <c r="G120" s="675"/>
      <c r="H120" s="675"/>
      <c r="I120" s="675"/>
      <c r="J120" s="718">
        <f>N120+M120+K120</f>
        <v>4069079.89</v>
      </c>
      <c r="K120" s="719">
        <v>4069079.89</v>
      </c>
      <c r="L120" s="684"/>
      <c r="M120" s="684"/>
      <c r="N120" s="684"/>
      <c r="O120" s="685">
        <f t="shared" si="18"/>
        <v>0.9997739287469288</v>
      </c>
      <c r="P120" s="685"/>
      <c r="Q120" s="685">
        <f t="shared" si="19"/>
        <v>0.9997739287469288</v>
      </c>
      <c r="R120" s="610"/>
      <c r="S120" t="b">
        <f t="shared" si="13"/>
        <v>1</v>
      </c>
      <c r="T120"/>
      <c r="U120"/>
    </row>
    <row r="121" spans="1:21" s="648" customFormat="1" ht="19.5" customHeight="1">
      <c r="A121" s="602"/>
      <c r="B121" s="602"/>
      <c r="C121" s="680" t="s">
        <v>1256</v>
      </c>
      <c r="D121" s="668">
        <v>1200000</v>
      </c>
      <c r="E121" s="668">
        <f>F121+H121+I121</f>
        <v>3325000</v>
      </c>
      <c r="F121" s="837">
        <v>3325000</v>
      </c>
      <c r="G121" s="603"/>
      <c r="H121" s="603"/>
      <c r="I121" s="603"/>
      <c r="J121" s="838">
        <f>K121+M121+N121</f>
        <v>3323744.77</v>
      </c>
      <c r="K121" s="839">
        <v>3323744.77</v>
      </c>
      <c r="L121" s="660"/>
      <c r="M121" s="660"/>
      <c r="N121" s="660"/>
      <c r="O121" s="609">
        <f t="shared" si="18"/>
        <v>0.9996224872180451</v>
      </c>
      <c r="P121" s="609"/>
      <c r="Q121" s="609">
        <f t="shared" si="19"/>
        <v>0.9996224872180451</v>
      </c>
      <c r="R121" s="610"/>
      <c r="S121" t="b">
        <f t="shared" si="13"/>
        <v>1</v>
      </c>
      <c r="T121"/>
      <c r="U121"/>
    </row>
    <row r="122" spans="1:21" s="648" customFormat="1" ht="19.5" customHeight="1">
      <c r="A122" s="602"/>
      <c r="B122" s="602"/>
      <c r="C122" s="680" t="s">
        <v>1257</v>
      </c>
      <c r="D122" s="678">
        <v>4700000</v>
      </c>
      <c r="E122" s="678">
        <f>F122+H122+I122</f>
        <v>5125991</v>
      </c>
      <c r="F122" s="717">
        <v>4626000</v>
      </c>
      <c r="G122" s="675"/>
      <c r="H122" s="675"/>
      <c r="I122" s="675">
        <v>499991</v>
      </c>
      <c r="J122" s="718">
        <f>K122+M122+N122</f>
        <v>5125666.55</v>
      </c>
      <c r="K122" s="719">
        <v>4625676.12</v>
      </c>
      <c r="L122" s="684"/>
      <c r="M122" s="684"/>
      <c r="N122" s="684">
        <v>499990.43</v>
      </c>
      <c r="O122" s="685">
        <f t="shared" si="18"/>
        <v>0.9999367049220336</v>
      </c>
      <c r="P122" s="685"/>
      <c r="Q122" s="685">
        <f t="shared" si="19"/>
        <v>0.9999299870298314</v>
      </c>
      <c r="R122" s="610"/>
      <c r="S122" t="b">
        <f t="shared" si="13"/>
        <v>1</v>
      </c>
      <c r="T122"/>
      <c r="U122"/>
    </row>
    <row r="123" spans="1:21" s="648" customFormat="1" ht="19.5" customHeight="1">
      <c r="A123" s="602"/>
      <c r="B123" s="602"/>
      <c r="C123" s="686" t="s">
        <v>1258</v>
      </c>
      <c r="D123" s="713">
        <v>100000</v>
      </c>
      <c r="E123" s="713">
        <f>I123+H123+F123</f>
        <v>5000</v>
      </c>
      <c r="F123" s="714">
        <v>5000</v>
      </c>
      <c r="G123" s="688"/>
      <c r="H123" s="688"/>
      <c r="I123" s="688"/>
      <c r="J123" s="715">
        <f>N123+M123+K123</f>
        <v>4591.16</v>
      </c>
      <c r="K123" s="716">
        <v>4591.16</v>
      </c>
      <c r="L123" s="691"/>
      <c r="M123" s="691"/>
      <c r="N123" s="691"/>
      <c r="O123" s="694">
        <f t="shared" si="18"/>
        <v>0.9182319999999999</v>
      </c>
      <c r="P123" s="694"/>
      <c r="Q123" s="694">
        <f t="shared" si="19"/>
        <v>0.9182319999999999</v>
      </c>
      <c r="R123" s="610"/>
      <c r="S123" t="b">
        <f t="shared" si="13"/>
        <v>1</v>
      </c>
      <c r="T123"/>
      <c r="U123"/>
    </row>
    <row r="124" spans="1:21" s="648" customFormat="1" ht="30" customHeight="1">
      <c r="A124" s="602"/>
      <c r="B124" s="602"/>
      <c r="C124" s="658" t="s">
        <v>1259</v>
      </c>
      <c r="D124" s="604">
        <v>600000</v>
      </c>
      <c r="E124" s="604">
        <f>I124+H124+F124</f>
        <v>654000</v>
      </c>
      <c r="F124" s="605">
        <v>254000</v>
      </c>
      <c r="G124" s="603"/>
      <c r="H124" s="603"/>
      <c r="I124" s="603">
        <v>400000</v>
      </c>
      <c r="J124" s="803">
        <f>N124+M124+K124</f>
        <v>653542.4</v>
      </c>
      <c r="K124" s="659">
        <v>253542.4</v>
      </c>
      <c r="L124" s="660"/>
      <c r="M124" s="660"/>
      <c r="N124" s="660">
        <v>400000</v>
      </c>
      <c r="O124" s="609">
        <f t="shared" si="18"/>
        <v>0.9993003058103976</v>
      </c>
      <c r="P124" s="609"/>
      <c r="Q124" s="609">
        <f t="shared" si="19"/>
        <v>0.9981984251968504</v>
      </c>
      <c r="R124" s="610"/>
      <c r="S124" t="b">
        <f t="shared" si="13"/>
        <v>1</v>
      </c>
      <c r="T124"/>
      <c r="U124"/>
    </row>
    <row r="125" spans="1:21" s="648" customFormat="1" ht="19.5" customHeight="1">
      <c r="A125" s="602"/>
      <c r="B125" s="602"/>
      <c r="C125" s="680" t="s">
        <v>1260</v>
      </c>
      <c r="D125" s="678">
        <v>200000</v>
      </c>
      <c r="E125" s="678">
        <f>F125+G125+I125</f>
        <v>19520</v>
      </c>
      <c r="F125" s="717">
        <v>19520</v>
      </c>
      <c r="G125" s="675"/>
      <c r="H125" s="675"/>
      <c r="I125" s="675"/>
      <c r="J125" s="718">
        <f>K125</f>
        <v>19520</v>
      </c>
      <c r="K125" s="719">
        <v>19520</v>
      </c>
      <c r="L125" s="684"/>
      <c r="M125" s="684"/>
      <c r="N125" s="684"/>
      <c r="O125" s="685">
        <f t="shared" si="18"/>
        <v>1</v>
      </c>
      <c r="P125" s="685"/>
      <c r="Q125" s="685">
        <f t="shared" si="19"/>
        <v>1</v>
      </c>
      <c r="R125" s="610"/>
      <c r="S125" t="b">
        <f t="shared" si="13"/>
        <v>1</v>
      </c>
      <c r="T125"/>
      <c r="U125"/>
    </row>
    <row r="126" spans="1:21" s="648" customFormat="1" ht="19.5" customHeight="1">
      <c r="A126" s="602"/>
      <c r="B126" s="602"/>
      <c r="C126" s="840" t="s">
        <v>1261</v>
      </c>
      <c r="D126" s="678">
        <v>4794130</v>
      </c>
      <c r="E126" s="678">
        <f>F126+H126+I126+G126</f>
        <v>2415167</v>
      </c>
      <c r="F126" s="837">
        <v>2415167</v>
      </c>
      <c r="G126" s="841"/>
      <c r="H126" s="841"/>
      <c r="I126" s="841"/>
      <c r="J126" s="718">
        <f>K126+M126+N126+L126</f>
        <v>2412661.4</v>
      </c>
      <c r="K126" s="839">
        <f>2255554.4+157107</f>
        <v>2412661.4</v>
      </c>
      <c r="L126" s="842"/>
      <c r="M126" s="842"/>
      <c r="N126" s="842"/>
      <c r="O126" s="843">
        <f t="shared" si="18"/>
        <v>0.9989625562124689</v>
      </c>
      <c r="P126" s="843"/>
      <c r="Q126" s="843">
        <f t="shared" si="19"/>
        <v>0.9989625562124689</v>
      </c>
      <c r="R126" s="610"/>
      <c r="S126" t="b">
        <f t="shared" si="13"/>
        <v>1</v>
      </c>
      <c r="T126"/>
      <c r="U126"/>
    </row>
    <row r="127" spans="1:21" s="620" customFormat="1" ht="21.75" customHeight="1">
      <c r="A127" s="631"/>
      <c r="B127" s="661">
        <v>80104</v>
      </c>
      <c r="C127" s="662" t="s">
        <v>45</v>
      </c>
      <c r="D127" s="663">
        <v>1091305</v>
      </c>
      <c r="E127" s="663">
        <f>F127+H127+I127+G127</f>
        <v>1374461</v>
      </c>
      <c r="F127" s="844">
        <f>F128+F129+F130</f>
        <v>1374461</v>
      </c>
      <c r="G127" s="722"/>
      <c r="H127" s="722">
        <f>H128</f>
        <v>0</v>
      </c>
      <c r="I127" s="722"/>
      <c r="J127" s="665">
        <f>K127+M127+N127+L127</f>
        <v>1348924.5699999998</v>
      </c>
      <c r="K127" s="845">
        <f>K128+K129+K130</f>
        <v>1348924.5699999998</v>
      </c>
      <c r="L127" s="723"/>
      <c r="M127" s="723">
        <f>M128</f>
        <v>0</v>
      </c>
      <c r="N127" s="723"/>
      <c r="O127" s="724">
        <f t="shared" si="18"/>
        <v>0.981420767850088</v>
      </c>
      <c r="P127" s="724"/>
      <c r="Q127" s="724">
        <f t="shared" si="19"/>
        <v>0.981420767850088</v>
      </c>
      <c r="R127" s="619"/>
      <c r="S127" t="b">
        <f t="shared" si="13"/>
        <v>1</v>
      </c>
      <c r="T127"/>
      <c r="U127"/>
    </row>
    <row r="128" spans="1:21" s="648" customFormat="1" ht="21.75" customHeight="1">
      <c r="A128" s="602"/>
      <c r="B128" s="602"/>
      <c r="C128" s="840" t="s">
        <v>1261</v>
      </c>
      <c r="D128" s="678">
        <v>891305</v>
      </c>
      <c r="E128" s="678">
        <f>F128+H128+I128</f>
        <v>970361</v>
      </c>
      <c r="F128" s="837">
        <v>970361</v>
      </c>
      <c r="G128" s="841"/>
      <c r="H128" s="841"/>
      <c r="I128" s="841"/>
      <c r="J128" s="718">
        <f>K128</f>
        <v>944824.57</v>
      </c>
      <c r="K128" s="839">
        <f>935904.36+8920.21</f>
        <v>944824.57</v>
      </c>
      <c r="L128" s="842"/>
      <c r="M128" s="842"/>
      <c r="N128" s="842"/>
      <c r="O128" s="846">
        <f t="shared" si="18"/>
        <v>0.9736835775551572</v>
      </c>
      <c r="P128" s="843"/>
      <c r="Q128" s="846">
        <f t="shared" si="19"/>
        <v>0.9736835775551572</v>
      </c>
      <c r="R128" s="610"/>
      <c r="S128" t="b">
        <f t="shared" si="13"/>
        <v>1</v>
      </c>
      <c r="T128"/>
      <c r="U128"/>
    </row>
    <row r="129" spans="1:21" s="648" customFormat="1" ht="21.75" customHeight="1">
      <c r="A129" s="602"/>
      <c r="B129" s="602"/>
      <c r="C129" s="840" t="s">
        <v>1262</v>
      </c>
      <c r="D129" s="668">
        <v>200000</v>
      </c>
      <c r="E129" s="668">
        <f>F129+H129+I129</f>
        <v>398250</v>
      </c>
      <c r="F129" s="837">
        <v>398250</v>
      </c>
      <c r="G129" s="841"/>
      <c r="H129" s="841"/>
      <c r="I129" s="841"/>
      <c r="J129" s="838">
        <f>K129</f>
        <v>398250</v>
      </c>
      <c r="K129" s="839">
        <f>198250+200000</f>
        <v>398250</v>
      </c>
      <c r="L129" s="842"/>
      <c r="M129" s="842"/>
      <c r="N129" s="842"/>
      <c r="O129" s="685">
        <f t="shared" si="18"/>
        <v>1</v>
      </c>
      <c r="P129" s="685"/>
      <c r="Q129" s="847">
        <f t="shared" si="19"/>
        <v>1</v>
      </c>
      <c r="R129" s="610"/>
      <c r="S129" t="b">
        <f t="shared" si="13"/>
        <v>1</v>
      </c>
      <c r="T129"/>
      <c r="U129"/>
    </row>
    <row r="130" spans="1:21" s="648" customFormat="1" ht="21.75" customHeight="1">
      <c r="A130" s="602"/>
      <c r="B130" s="602"/>
      <c r="C130" s="696" t="s">
        <v>1244</v>
      </c>
      <c r="D130" s="761"/>
      <c r="E130" s="761">
        <f>F130+G130+I130</f>
        <v>5850</v>
      </c>
      <c r="F130" s="848">
        <v>5850</v>
      </c>
      <c r="G130" s="848"/>
      <c r="H130" s="848"/>
      <c r="I130" s="848"/>
      <c r="J130" s="849">
        <f>K130+L130+N130</f>
        <v>5850</v>
      </c>
      <c r="K130" s="764">
        <v>5850</v>
      </c>
      <c r="L130" s="764"/>
      <c r="M130" s="764"/>
      <c r="N130" s="764"/>
      <c r="O130" s="850">
        <f t="shared" si="18"/>
        <v>1</v>
      </c>
      <c r="P130" s="850"/>
      <c r="Q130" s="850">
        <f t="shared" si="19"/>
        <v>1</v>
      </c>
      <c r="R130" s="610"/>
      <c r="S130" t="b">
        <f t="shared" si="13"/>
        <v>1</v>
      </c>
      <c r="T130"/>
      <c r="U130"/>
    </row>
    <row r="131" spans="1:21" s="620" customFormat="1" ht="21.75" customHeight="1">
      <c r="A131" s="631"/>
      <c r="B131" s="661">
        <v>80110</v>
      </c>
      <c r="C131" s="662" t="s">
        <v>46</v>
      </c>
      <c r="D131" s="663">
        <v>4083300</v>
      </c>
      <c r="E131" s="663">
        <f>F131+H131+I131</f>
        <v>2775361</v>
      </c>
      <c r="F131" s="722">
        <f>SUM(F132:F134)</f>
        <v>2775361</v>
      </c>
      <c r="G131" s="722"/>
      <c r="H131" s="722"/>
      <c r="I131" s="722"/>
      <c r="J131" s="665">
        <f>K131+M131+N131</f>
        <v>2774365.33</v>
      </c>
      <c r="K131" s="723">
        <f>SUM(K132:K134)</f>
        <v>2774365.33</v>
      </c>
      <c r="L131" s="723"/>
      <c r="M131" s="723"/>
      <c r="N131" s="723"/>
      <c r="O131" s="724">
        <f t="shared" si="18"/>
        <v>0.999641246670253</v>
      </c>
      <c r="P131" s="724"/>
      <c r="Q131" s="724">
        <f t="shared" si="19"/>
        <v>0.999641246670253</v>
      </c>
      <c r="R131" s="619"/>
      <c r="S131" t="b">
        <f t="shared" si="13"/>
        <v>1</v>
      </c>
      <c r="T131"/>
      <c r="U131"/>
    </row>
    <row r="132" spans="1:21" s="648" customFormat="1" ht="21.75" customHeight="1">
      <c r="A132" s="602"/>
      <c r="B132" s="602"/>
      <c r="C132" s="688" t="s">
        <v>1263</v>
      </c>
      <c r="D132" s="678">
        <v>3000000</v>
      </c>
      <c r="E132" s="678">
        <f>F132+H132+I132</f>
        <v>2680000</v>
      </c>
      <c r="F132" s="714">
        <v>2680000</v>
      </c>
      <c r="G132" s="688"/>
      <c r="H132" s="688"/>
      <c r="I132" s="688"/>
      <c r="J132" s="718">
        <f>K132+M132+N132</f>
        <v>2679105.31</v>
      </c>
      <c r="K132" s="716">
        <v>2679105.31</v>
      </c>
      <c r="L132" s="691"/>
      <c r="M132" s="691"/>
      <c r="N132" s="691"/>
      <c r="O132" s="694">
        <f t="shared" si="18"/>
        <v>0.9996661604477612</v>
      </c>
      <c r="P132" s="694"/>
      <c r="Q132" s="694">
        <f t="shared" si="19"/>
        <v>0.9996661604477612</v>
      </c>
      <c r="R132" s="610"/>
      <c r="S132" t="b">
        <f t="shared" si="13"/>
        <v>1</v>
      </c>
      <c r="T132"/>
      <c r="U132"/>
    </row>
    <row r="133" spans="1:21" s="648" customFormat="1" ht="21.75" customHeight="1">
      <c r="A133" s="602"/>
      <c r="B133" s="602"/>
      <c r="C133" s="603" t="s">
        <v>1264</v>
      </c>
      <c r="D133" s="668">
        <v>80000</v>
      </c>
      <c r="E133" s="668">
        <f>F133</f>
        <v>90561</v>
      </c>
      <c r="F133" s="605">
        <v>90561</v>
      </c>
      <c r="G133" s="603"/>
      <c r="H133" s="603"/>
      <c r="I133" s="603"/>
      <c r="J133" s="838">
        <f>K133</f>
        <v>90560.58</v>
      </c>
      <c r="K133" s="659">
        <v>90560.58</v>
      </c>
      <c r="L133" s="660"/>
      <c r="M133" s="660"/>
      <c r="N133" s="660"/>
      <c r="O133" s="609">
        <f t="shared" si="18"/>
        <v>0.9999953622420247</v>
      </c>
      <c r="P133" s="609"/>
      <c r="Q133" s="609">
        <f t="shared" si="19"/>
        <v>0.9999953622420247</v>
      </c>
      <c r="R133" s="610"/>
      <c r="S133" t="b">
        <f t="shared" si="13"/>
        <v>1</v>
      </c>
      <c r="T133"/>
      <c r="U133"/>
    </row>
    <row r="134" spans="1:21" s="648" customFormat="1" ht="21.75" customHeight="1">
      <c r="A134" s="602"/>
      <c r="B134" s="602"/>
      <c r="C134" s="840" t="s">
        <v>1244</v>
      </c>
      <c r="D134" s="668"/>
      <c r="E134" s="668">
        <f>F134</f>
        <v>4800</v>
      </c>
      <c r="F134" s="837">
        <v>4800</v>
      </c>
      <c r="G134" s="837"/>
      <c r="H134" s="837"/>
      <c r="I134" s="837"/>
      <c r="J134" s="838">
        <f>K134</f>
        <v>4699.44</v>
      </c>
      <c r="K134" s="839">
        <v>4699.44</v>
      </c>
      <c r="L134" s="839"/>
      <c r="M134" s="839"/>
      <c r="N134" s="839"/>
      <c r="O134" s="843">
        <f t="shared" si="18"/>
        <v>0.9790499999999999</v>
      </c>
      <c r="P134" s="846"/>
      <c r="Q134" s="843">
        <f t="shared" si="19"/>
        <v>0.9790499999999999</v>
      </c>
      <c r="R134" s="610"/>
      <c r="S134" t="b">
        <f t="shared" si="13"/>
        <v>1</v>
      </c>
      <c r="T134"/>
      <c r="U134"/>
    </row>
    <row r="135" spans="1:21" s="648" customFormat="1" ht="21.75" customHeight="1">
      <c r="A135" s="695"/>
      <c r="B135" s="695"/>
      <c r="C135" s="696" t="s">
        <v>1261</v>
      </c>
      <c r="D135" s="761">
        <v>1003300</v>
      </c>
      <c r="E135" s="761"/>
      <c r="F135" s="848"/>
      <c r="G135" s="698"/>
      <c r="H135" s="698"/>
      <c r="I135" s="698"/>
      <c r="J135" s="849"/>
      <c r="K135" s="764"/>
      <c r="L135" s="700"/>
      <c r="M135" s="700"/>
      <c r="N135" s="700"/>
      <c r="O135" s="701"/>
      <c r="P135" s="701"/>
      <c r="Q135" s="701"/>
      <c r="R135" s="610"/>
      <c r="S135" t="b">
        <f t="shared" si="13"/>
        <v>1</v>
      </c>
      <c r="T135"/>
      <c r="U135"/>
    </row>
    <row r="136" spans="1:21" s="648" customFormat="1" ht="21.75" customHeight="1">
      <c r="A136" s="639"/>
      <c r="B136" s="851">
        <v>80120</v>
      </c>
      <c r="C136" s="852" t="s">
        <v>47</v>
      </c>
      <c r="D136" s="663">
        <v>1074000</v>
      </c>
      <c r="E136" s="663">
        <f>F136+H136+I136</f>
        <v>2122220</v>
      </c>
      <c r="F136" s="853">
        <f>F138+F137</f>
        <v>1922220</v>
      </c>
      <c r="G136" s="853"/>
      <c r="H136" s="853"/>
      <c r="I136" s="853">
        <f>I137</f>
        <v>200000</v>
      </c>
      <c r="J136" s="665">
        <f>K136+M136+N136</f>
        <v>2108702.24</v>
      </c>
      <c r="K136" s="854">
        <f>K138+K137</f>
        <v>1908702.24</v>
      </c>
      <c r="L136" s="854"/>
      <c r="M136" s="854"/>
      <c r="N136" s="854">
        <f>N137</f>
        <v>200000</v>
      </c>
      <c r="O136" s="855">
        <f>J136/E136</f>
        <v>0.9936303681993386</v>
      </c>
      <c r="P136" s="855"/>
      <c r="Q136" s="855">
        <f>K136/F136</f>
        <v>0.9929676311764523</v>
      </c>
      <c r="R136" s="856"/>
      <c r="S136" t="b">
        <f t="shared" si="13"/>
        <v>1</v>
      </c>
      <c r="T136"/>
      <c r="U136"/>
    </row>
    <row r="137" spans="1:21" s="648" customFormat="1" ht="45" customHeight="1">
      <c r="A137" s="602"/>
      <c r="B137" s="602"/>
      <c r="C137" s="840" t="s">
        <v>1265</v>
      </c>
      <c r="D137" s="668">
        <v>267000</v>
      </c>
      <c r="E137" s="668">
        <f>F137+H137+I137</f>
        <v>350000</v>
      </c>
      <c r="F137" s="837">
        <v>150000</v>
      </c>
      <c r="G137" s="841"/>
      <c r="H137" s="841"/>
      <c r="I137" s="841">
        <v>200000</v>
      </c>
      <c r="J137" s="838">
        <f>K137+N137</f>
        <v>336488.69</v>
      </c>
      <c r="K137" s="839">
        <v>136488.69</v>
      </c>
      <c r="L137" s="842"/>
      <c r="M137" s="842"/>
      <c r="N137" s="842">
        <v>200000</v>
      </c>
      <c r="O137" s="647">
        <f>J137/E137</f>
        <v>0.9613962571428571</v>
      </c>
      <c r="P137" s="647"/>
      <c r="Q137" s="647">
        <f>K137/F137</f>
        <v>0.9099246</v>
      </c>
      <c r="R137" s="610"/>
      <c r="S137" t="b">
        <f t="shared" si="13"/>
        <v>1</v>
      </c>
      <c r="T137"/>
      <c r="U137"/>
    </row>
    <row r="138" spans="1:21" s="648" customFormat="1" ht="19.5" customHeight="1">
      <c r="A138" s="602"/>
      <c r="B138" s="695"/>
      <c r="C138" s="696" t="s">
        <v>1266</v>
      </c>
      <c r="D138" s="761">
        <v>807000</v>
      </c>
      <c r="E138" s="761">
        <f>F138+H138+I138</f>
        <v>1772220</v>
      </c>
      <c r="F138" s="848">
        <v>1772220</v>
      </c>
      <c r="G138" s="698"/>
      <c r="H138" s="698"/>
      <c r="I138" s="698"/>
      <c r="J138" s="849">
        <f>K138+M138+N138</f>
        <v>1772213.55</v>
      </c>
      <c r="K138" s="764">
        <v>1772213.55</v>
      </c>
      <c r="L138" s="700"/>
      <c r="M138" s="700"/>
      <c r="N138" s="700"/>
      <c r="O138" s="808">
        <v>0.9999</v>
      </c>
      <c r="P138" s="808"/>
      <c r="Q138" s="808">
        <v>0.9999</v>
      </c>
      <c r="R138" s="610"/>
      <c r="S138" t="b">
        <f t="shared" si="13"/>
        <v>1</v>
      </c>
      <c r="T138"/>
      <c r="U138"/>
    </row>
    <row r="139" spans="1:21" s="620" customFormat="1" ht="19.5" customHeight="1">
      <c r="A139" s="631"/>
      <c r="B139" s="661">
        <v>80130</v>
      </c>
      <c r="C139" s="662" t="s">
        <v>51</v>
      </c>
      <c r="D139" s="663">
        <v>9874300</v>
      </c>
      <c r="E139" s="663">
        <f>F139+H139+I139+G139</f>
        <v>7215190</v>
      </c>
      <c r="F139" s="722">
        <f>SUM(F140:F143)</f>
        <v>7215190</v>
      </c>
      <c r="G139" s="722"/>
      <c r="H139" s="722">
        <f>H142</f>
        <v>0</v>
      </c>
      <c r="I139" s="722"/>
      <c r="J139" s="665">
        <f>K139+M139+N139+L139</f>
        <v>7189341.06</v>
      </c>
      <c r="K139" s="723">
        <f>SUM(K140:K143)</f>
        <v>7189341.06</v>
      </c>
      <c r="L139" s="723"/>
      <c r="M139" s="723">
        <f>M142</f>
        <v>0</v>
      </c>
      <c r="N139" s="723"/>
      <c r="O139" s="724">
        <f aca="true" t="shared" si="20" ref="O139:O170">J139/E139</f>
        <v>0.9964174276768871</v>
      </c>
      <c r="P139" s="724"/>
      <c r="Q139" s="724">
        <f aca="true" t="shared" si="21" ref="Q139:Q170">K139/F139</f>
        <v>0.9964174276768871</v>
      </c>
      <c r="R139" s="619"/>
      <c r="S139" t="b">
        <f t="shared" si="13"/>
        <v>1</v>
      </c>
      <c r="T139"/>
      <c r="U139"/>
    </row>
    <row r="140" spans="1:21" s="866" customFormat="1" ht="19.5" customHeight="1">
      <c r="A140" s="857"/>
      <c r="B140" s="858"/>
      <c r="C140" s="859" t="s">
        <v>1267</v>
      </c>
      <c r="D140" s="860">
        <v>2500000</v>
      </c>
      <c r="E140" s="860">
        <f>SUM(F140:I140)</f>
        <v>3815000</v>
      </c>
      <c r="F140" s="861">
        <v>3815000</v>
      </c>
      <c r="G140" s="861"/>
      <c r="H140" s="861"/>
      <c r="I140" s="861"/>
      <c r="J140" s="862">
        <f>SUM(K140:N140)</f>
        <v>3809749.38</v>
      </c>
      <c r="K140" s="863">
        <v>3809749.38</v>
      </c>
      <c r="L140" s="863"/>
      <c r="M140" s="863"/>
      <c r="N140" s="863"/>
      <c r="O140" s="864">
        <f t="shared" si="20"/>
        <v>0.9986236906946264</v>
      </c>
      <c r="P140" s="864"/>
      <c r="Q140" s="864">
        <f t="shared" si="21"/>
        <v>0.9986236906946264</v>
      </c>
      <c r="R140" s="865"/>
      <c r="S140" t="b">
        <f t="shared" si="13"/>
        <v>1</v>
      </c>
      <c r="T140" s="6"/>
      <c r="U140" s="6"/>
    </row>
    <row r="141" spans="1:21" s="648" customFormat="1" ht="19.5" customHeight="1">
      <c r="A141" s="602"/>
      <c r="B141" s="602"/>
      <c r="C141" s="675" t="s">
        <v>1268</v>
      </c>
      <c r="D141" s="678">
        <v>2000000</v>
      </c>
      <c r="E141" s="678">
        <f>SUM(F141:I141)</f>
        <v>2350000</v>
      </c>
      <c r="F141" s="717">
        <v>2350000</v>
      </c>
      <c r="G141" s="717"/>
      <c r="H141" s="717"/>
      <c r="I141" s="675"/>
      <c r="J141" s="718">
        <f>SUM(K141:N141)</f>
        <v>2349402.08</v>
      </c>
      <c r="K141" s="719">
        <v>2349402.08</v>
      </c>
      <c r="L141" s="719"/>
      <c r="M141" s="719"/>
      <c r="N141" s="684"/>
      <c r="O141" s="847">
        <f t="shared" si="20"/>
        <v>0.9997455659574468</v>
      </c>
      <c r="P141" s="847"/>
      <c r="Q141" s="685">
        <f t="shared" si="21"/>
        <v>0.9997455659574468</v>
      </c>
      <c r="R141" s="610"/>
      <c r="S141" t="b">
        <f aca="true" t="shared" si="22" ref="S141:S204">J141=K141+L141+N141</f>
        <v>1</v>
      </c>
      <c r="T141"/>
      <c r="U141"/>
    </row>
    <row r="142" spans="1:21" s="648" customFormat="1" ht="19.5" customHeight="1">
      <c r="A142" s="602"/>
      <c r="B142" s="602"/>
      <c r="C142" s="840" t="s">
        <v>1266</v>
      </c>
      <c r="D142" s="668">
        <v>5374300</v>
      </c>
      <c r="E142" s="668">
        <f>F142+H142+I142+G142</f>
        <v>820000</v>
      </c>
      <c r="F142" s="837">
        <v>820000</v>
      </c>
      <c r="G142" s="841"/>
      <c r="H142" s="841"/>
      <c r="I142" s="841"/>
      <c r="J142" s="838">
        <f>K142</f>
        <v>800000</v>
      </c>
      <c r="K142" s="839">
        <v>800000</v>
      </c>
      <c r="L142" s="842"/>
      <c r="M142" s="842"/>
      <c r="N142" s="842"/>
      <c r="O142" s="847">
        <f t="shared" si="20"/>
        <v>0.975609756097561</v>
      </c>
      <c r="P142" s="843"/>
      <c r="Q142" s="685">
        <f t="shared" si="21"/>
        <v>0.975609756097561</v>
      </c>
      <c r="R142" s="610"/>
      <c r="S142" t="b">
        <f t="shared" si="22"/>
        <v>1</v>
      </c>
      <c r="T142"/>
      <c r="U142"/>
    </row>
    <row r="143" spans="1:21" s="866" customFormat="1" ht="19.5" customHeight="1">
      <c r="A143" s="857"/>
      <c r="B143" s="867"/>
      <c r="C143" s="868" t="s">
        <v>1269</v>
      </c>
      <c r="D143" s="869"/>
      <c r="E143" s="869">
        <f>F143+G143+I143</f>
        <v>230190</v>
      </c>
      <c r="F143" s="870">
        <v>230190</v>
      </c>
      <c r="G143" s="870"/>
      <c r="H143" s="870"/>
      <c r="I143" s="870"/>
      <c r="J143" s="871">
        <f>K143</f>
        <v>230189.6</v>
      </c>
      <c r="K143" s="872">
        <v>230189.6</v>
      </c>
      <c r="L143" s="872"/>
      <c r="M143" s="872"/>
      <c r="N143" s="872"/>
      <c r="O143" s="847">
        <f t="shared" si="20"/>
        <v>0.9999982623050524</v>
      </c>
      <c r="P143" s="873"/>
      <c r="Q143" s="685">
        <f t="shared" si="21"/>
        <v>0.9999982623050524</v>
      </c>
      <c r="R143" s="610"/>
      <c r="S143" t="b">
        <f t="shared" si="22"/>
        <v>1</v>
      </c>
      <c r="T143" s="6"/>
      <c r="U143" s="6"/>
    </row>
    <row r="144" spans="1:21" s="620" customFormat="1" ht="19.5" customHeight="1">
      <c r="A144" s="631"/>
      <c r="B144" s="661">
        <v>80132</v>
      </c>
      <c r="C144" s="662" t="s">
        <v>259</v>
      </c>
      <c r="D144" s="663"/>
      <c r="E144" s="663">
        <f>F144+H144+I144+G144</f>
        <v>8000</v>
      </c>
      <c r="F144" s="722">
        <f>F145</f>
        <v>8000</v>
      </c>
      <c r="G144" s="722"/>
      <c r="H144" s="722">
        <f>H147</f>
        <v>0</v>
      </c>
      <c r="I144" s="722"/>
      <c r="J144" s="665">
        <f>K144+M144+N144+L144</f>
        <v>7971.24</v>
      </c>
      <c r="K144" s="723">
        <f>K145</f>
        <v>7971.24</v>
      </c>
      <c r="L144" s="723"/>
      <c r="M144" s="723">
        <f>M147</f>
        <v>0</v>
      </c>
      <c r="N144" s="723"/>
      <c r="O144" s="724">
        <f t="shared" si="20"/>
        <v>0.996405</v>
      </c>
      <c r="P144" s="724"/>
      <c r="Q144" s="724">
        <f t="shared" si="21"/>
        <v>0.996405</v>
      </c>
      <c r="R144" s="619"/>
      <c r="S144" t="b">
        <f t="shared" si="22"/>
        <v>1</v>
      </c>
      <c r="T144"/>
      <c r="U144"/>
    </row>
    <row r="145" spans="1:21" s="866" customFormat="1" ht="19.5" customHeight="1">
      <c r="A145" s="857"/>
      <c r="B145" s="858"/>
      <c r="C145" s="859" t="s">
        <v>1244</v>
      </c>
      <c r="D145" s="860"/>
      <c r="E145" s="860">
        <f>SUM(F145:I145)</f>
        <v>8000</v>
      </c>
      <c r="F145" s="861">
        <v>8000</v>
      </c>
      <c r="G145" s="861"/>
      <c r="H145" s="861"/>
      <c r="I145" s="861"/>
      <c r="J145" s="862">
        <f>SUM(K145:N145)</f>
        <v>7971.24</v>
      </c>
      <c r="K145" s="863">
        <v>7971.24</v>
      </c>
      <c r="L145" s="863"/>
      <c r="M145" s="863"/>
      <c r="N145" s="863"/>
      <c r="O145" s="864">
        <f t="shared" si="20"/>
        <v>0.996405</v>
      </c>
      <c r="P145" s="864"/>
      <c r="Q145" s="864">
        <f t="shared" si="21"/>
        <v>0.996405</v>
      </c>
      <c r="R145" s="865"/>
      <c r="S145" t="b">
        <f t="shared" si="22"/>
        <v>1</v>
      </c>
      <c r="T145" s="6"/>
      <c r="U145" s="6"/>
    </row>
    <row r="146" spans="1:21" s="866" customFormat="1" ht="19.5" customHeight="1">
      <c r="A146" s="857"/>
      <c r="B146" s="874">
        <v>80195</v>
      </c>
      <c r="C146" s="875" t="s">
        <v>13</v>
      </c>
      <c r="D146" s="876">
        <v>280000</v>
      </c>
      <c r="E146" s="876">
        <f>F146+G146+I146</f>
        <v>113299</v>
      </c>
      <c r="F146" s="877">
        <f>F147</f>
        <v>113299</v>
      </c>
      <c r="G146" s="877"/>
      <c r="H146" s="877"/>
      <c r="I146" s="877"/>
      <c r="J146" s="878">
        <f>K146</f>
        <v>99796</v>
      </c>
      <c r="K146" s="879">
        <f>K147</f>
        <v>99796</v>
      </c>
      <c r="L146" s="879"/>
      <c r="M146" s="879"/>
      <c r="N146" s="879"/>
      <c r="O146" s="724">
        <f t="shared" si="20"/>
        <v>0.8808197777562026</v>
      </c>
      <c r="P146" s="724"/>
      <c r="Q146" s="724">
        <f t="shared" si="21"/>
        <v>0.8808197777562026</v>
      </c>
      <c r="R146" s="619"/>
      <c r="S146" t="b">
        <f t="shared" si="22"/>
        <v>1</v>
      </c>
      <c r="T146" s="6"/>
      <c r="U146" s="6"/>
    </row>
    <row r="147" spans="1:21" s="866" customFormat="1" ht="19.5" customHeight="1">
      <c r="A147" s="880"/>
      <c r="B147" s="881"/>
      <c r="C147" s="754" t="s">
        <v>1220</v>
      </c>
      <c r="D147" s="882">
        <v>280000</v>
      </c>
      <c r="E147" s="882">
        <f>F147+G147+I147</f>
        <v>113299</v>
      </c>
      <c r="F147" s="883">
        <v>113299</v>
      </c>
      <c r="G147" s="883"/>
      <c r="H147" s="883"/>
      <c r="I147" s="883"/>
      <c r="J147" s="884">
        <f>K147</f>
        <v>99796</v>
      </c>
      <c r="K147" s="885">
        <v>99796</v>
      </c>
      <c r="L147" s="885"/>
      <c r="M147" s="885"/>
      <c r="N147" s="885"/>
      <c r="O147" s="864">
        <f t="shared" si="20"/>
        <v>0.8808197777562026</v>
      </c>
      <c r="P147" s="864"/>
      <c r="Q147" s="864">
        <f t="shared" si="21"/>
        <v>0.8808197777562026</v>
      </c>
      <c r="R147" s="865"/>
      <c r="S147" t="b">
        <f t="shared" si="22"/>
        <v>1</v>
      </c>
      <c r="T147" s="6"/>
      <c r="U147" s="6"/>
    </row>
    <row r="148" spans="1:21" s="630" customFormat="1" ht="21.75" customHeight="1" thickBot="1">
      <c r="A148" s="621">
        <v>851</v>
      </c>
      <c r="B148" s="621"/>
      <c r="C148" s="766" t="s">
        <v>19</v>
      </c>
      <c r="D148" s="767">
        <v>885000</v>
      </c>
      <c r="E148" s="767">
        <f>F148+H148+I148</f>
        <v>1002803</v>
      </c>
      <c r="F148" s="768">
        <f>F151+F149+F154</f>
        <v>1002803</v>
      </c>
      <c r="G148" s="768"/>
      <c r="H148" s="768"/>
      <c r="I148" s="768"/>
      <c r="J148" s="769">
        <f>K148+M148+N148</f>
        <v>910222.2500000001</v>
      </c>
      <c r="K148" s="770">
        <f>K151+K149+K154</f>
        <v>910222.2500000001</v>
      </c>
      <c r="L148" s="770"/>
      <c r="M148" s="770"/>
      <c r="N148" s="770"/>
      <c r="O148" s="771">
        <f t="shared" si="20"/>
        <v>0.9076780284861534</v>
      </c>
      <c r="P148" s="771"/>
      <c r="Q148" s="771">
        <f t="shared" si="21"/>
        <v>0.9076780284861534</v>
      </c>
      <c r="R148" s="628"/>
      <c r="S148" s="629" t="b">
        <f t="shared" si="22"/>
        <v>1</v>
      </c>
      <c r="T148" s="629"/>
      <c r="U148" s="629"/>
    </row>
    <row r="149" spans="1:21" s="648" customFormat="1" ht="21.75" customHeight="1">
      <c r="A149" s="602" t="s">
        <v>1221</v>
      </c>
      <c r="B149" s="886">
        <v>85121</v>
      </c>
      <c r="C149" s="502" t="s">
        <v>275</v>
      </c>
      <c r="D149" s="634">
        <v>120000</v>
      </c>
      <c r="E149" s="634">
        <f>F149+H149+I149</f>
        <v>120000</v>
      </c>
      <c r="F149" s="887">
        <f>SUM(F150:F150)</f>
        <v>120000</v>
      </c>
      <c r="G149" s="887"/>
      <c r="H149" s="887"/>
      <c r="I149" s="887"/>
      <c r="J149" s="636">
        <f>K149+M149+N149</f>
        <v>52394.8</v>
      </c>
      <c r="K149" s="888">
        <f>SUM(K150:K150)</f>
        <v>52394.8</v>
      </c>
      <c r="L149" s="888"/>
      <c r="M149" s="888"/>
      <c r="N149" s="888"/>
      <c r="O149" s="889">
        <f t="shared" si="20"/>
        <v>0.43662333333333336</v>
      </c>
      <c r="P149" s="889"/>
      <c r="Q149" s="889">
        <f t="shared" si="21"/>
        <v>0.43662333333333336</v>
      </c>
      <c r="R149" s="856"/>
      <c r="S149" t="b">
        <f t="shared" si="22"/>
        <v>1</v>
      </c>
      <c r="T149"/>
      <c r="U149"/>
    </row>
    <row r="150" spans="1:21" s="648" customFormat="1" ht="21.75" customHeight="1">
      <c r="A150" s="602"/>
      <c r="B150" s="639"/>
      <c r="C150" s="680" t="s">
        <v>1270</v>
      </c>
      <c r="D150" s="890">
        <v>120000</v>
      </c>
      <c r="E150" s="890">
        <f>F150+H150+I150</f>
        <v>120000</v>
      </c>
      <c r="F150" s="891">
        <v>120000</v>
      </c>
      <c r="G150" s="891"/>
      <c r="H150" s="891"/>
      <c r="I150" s="891"/>
      <c r="J150" s="892">
        <f>K150+M150+N150</f>
        <v>52394.8</v>
      </c>
      <c r="K150" s="893">
        <v>52394.8</v>
      </c>
      <c r="L150" s="893"/>
      <c r="M150" s="893"/>
      <c r="N150" s="893"/>
      <c r="O150" s="894">
        <f t="shared" si="20"/>
        <v>0.43662333333333336</v>
      </c>
      <c r="P150" s="894"/>
      <c r="Q150" s="894">
        <f t="shared" si="21"/>
        <v>0.43662333333333336</v>
      </c>
      <c r="R150" s="610"/>
      <c r="S150" t="b">
        <f t="shared" si="22"/>
        <v>1</v>
      </c>
      <c r="T150"/>
      <c r="U150"/>
    </row>
    <row r="151" spans="1:21" s="648" customFormat="1" ht="21.75" customHeight="1">
      <c r="A151" s="602" t="s">
        <v>1221</v>
      </c>
      <c r="B151" s="851">
        <v>85154</v>
      </c>
      <c r="C151" s="509" t="s">
        <v>20</v>
      </c>
      <c r="D151" s="663">
        <v>765000</v>
      </c>
      <c r="E151" s="663">
        <f>F151+H151+I151</f>
        <v>853803</v>
      </c>
      <c r="F151" s="853">
        <f>SUM(F152:F153)</f>
        <v>853803</v>
      </c>
      <c r="G151" s="853"/>
      <c r="H151" s="853"/>
      <c r="I151" s="853"/>
      <c r="J151" s="665">
        <f>K151+M151+N151</f>
        <v>828832.92</v>
      </c>
      <c r="K151" s="854">
        <f>SUM(K152:K153)</f>
        <v>828832.92</v>
      </c>
      <c r="L151" s="854"/>
      <c r="M151" s="854"/>
      <c r="N151" s="854"/>
      <c r="O151" s="855">
        <f t="shared" si="20"/>
        <v>0.9707542840678705</v>
      </c>
      <c r="P151" s="855"/>
      <c r="Q151" s="855">
        <f t="shared" si="21"/>
        <v>0.9707542840678705</v>
      </c>
      <c r="R151" s="856"/>
      <c r="S151" t="b">
        <f t="shared" si="22"/>
        <v>1</v>
      </c>
      <c r="T151"/>
      <c r="U151"/>
    </row>
    <row r="152" spans="1:21" s="648" customFormat="1" ht="21.75" customHeight="1">
      <c r="A152" s="602"/>
      <c r="B152" s="639"/>
      <c r="C152" s="640" t="s">
        <v>1264</v>
      </c>
      <c r="D152" s="890">
        <v>700000</v>
      </c>
      <c r="E152" s="890">
        <f>F152+H152+I152</f>
        <v>700000</v>
      </c>
      <c r="F152" s="669">
        <f>600000+100000</f>
        <v>700000</v>
      </c>
      <c r="G152" s="669"/>
      <c r="H152" s="669"/>
      <c r="I152" s="669"/>
      <c r="J152" s="892">
        <f>K152+M152+N152</f>
        <v>698150</v>
      </c>
      <c r="K152" s="895">
        <v>698150</v>
      </c>
      <c r="L152" s="895"/>
      <c r="M152" s="895"/>
      <c r="N152" s="895"/>
      <c r="O152" s="896">
        <f t="shared" si="20"/>
        <v>0.9973571428571428</v>
      </c>
      <c r="P152" s="896"/>
      <c r="Q152" s="896">
        <f t="shared" si="21"/>
        <v>0.9973571428571428</v>
      </c>
      <c r="R152" s="610"/>
      <c r="S152" t="b">
        <f t="shared" si="22"/>
        <v>1</v>
      </c>
      <c r="T152"/>
      <c r="U152"/>
    </row>
    <row r="153" spans="1:21" s="648" customFormat="1" ht="21.75" customHeight="1">
      <c r="A153" s="602"/>
      <c r="B153" s="602"/>
      <c r="C153" s="696" t="s">
        <v>1244</v>
      </c>
      <c r="D153" s="761">
        <v>65000</v>
      </c>
      <c r="E153" s="761">
        <f>F153</f>
        <v>153803</v>
      </c>
      <c r="F153" s="848">
        <v>153803</v>
      </c>
      <c r="G153" s="848"/>
      <c r="H153" s="848"/>
      <c r="I153" s="848"/>
      <c r="J153" s="849">
        <f>K153</f>
        <v>130682.92</v>
      </c>
      <c r="K153" s="764">
        <v>130682.92</v>
      </c>
      <c r="L153" s="764"/>
      <c r="M153" s="764"/>
      <c r="N153" s="764"/>
      <c r="O153" s="897">
        <f t="shared" si="20"/>
        <v>0.8496773144867135</v>
      </c>
      <c r="P153" s="897"/>
      <c r="Q153" s="897">
        <f t="shared" si="21"/>
        <v>0.8496773144867135</v>
      </c>
      <c r="R153" s="610"/>
      <c r="S153" t="b">
        <f t="shared" si="22"/>
        <v>1</v>
      </c>
      <c r="T153"/>
      <c r="U153"/>
    </row>
    <row r="154" spans="1:21" s="648" customFormat="1" ht="21.75" customHeight="1">
      <c r="A154" s="602" t="s">
        <v>1221</v>
      </c>
      <c r="B154" s="851">
        <v>85195</v>
      </c>
      <c r="C154" s="509" t="s">
        <v>13</v>
      </c>
      <c r="D154" s="663"/>
      <c r="E154" s="663">
        <f>F154+H154+I154</f>
        <v>29000</v>
      </c>
      <c r="F154" s="853">
        <f>SUM(F155:F156)</f>
        <v>29000</v>
      </c>
      <c r="G154" s="853"/>
      <c r="H154" s="853"/>
      <c r="I154" s="853"/>
      <c r="J154" s="665">
        <f>K154+L154+N154</f>
        <v>28994.53</v>
      </c>
      <c r="K154" s="854">
        <f>K156+K155</f>
        <v>28994.53</v>
      </c>
      <c r="L154" s="854"/>
      <c r="M154" s="854"/>
      <c r="N154" s="854"/>
      <c r="O154" s="855">
        <f t="shared" si="20"/>
        <v>0.9998113793103448</v>
      </c>
      <c r="P154" s="855"/>
      <c r="Q154" s="855">
        <f t="shared" si="21"/>
        <v>0.9998113793103448</v>
      </c>
      <c r="R154" s="856"/>
      <c r="S154" t="b">
        <f t="shared" si="22"/>
        <v>1</v>
      </c>
      <c r="T154"/>
      <c r="U154"/>
    </row>
    <row r="155" spans="1:21" s="648" customFormat="1" ht="30" customHeight="1">
      <c r="A155" s="602"/>
      <c r="B155" s="639"/>
      <c r="C155" s="640" t="s">
        <v>1271</v>
      </c>
      <c r="D155" s="890"/>
      <c r="E155" s="890">
        <f>F155+H155+I155</f>
        <v>15000</v>
      </c>
      <c r="F155" s="669">
        <v>15000</v>
      </c>
      <c r="G155" s="669"/>
      <c r="H155" s="669"/>
      <c r="I155" s="669"/>
      <c r="J155" s="892">
        <f>K155</f>
        <v>15000</v>
      </c>
      <c r="K155" s="895">
        <v>15000</v>
      </c>
      <c r="L155" s="895"/>
      <c r="M155" s="895"/>
      <c r="N155" s="895"/>
      <c r="O155" s="647">
        <f t="shared" si="20"/>
        <v>1</v>
      </c>
      <c r="P155" s="896"/>
      <c r="Q155" s="896">
        <f t="shared" si="21"/>
        <v>1</v>
      </c>
      <c r="R155" s="610"/>
      <c r="S155" t="b">
        <f t="shared" si="22"/>
        <v>1</v>
      </c>
      <c r="T155"/>
      <c r="U155"/>
    </row>
    <row r="156" spans="1:21" s="648" customFormat="1" ht="21" customHeight="1">
      <c r="A156" s="602"/>
      <c r="B156" s="602"/>
      <c r="C156" s="696" t="s">
        <v>1244</v>
      </c>
      <c r="D156" s="761"/>
      <c r="E156" s="761">
        <f>F156</f>
        <v>14000</v>
      </c>
      <c r="F156" s="848">
        <v>14000</v>
      </c>
      <c r="G156" s="848"/>
      <c r="H156" s="848"/>
      <c r="I156" s="848"/>
      <c r="J156" s="849">
        <f>K156</f>
        <v>13994.53</v>
      </c>
      <c r="K156" s="764">
        <v>13994.53</v>
      </c>
      <c r="L156" s="764"/>
      <c r="M156" s="764"/>
      <c r="N156" s="764"/>
      <c r="O156" s="850">
        <f t="shared" si="20"/>
        <v>0.9996092857142858</v>
      </c>
      <c r="P156" s="850"/>
      <c r="Q156" s="850">
        <f t="shared" si="21"/>
        <v>0.9996092857142858</v>
      </c>
      <c r="R156" s="610"/>
      <c r="S156" t="b">
        <f t="shared" si="22"/>
        <v>1</v>
      </c>
      <c r="T156"/>
      <c r="U156"/>
    </row>
    <row r="157" spans="1:21" s="630" customFormat="1" ht="19.5" customHeight="1" thickBot="1">
      <c r="A157" s="621">
        <v>852</v>
      </c>
      <c r="B157" s="621"/>
      <c r="C157" s="766" t="s">
        <v>54</v>
      </c>
      <c r="D157" s="767">
        <v>3713995</v>
      </c>
      <c r="E157" s="767">
        <f>F157+H157+I157</f>
        <v>7722063</v>
      </c>
      <c r="F157" s="898">
        <f>F162+F168+F158+F175+F178+F173</f>
        <v>5227199</v>
      </c>
      <c r="G157" s="898"/>
      <c r="H157" s="898">
        <f>H162+H168+H158+H175+H178</f>
        <v>0</v>
      </c>
      <c r="I157" s="898">
        <f>I162+I168+I158+I175+I178+I173</f>
        <v>2494864</v>
      </c>
      <c r="J157" s="769">
        <f>K157+M157+N157</f>
        <v>7325323.54</v>
      </c>
      <c r="K157" s="899">
        <f>K162+K168+K158+K175+K178+K173</f>
        <v>5196354.53</v>
      </c>
      <c r="L157" s="899"/>
      <c r="M157" s="899">
        <f>M162+M168+M158+M175+M178</f>
        <v>0</v>
      </c>
      <c r="N157" s="899">
        <f>N162+N168+N158+N175+N178+N173</f>
        <v>2128969.01</v>
      </c>
      <c r="O157" s="900">
        <f t="shared" si="20"/>
        <v>0.9486226077150627</v>
      </c>
      <c r="P157" s="900"/>
      <c r="Q157" s="900">
        <f t="shared" si="21"/>
        <v>0.9940992355561746</v>
      </c>
      <c r="R157" s="901"/>
      <c r="S157" s="629" t="b">
        <f t="shared" si="22"/>
        <v>1</v>
      </c>
      <c r="T157" s="629"/>
      <c r="U157" s="629"/>
    </row>
    <row r="158" spans="1:21" s="620" customFormat="1" ht="21.75" customHeight="1">
      <c r="A158" s="631"/>
      <c r="B158" s="612">
        <v>85201</v>
      </c>
      <c r="C158" s="635" t="s">
        <v>837</v>
      </c>
      <c r="D158" s="634">
        <v>980000</v>
      </c>
      <c r="E158" s="634">
        <f>F158+H158+I158</f>
        <v>2330674</v>
      </c>
      <c r="F158" s="792">
        <f>SUM(F159:F161)</f>
        <v>1480120</v>
      </c>
      <c r="G158" s="792"/>
      <c r="H158" s="792">
        <f>SUM(H159:H161)</f>
        <v>0</v>
      </c>
      <c r="I158" s="792">
        <f>SUM(I159:I161)</f>
        <v>850554</v>
      </c>
      <c r="J158" s="636">
        <f>K158+M158+N158</f>
        <v>2187513.8600000003</v>
      </c>
      <c r="K158" s="793">
        <f>SUM(K159:K161)</f>
        <v>1471874.0700000003</v>
      </c>
      <c r="L158" s="793"/>
      <c r="M158" s="793"/>
      <c r="N158" s="793">
        <f>N159+N161</f>
        <v>715639.79</v>
      </c>
      <c r="O158" s="794">
        <f t="shared" si="20"/>
        <v>0.938575648074334</v>
      </c>
      <c r="P158" s="794"/>
      <c r="Q158" s="794">
        <f t="shared" si="21"/>
        <v>0.9944288773883201</v>
      </c>
      <c r="R158" s="619"/>
      <c r="S158" t="b">
        <f t="shared" si="22"/>
        <v>1</v>
      </c>
      <c r="T158"/>
      <c r="U158"/>
    </row>
    <row r="159" spans="1:21" s="620" customFormat="1" ht="21.75" customHeight="1">
      <c r="A159" s="631"/>
      <c r="B159" s="812"/>
      <c r="C159" s="902" t="s">
        <v>1272</v>
      </c>
      <c r="D159" s="903">
        <v>163000</v>
      </c>
      <c r="E159" s="903">
        <f>F159+I159</f>
        <v>1368697</v>
      </c>
      <c r="F159" s="642">
        <v>611833</v>
      </c>
      <c r="G159" s="817"/>
      <c r="H159" s="817"/>
      <c r="I159" s="817">
        <v>756864</v>
      </c>
      <c r="J159" s="904">
        <f>K159+N159</f>
        <v>1226081.56</v>
      </c>
      <c r="K159" s="645">
        <f>128745.22+239254+30501+70921.82+14050+23100+32000+65559.13</f>
        <v>604131.17</v>
      </c>
      <c r="L159" s="905"/>
      <c r="M159" s="905"/>
      <c r="N159" s="819">
        <f>253553+210513.99+14050+26024.24+117809.16</f>
        <v>621950.39</v>
      </c>
      <c r="O159" s="821">
        <f t="shared" si="20"/>
        <v>0.8958020365354786</v>
      </c>
      <c r="P159" s="821"/>
      <c r="Q159" s="821">
        <f t="shared" si="21"/>
        <v>0.9874118754627489</v>
      </c>
      <c r="R159" s="906"/>
      <c r="S159" t="b">
        <f t="shared" si="22"/>
        <v>1</v>
      </c>
      <c r="T159"/>
      <c r="U159"/>
    </row>
    <row r="160" spans="1:21" s="620" customFormat="1" ht="21.75" customHeight="1">
      <c r="A160" s="631"/>
      <c r="B160" s="631"/>
      <c r="C160" s="907" t="s">
        <v>1273</v>
      </c>
      <c r="D160" s="908">
        <v>800000</v>
      </c>
      <c r="E160" s="908">
        <f>F160</f>
        <v>800000</v>
      </c>
      <c r="F160" s="909">
        <v>800000</v>
      </c>
      <c r="G160" s="826"/>
      <c r="H160" s="826"/>
      <c r="I160" s="826"/>
      <c r="J160" s="910">
        <f>K160</f>
        <v>799456.28</v>
      </c>
      <c r="K160" s="911">
        <v>799456.28</v>
      </c>
      <c r="L160" s="912"/>
      <c r="M160" s="912"/>
      <c r="N160" s="912"/>
      <c r="O160" s="830">
        <f t="shared" si="20"/>
        <v>0.9993203500000001</v>
      </c>
      <c r="P160" s="830"/>
      <c r="Q160" s="830">
        <f t="shared" si="21"/>
        <v>0.9993203500000001</v>
      </c>
      <c r="R160" s="906"/>
      <c r="S160" t="b">
        <f t="shared" si="22"/>
        <v>1</v>
      </c>
      <c r="T160"/>
      <c r="U160"/>
    </row>
    <row r="161" spans="1:21" s="916" customFormat="1" ht="21.75" customHeight="1">
      <c r="A161" s="602"/>
      <c r="B161" s="695"/>
      <c r="C161" s="804" t="s">
        <v>1244</v>
      </c>
      <c r="D161" s="760">
        <v>17000</v>
      </c>
      <c r="E161" s="760">
        <f>F161+H161+I161</f>
        <v>161977</v>
      </c>
      <c r="F161" s="762">
        <v>68287</v>
      </c>
      <c r="G161" s="913"/>
      <c r="H161" s="913"/>
      <c r="I161" s="913">
        <v>93690</v>
      </c>
      <c r="J161" s="805">
        <f>K161+N161</f>
        <v>161976.02</v>
      </c>
      <c r="K161" s="806">
        <f>15949.8+30500+21836.82</f>
        <v>68286.62</v>
      </c>
      <c r="L161" s="807"/>
      <c r="M161" s="807"/>
      <c r="N161" s="807">
        <f>15949.8+14275.76+63463.84</f>
        <v>93689.4</v>
      </c>
      <c r="O161" s="914">
        <f t="shared" si="20"/>
        <v>0.9999939497582989</v>
      </c>
      <c r="P161" s="701"/>
      <c r="Q161" s="915">
        <f t="shared" si="21"/>
        <v>0.999994435251219</v>
      </c>
      <c r="R161" s="906"/>
      <c r="S161" t="b">
        <f t="shared" si="22"/>
        <v>1</v>
      </c>
      <c r="T161"/>
      <c r="U161"/>
    </row>
    <row r="162" spans="1:21" s="620" customFormat="1" ht="24" customHeight="1">
      <c r="A162" s="631"/>
      <c r="B162" s="612">
        <v>85202</v>
      </c>
      <c r="C162" s="635" t="s">
        <v>57</v>
      </c>
      <c r="D162" s="634">
        <v>2633995</v>
      </c>
      <c r="E162" s="634">
        <f>F162+H162+I162</f>
        <v>4820389</v>
      </c>
      <c r="F162" s="792">
        <f>SUM(F163:F172)</f>
        <v>3213579</v>
      </c>
      <c r="G162" s="792"/>
      <c r="H162" s="792">
        <f>H165</f>
        <v>0</v>
      </c>
      <c r="I162" s="792">
        <f>I163+I164+I165+I166+I172+I171+I170</f>
        <v>1606810</v>
      </c>
      <c r="J162" s="636">
        <f>K162+M162+N162</f>
        <v>4592650.74</v>
      </c>
      <c r="K162" s="793">
        <f>SUM(K163:K172)</f>
        <v>3206721.52</v>
      </c>
      <c r="L162" s="793"/>
      <c r="M162" s="793">
        <f>SUM(M163:M172)</f>
        <v>0</v>
      </c>
      <c r="N162" s="793">
        <f>SUM(N163:N172)</f>
        <v>1385929.22</v>
      </c>
      <c r="O162" s="794">
        <f t="shared" si="20"/>
        <v>0.9527552112495485</v>
      </c>
      <c r="P162" s="794"/>
      <c r="Q162" s="794">
        <f t="shared" si="21"/>
        <v>0.9978660926026713</v>
      </c>
      <c r="R162" s="619"/>
      <c r="S162" t="b">
        <f t="shared" si="22"/>
        <v>1</v>
      </c>
      <c r="T162"/>
      <c r="U162"/>
    </row>
    <row r="163" spans="1:21" s="916" customFormat="1" ht="21.75" customHeight="1">
      <c r="A163" s="602"/>
      <c r="B163" s="639"/>
      <c r="C163" s="917" t="s">
        <v>1274</v>
      </c>
      <c r="D163" s="641">
        <v>218300</v>
      </c>
      <c r="E163" s="641">
        <f>F163+H163+I163</f>
        <v>554924</v>
      </c>
      <c r="F163" s="669">
        <v>327924</v>
      </c>
      <c r="G163" s="643"/>
      <c r="H163" s="643"/>
      <c r="I163" s="643">
        <v>227000</v>
      </c>
      <c r="J163" s="644">
        <f>K163+M163+N163</f>
        <v>396075.94999999995</v>
      </c>
      <c r="K163" s="895">
        <f>140967.85+29280+157332</f>
        <v>327579.85</v>
      </c>
      <c r="L163" s="646"/>
      <c r="M163" s="646"/>
      <c r="N163" s="646">
        <f>68496.1</f>
        <v>68496.1</v>
      </c>
      <c r="O163" s="647">
        <f t="shared" si="20"/>
        <v>0.7137480988387598</v>
      </c>
      <c r="P163" s="647"/>
      <c r="Q163" s="647">
        <f t="shared" si="21"/>
        <v>0.9989505190227003</v>
      </c>
      <c r="R163" s="610"/>
      <c r="S163" t="b">
        <f t="shared" si="22"/>
        <v>1</v>
      </c>
      <c r="T163"/>
      <c r="U163"/>
    </row>
    <row r="164" spans="1:21" s="916" customFormat="1" ht="31.5" customHeight="1">
      <c r="A164" s="602"/>
      <c r="B164" s="602"/>
      <c r="C164" s="918" t="s">
        <v>1275</v>
      </c>
      <c r="D164" s="713">
        <v>100000</v>
      </c>
      <c r="E164" s="713">
        <f>F164+H164+I164</f>
        <v>57286</v>
      </c>
      <c r="F164" s="714">
        <v>35536</v>
      </c>
      <c r="G164" s="688"/>
      <c r="H164" s="688"/>
      <c r="I164" s="688">
        <v>21750</v>
      </c>
      <c r="J164" s="715">
        <f>K164+M164+N164</f>
        <v>53945.17</v>
      </c>
      <c r="K164" s="716">
        <f>13786+20079.59</f>
        <v>33865.59</v>
      </c>
      <c r="L164" s="691"/>
      <c r="M164" s="691"/>
      <c r="N164" s="691">
        <f>20079.58</f>
        <v>20079.58</v>
      </c>
      <c r="O164" s="694">
        <f t="shared" si="20"/>
        <v>0.9416815626854729</v>
      </c>
      <c r="P164" s="694"/>
      <c r="Q164" s="694">
        <f t="shared" si="21"/>
        <v>0.9529938653759567</v>
      </c>
      <c r="R164" s="610"/>
      <c r="S164" t="b">
        <f t="shared" si="22"/>
        <v>1</v>
      </c>
      <c r="T164"/>
      <c r="U164"/>
    </row>
    <row r="165" spans="1:21" s="611" customFormat="1" ht="30" customHeight="1">
      <c r="A165" s="602"/>
      <c r="B165" s="602"/>
      <c r="C165" s="658" t="s">
        <v>1276</v>
      </c>
      <c r="D165" s="604">
        <v>2015695</v>
      </c>
      <c r="E165" s="604">
        <f>F165+H165+I165</f>
        <v>2258245</v>
      </c>
      <c r="F165" s="605">
        <v>2023095</v>
      </c>
      <c r="G165" s="605"/>
      <c r="H165" s="605"/>
      <c r="I165" s="605">
        <v>235150</v>
      </c>
      <c r="J165" s="803">
        <f>K165+M165+N165</f>
        <v>2257268.18</v>
      </c>
      <c r="K165" s="659">
        <f>1973694.82+9248.6+39174.76</f>
        <v>2022118.1800000002</v>
      </c>
      <c r="L165" s="659"/>
      <c r="M165" s="659"/>
      <c r="N165" s="659">
        <v>235150</v>
      </c>
      <c r="O165" s="919">
        <f t="shared" si="20"/>
        <v>0.9995674428593887</v>
      </c>
      <c r="P165" s="919"/>
      <c r="Q165" s="919">
        <f t="shared" si="21"/>
        <v>0.9995171655310305</v>
      </c>
      <c r="R165" s="610"/>
      <c r="S165" t="b">
        <f t="shared" si="22"/>
        <v>1</v>
      </c>
      <c r="T165"/>
      <c r="U165"/>
    </row>
    <row r="166" spans="1:21" s="611" customFormat="1" ht="22.5" customHeight="1">
      <c r="A166" s="695"/>
      <c r="B166" s="695"/>
      <c r="C166" s="696" t="s">
        <v>1277</v>
      </c>
      <c r="D166" s="761">
        <v>300000</v>
      </c>
      <c r="E166" s="761">
        <f>F166</f>
        <v>75000</v>
      </c>
      <c r="F166" s="848">
        <v>75000</v>
      </c>
      <c r="G166" s="848"/>
      <c r="H166" s="848"/>
      <c r="I166" s="848"/>
      <c r="J166" s="849">
        <f>K166</f>
        <v>73354.25</v>
      </c>
      <c r="K166" s="764">
        <v>73354.25</v>
      </c>
      <c r="L166" s="764"/>
      <c r="M166" s="764"/>
      <c r="N166" s="764"/>
      <c r="O166" s="897">
        <f t="shared" si="20"/>
        <v>0.9780566666666667</v>
      </c>
      <c r="P166" s="897"/>
      <c r="Q166" s="897">
        <f t="shared" si="21"/>
        <v>0.9780566666666667</v>
      </c>
      <c r="R166" s="610"/>
      <c r="S166" t="b">
        <f t="shared" si="22"/>
        <v>1</v>
      </c>
      <c r="T166"/>
      <c r="U166"/>
    </row>
    <row r="167" spans="1:21" s="620" customFormat="1" ht="27.75" customHeight="1" hidden="1">
      <c r="A167" s="631"/>
      <c r="B167" s="612"/>
      <c r="C167" s="920" t="s">
        <v>1262</v>
      </c>
      <c r="D167" s="921">
        <v>0</v>
      </c>
      <c r="E167" s="713">
        <f>F167</f>
        <v>0</v>
      </c>
      <c r="F167" s="922"/>
      <c r="G167" s="792"/>
      <c r="H167" s="792"/>
      <c r="I167" s="792"/>
      <c r="J167" s="923">
        <f>K167</f>
        <v>0</v>
      </c>
      <c r="K167" s="924"/>
      <c r="L167" s="793"/>
      <c r="M167" s="793"/>
      <c r="N167" s="793"/>
      <c r="O167" s="925" t="e">
        <f t="shared" si="20"/>
        <v>#DIV/0!</v>
      </c>
      <c r="P167" s="794"/>
      <c r="Q167" s="925" t="e">
        <f t="shared" si="21"/>
        <v>#DIV/0!</v>
      </c>
      <c r="R167" s="610"/>
      <c r="S167" t="b">
        <f t="shared" si="22"/>
        <v>1</v>
      </c>
      <c r="T167"/>
      <c r="U167"/>
    </row>
    <row r="168" spans="1:21" s="611" customFormat="1" ht="21.75" customHeight="1" hidden="1">
      <c r="A168" s="602"/>
      <c r="B168" s="721">
        <v>85203</v>
      </c>
      <c r="C168" s="664" t="s">
        <v>59</v>
      </c>
      <c r="D168" s="926">
        <v>0</v>
      </c>
      <c r="E168" s="678">
        <f>F168</f>
        <v>0</v>
      </c>
      <c r="F168" s="853">
        <f>SUM(F169:F169)</f>
        <v>0</v>
      </c>
      <c r="G168" s="853"/>
      <c r="H168" s="853"/>
      <c r="I168" s="853"/>
      <c r="J168" s="927">
        <f>K168+M168+N168</f>
        <v>0</v>
      </c>
      <c r="K168" s="854">
        <f>SUM(K169:K169)</f>
        <v>0</v>
      </c>
      <c r="L168" s="854"/>
      <c r="M168" s="854"/>
      <c r="N168" s="854"/>
      <c r="O168" s="896" t="e">
        <f t="shared" si="20"/>
        <v>#DIV/0!</v>
      </c>
      <c r="P168" s="855"/>
      <c r="Q168" s="896" t="e">
        <f t="shared" si="21"/>
        <v>#DIV/0!</v>
      </c>
      <c r="R168" s="610"/>
      <c r="S168" t="b">
        <f t="shared" si="22"/>
        <v>1</v>
      </c>
      <c r="T168"/>
      <c r="U168"/>
    </row>
    <row r="169" spans="1:21" s="611" customFormat="1" ht="24" customHeight="1" hidden="1">
      <c r="A169" s="602"/>
      <c r="B169" s="639"/>
      <c r="C169" s="704" t="s">
        <v>1262</v>
      </c>
      <c r="D169" s="890">
        <v>0</v>
      </c>
      <c r="E169" s="678">
        <f>F169</f>
        <v>0</v>
      </c>
      <c r="F169" s="891"/>
      <c r="G169" s="891"/>
      <c r="H169" s="891"/>
      <c r="I169" s="891"/>
      <c r="J169" s="892">
        <f>K169+M169+N169</f>
        <v>0</v>
      </c>
      <c r="K169" s="893"/>
      <c r="L169" s="893"/>
      <c r="M169" s="893"/>
      <c r="N169" s="893"/>
      <c r="O169" s="894" t="e">
        <f t="shared" si="20"/>
        <v>#DIV/0!</v>
      </c>
      <c r="P169" s="894"/>
      <c r="Q169" s="894" t="e">
        <f t="shared" si="21"/>
        <v>#DIV/0!</v>
      </c>
      <c r="R169" s="610"/>
      <c r="S169" t="b">
        <f t="shared" si="22"/>
        <v>1</v>
      </c>
      <c r="T169"/>
      <c r="U169"/>
    </row>
    <row r="170" spans="1:21" s="611" customFormat="1" ht="31.5" customHeight="1">
      <c r="A170" s="602"/>
      <c r="B170" s="602"/>
      <c r="C170" s="928" t="s">
        <v>1278</v>
      </c>
      <c r="D170" s="678"/>
      <c r="E170" s="678">
        <f>F170+H170+I170</f>
        <v>335662</v>
      </c>
      <c r="F170" s="717">
        <v>39010</v>
      </c>
      <c r="G170" s="717"/>
      <c r="H170" s="717"/>
      <c r="I170" s="717">
        <v>296652</v>
      </c>
      <c r="J170" s="718">
        <f>K170+M170+N170</f>
        <v>335662</v>
      </c>
      <c r="K170" s="719">
        <f>16058.19+22951.81</f>
        <v>39010</v>
      </c>
      <c r="L170" s="719"/>
      <c r="M170" s="719"/>
      <c r="N170" s="719">
        <f>263000+33652</f>
        <v>296652</v>
      </c>
      <c r="O170" s="847">
        <f t="shared" si="20"/>
        <v>1</v>
      </c>
      <c r="P170" s="847"/>
      <c r="Q170" s="847">
        <f t="shared" si="21"/>
        <v>1</v>
      </c>
      <c r="R170" s="610"/>
      <c r="S170" t="b">
        <f t="shared" si="22"/>
        <v>1</v>
      </c>
      <c r="T170"/>
      <c r="U170"/>
    </row>
    <row r="171" spans="1:21" s="611" customFormat="1" ht="28.5">
      <c r="A171" s="602"/>
      <c r="B171" s="602"/>
      <c r="C171" s="658" t="s">
        <v>1279</v>
      </c>
      <c r="D171" s="604"/>
      <c r="E171" s="678">
        <f>F171+I171</f>
        <v>788200</v>
      </c>
      <c r="F171" s="605">
        <v>394100</v>
      </c>
      <c r="G171" s="605"/>
      <c r="H171" s="605"/>
      <c r="I171" s="605">
        <v>394100</v>
      </c>
      <c r="J171" s="803">
        <f>K171+N171</f>
        <v>731080</v>
      </c>
      <c r="K171" s="659">
        <f>127100+68500+130000+68500</f>
        <v>394100</v>
      </c>
      <c r="L171" s="659"/>
      <c r="M171" s="659"/>
      <c r="N171" s="659">
        <f>127100+66080+85600+58200</f>
        <v>336980</v>
      </c>
      <c r="O171" s="685">
        <f aca="true" t="shared" si="23" ref="O171:O188">J171/E171</f>
        <v>0.9275310834813499</v>
      </c>
      <c r="P171" s="847"/>
      <c r="Q171" s="847">
        <f aca="true" t="shared" si="24" ref="Q171:Q187">K171/F171</f>
        <v>1</v>
      </c>
      <c r="R171" s="610"/>
      <c r="S171" t="b">
        <f t="shared" si="22"/>
        <v>1</v>
      </c>
      <c r="T171"/>
      <c r="U171"/>
    </row>
    <row r="172" spans="1:21" s="611" customFormat="1" ht="20.25" customHeight="1">
      <c r="A172" s="602"/>
      <c r="B172" s="695"/>
      <c r="C172" s="698" t="s">
        <v>1244</v>
      </c>
      <c r="D172" s="761"/>
      <c r="E172" s="761">
        <f>F172+G172+I172</f>
        <v>751072</v>
      </c>
      <c r="F172" s="848">
        <v>318914</v>
      </c>
      <c r="G172" s="848"/>
      <c r="H172" s="848"/>
      <c r="I172" s="848">
        <v>432158</v>
      </c>
      <c r="J172" s="849">
        <f>K172+N172</f>
        <v>745265.1900000001</v>
      </c>
      <c r="K172" s="764">
        <f>77931.31+71091.76+60000+19922.54+66748.34+20999.7</f>
        <v>316693.65</v>
      </c>
      <c r="L172" s="764"/>
      <c r="M172" s="764"/>
      <c r="N172" s="764">
        <f>77931.31+144992.6+60000+124647.63+21000</f>
        <v>428571.54000000004</v>
      </c>
      <c r="O172" s="701">
        <f t="shared" si="23"/>
        <v>0.9922686373609988</v>
      </c>
      <c r="P172" s="897"/>
      <c r="Q172" s="897">
        <f t="shared" si="24"/>
        <v>0.9930377782097995</v>
      </c>
      <c r="R172" s="610"/>
      <c r="S172" t="b">
        <f t="shared" si="22"/>
        <v>1</v>
      </c>
      <c r="T172"/>
      <c r="U172"/>
    </row>
    <row r="173" spans="1:21" s="620" customFormat="1" ht="20.25" customHeight="1">
      <c r="A173" s="631"/>
      <c r="B173" s="632">
        <v>85203</v>
      </c>
      <c r="C173" s="633" t="s">
        <v>59</v>
      </c>
      <c r="D173" s="634"/>
      <c r="E173" s="634">
        <f>F173+H173+I173</f>
        <v>106000</v>
      </c>
      <c r="F173" s="792">
        <f>F174</f>
        <v>68500</v>
      </c>
      <c r="G173" s="792"/>
      <c r="H173" s="792">
        <f>H174</f>
        <v>0</v>
      </c>
      <c r="I173" s="792">
        <f>I174</f>
        <v>37500</v>
      </c>
      <c r="J173" s="636">
        <f>K173+M173+N173</f>
        <v>95900</v>
      </c>
      <c r="K173" s="793">
        <f>K174</f>
        <v>68500</v>
      </c>
      <c r="L173" s="793"/>
      <c r="M173" s="793"/>
      <c r="N173" s="793">
        <f>N174</f>
        <v>27400</v>
      </c>
      <c r="O173" s="794">
        <f t="shared" si="23"/>
        <v>0.9047169811320754</v>
      </c>
      <c r="P173" s="794"/>
      <c r="Q173" s="794">
        <f t="shared" si="24"/>
        <v>1</v>
      </c>
      <c r="R173" s="619"/>
      <c r="S173" t="b">
        <f t="shared" si="22"/>
        <v>1</v>
      </c>
      <c r="T173"/>
      <c r="U173"/>
    </row>
    <row r="174" spans="1:21" s="648" customFormat="1" ht="28.5">
      <c r="A174" s="602"/>
      <c r="B174" s="695"/>
      <c r="C174" s="759" t="s">
        <v>1279</v>
      </c>
      <c r="D174" s="760"/>
      <c r="E174" s="760">
        <f>F174+H174+I174</f>
        <v>106000</v>
      </c>
      <c r="F174" s="762">
        <v>68500</v>
      </c>
      <c r="G174" s="804"/>
      <c r="H174" s="804"/>
      <c r="I174" s="804">
        <v>37500</v>
      </c>
      <c r="J174" s="805">
        <f>K174+M174+N174</f>
        <v>95900</v>
      </c>
      <c r="K174" s="806">
        <v>68500</v>
      </c>
      <c r="L174" s="807"/>
      <c r="M174" s="807"/>
      <c r="N174" s="807">
        <v>27400</v>
      </c>
      <c r="O174" s="808">
        <f t="shared" si="23"/>
        <v>0.9047169811320754</v>
      </c>
      <c r="P174" s="808"/>
      <c r="Q174" s="808">
        <f t="shared" si="24"/>
        <v>1</v>
      </c>
      <c r="R174" s="610"/>
      <c r="S174" t="b">
        <f t="shared" si="22"/>
        <v>1</v>
      </c>
      <c r="T174"/>
      <c r="U174"/>
    </row>
    <row r="175" spans="1:21" s="611" customFormat="1" ht="23.25" customHeight="1">
      <c r="A175" s="602"/>
      <c r="B175" s="721">
        <v>85219</v>
      </c>
      <c r="C175" s="664" t="s">
        <v>646</v>
      </c>
      <c r="D175" s="926">
        <v>100000</v>
      </c>
      <c r="E175" s="926">
        <f>F175+H175+I175</f>
        <v>390000</v>
      </c>
      <c r="F175" s="853">
        <f>SUM(F176:F177)</f>
        <v>390000</v>
      </c>
      <c r="G175" s="853"/>
      <c r="H175" s="853"/>
      <c r="I175" s="853"/>
      <c r="J175" s="927">
        <f>K175+M175+N175</f>
        <v>374270</v>
      </c>
      <c r="K175" s="854">
        <f>SUM(K176:K177)</f>
        <v>374270</v>
      </c>
      <c r="L175" s="854"/>
      <c r="M175" s="854"/>
      <c r="N175" s="854"/>
      <c r="O175" s="855">
        <f t="shared" si="23"/>
        <v>0.9596666666666667</v>
      </c>
      <c r="P175" s="855"/>
      <c r="Q175" s="855">
        <f t="shared" si="24"/>
        <v>0.9596666666666667</v>
      </c>
      <c r="R175" s="856"/>
      <c r="S175" t="b">
        <f t="shared" si="22"/>
        <v>1</v>
      </c>
      <c r="T175"/>
      <c r="U175"/>
    </row>
    <row r="176" spans="1:21" s="930" customFormat="1" ht="30.75" customHeight="1">
      <c r="A176" s="813"/>
      <c r="B176" s="929"/>
      <c r="C176" s="815" t="s">
        <v>1280</v>
      </c>
      <c r="D176" s="816"/>
      <c r="E176" s="816">
        <f>F176+G176+I176</f>
        <v>150000</v>
      </c>
      <c r="F176" s="817">
        <v>150000</v>
      </c>
      <c r="G176" s="817"/>
      <c r="H176" s="817"/>
      <c r="I176" s="817"/>
      <c r="J176" s="818">
        <f>K176</f>
        <v>134270</v>
      </c>
      <c r="K176" s="819">
        <v>134270</v>
      </c>
      <c r="L176" s="819"/>
      <c r="M176" s="819"/>
      <c r="N176" s="819"/>
      <c r="O176" s="919">
        <f t="shared" si="23"/>
        <v>0.8951333333333333</v>
      </c>
      <c r="P176" s="820"/>
      <c r="Q176" s="919">
        <f t="shared" si="24"/>
        <v>0.8951333333333333</v>
      </c>
      <c r="R176" s="610"/>
      <c r="S176" t="b">
        <f t="shared" si="22"/>
        <v>1</v>
      </c>
      <c r="T176" s="109"/>
      <c r="U176" s="109"/>
    </row>
    <row r="177" spans="1:21" s="611" customFormat="1" ht="19.5" customHeight="1">
      <c r="A177" s="602"/>
      <c r="B177" s="695"/>
      <c r="C177" s="804" t="s">
        <v>1244</v>
      </c>
      <c r="D177" s="760">
        <v>100000</v>
      </c>
      <c r="E177" s="760">
        <f>F177+H177+I177</f>
        <v>240000</v>
      </c>
      <c r="F177" s="762">
        <v>240000</v>
      </c>
      <c r="G177" s="762"/>
      <c r="H177" s="762"/>
      <c r="I177" s="762"/>
      <c r="J177" s="805">
        <f>K177+M177+N177</f>
        <v>240000</v>
      </c>
      <c r="K177" s="806">
        <v>240000</v>
      </c>
      <c r="L177" s="806"/>
      <c r="M177" s="806"/>
      <c r="N177" s="806"/>
      <c r="O177" s="701">
        <f t="shared" si="23"/>
        <v>1</v>
      </c>
      <c r="P177" s="897"/>
      <c r="Q177" s="897">
        <f t="shared" si="24"/>
        <v>1</v>
      </c>
      <c r="R177" s="610"/>
      <c r="S177" t="b">
        <f t="shared" si="22"/>
        <v>1</v>
      </c>
      <c r="T177"/>
      <c r="U177"/>
    </row>
    <row r="178" spans="1:21" s="611" customFormat="1" ht="23.25" customHeight="1">
      <c r="A178" s="602"/>
      <c r="B178" s="721">
        <v>85232</v>
      </c>
      <c r="C178" s="664" t="s">
        <v>655</v>
      </c>
      <c r="D178" s="926"/>
      <c r="E178" s="926">
        <f>F178+H178+I178</f>
        <v>75000</v>
      </c>
      <c r="F178" s="853">
        <f>SUM(F179:F180)</f>
        <v>75000</v>
      </c>
      <c r="G178" s="853"/>
      <c r="H178" s="853"/>
      <c r="I178" s="853"/>
      <c r="J178" s="927">
        <f>K178</f>
        <v>74988.94</v>
      </c>
      <c r="K178" s="854">
        <f>K179+K180</f>
        <v>74988.94</v>
      </c>
      <c r="L178" s="854"/>
      <c r="M178" s="854"/>
      <c r="N178" s="854"/>
      <c r="O178" s="855">
        <f t="shared" si="23"/>
        <v>0.9998525333333333</v>
      </c>
      <c r="P178" s="855"/>
      <c r="Q178" s="855">
        <f t="shared" si="24"/>
        <v>0.9998525333333333</v>
      </c>
      <c r="R178" s="856"/>
      <c r="S178" t="b">
        <f t="shared" si="22"/>
        <v>1</v>
      </c>
      <c r="T178"/>
      <c r="U178"/>
    </row>
    <row r="179" spans="1:21" s="930" customFormat="1" ht="21" customHeight="1">
      <c r="A179" s="813"/>
      <c r="B179" s="929"/>
      <c r="C179" s="902" t="s">
        <v>1281</v>
      </c>
      <c r="D179" s="816"/>
      <c r="E179" s="816">
        <f>F179+G179+I179</f>
        <v>50000</v>
      </c>
      <c r="F179" s="817">
        <v>50000</v>
      </c>
      <c r="G179" s="817"/>
      <c r="H179" s="817"/>
      <c r="I179" s="817"/>
      <c r="J179" s="818">
        <f>K179</f>
        <v>49988.94</v>
      </c>
      <c r="K179" s="819">
        <v>49988.94</v>
      </c>
      <c r="L179" s="819"/>
      <c r="M179" s="819"/>
      <c r="N179" s="819"/>
      <c r="O179" s="919">
        <f t="shared" si="23"/>
        <v>0.9997788000000001</v>
      </c>
      <c r="P179" s="820"/>
      <c r="Q179" s="919">
        <f t="shared" si="24"/>
        <v>0.9997788000000001</v>
      </c>
      <c r="R179" s="610"/>
      <c r="S179" t="b">
        <f t="shared" si="22"/>
        <v>1</v>
      </c>
      <c r="T179" s="109"/>
      <c r="U179" s="109"/>
    </row>
    <row r="180" spans="1:21" s="611" customFormat="1" ht="19.5" customHeight="1">
      <c r="A180" s="695"/>
      <c r="B180" s="695"/>
      <c r="C180" s="931" t="s">
        <v>1244</v>
      </c>
      <c r="D180" s="760"/>
      <c r="E180" s="760">
        <f>F180+H180+I180</f>
        <v>25000</v>
      </c>
      <c r="F180" s="762">
        <v>25000</v>
      </c>
      <c r="G180" s="762"/>
      <c r="H180" s="762"/>
      <c r="I180" s="762"/>
      <c r="J180" s="805">
        <f>K180</f>
        <v>25000</v>
      </c>
      <c r="K180" s="806">
        <v>25000</v>
      </c>
      <c r="L180" s="806"/>
      <c r="M180" s="806"/>
      <c r="N180" s="806"/>
      <c r="O180" s="701">
        <f t="shared" si="23"/>
        <v>1</v>
      </c>
      <c r="P180" s="897"/>
      <c r="Q180" s="897">
        <f t="shared" si="24"/>
        <v>1</v>
      </c>
      <c r="R180" s="610"/>
      <c r="S180" t="b">
        <f t="shared" si="22"/>
        <v>1</v>
      </c>
      <c r="T180"/>
      <c r="U180"/>
    </row>
    <row r="181" spans="1:21" s="630" customFormat="1" ht="25.5" customHeight="1" thickBot="1">
      <c r="A181" s="621">
        <v>853</v>
      </c>
      <c r="B181" s="621"/>
      <c r="C181" s="810" t="s">
        <v>737</v>
      </c>
      <c r="D181" s="767">
        <v>662750</v>
      </c>
      <c r="E181" s="767">
        <f>F181+H181+I181+G181</f>
        <v>740166</v>
      </c>
      <c r="F181" s="898">
        <f>F182+F186+F189</f>
        <v>670750</v>
      </c>
      <c r="G181" s="898">
        <f>G182+G186+G189</f>
        <v>3416</v>
      </c>
      <c r="H181" s="898">
        <f>H182+H186+H189</f>
        <v>0</v>
      </c>
      <c r="I181" s="898">
        <f>I182+I186+I189</f>
        <v>66000</v>
      </c>
      <c r="J181" s="769">
        <f>K181+M181+N181+L181</f>
        <v>673491.75</v>
      </c>
      <c r="K181" s="899">
        <f>K182+K186+K189</f>
        <v>670075.75</v>
      </c>
      <c r="L181" s="899">
        <f>L186</f>
        <v>3416</v>
      </c>
      <c r="M181" s="899">
        <f>M187</f>
        <v>0</v>
      </c>
      <c r="N181" s="899"/>
      <c r="O181" s="900">
        <f t="shared" si="23"/>
        <v>0.9099198693266105</v>
      </c>
      <c r="P181" s="900"/>
      <c r="Q181" s="900">
        <f t="shared" si="24"/>
        <v>0.998994781960492</v>
      </c>
      <c r="R181" s="901"/>
      <c r="S181" s="629" t="b">
        <f t="shared" si="22"/>
        <v>1</v>
      </c>
      <c r="T181" s="629"/>
      <c r="U181" s="629"/>
    </row>
    <row r="182" spans="1:21" s="620" customFormat="1" ht="24" customHeight="1">
      <c r="A182" s="631"/>
      <c r="B182" s="612">
        <v>85305</v>
      </c>
      <c r="C182" s="635" t="s">
        <v>665</v>
      </c>
      <c r="D182" s="634">
        <v>300000</v>
      </c>
      <c r="E182" s="634">
        <f>F182+H182+I182</f>
        <v>308000</v>
      </c>
      <c r="F182" s="792">
        <f>F184+F183+F185</f>
        <v>308000</v>
      </c>
      <c r="G182" s="792"/>
      <c r="H182" s="792"/>
      <c r="I182" s="792"/>
      <c r="J182" s="636">
        <f>K182+M182+N182</f>
        <v>307378.6</v>
      </c>
      <c r="K182" s="793">
        <f>K184+K183+K185</f>
        <v>307378.6</v>
      </c>
      <c r="L182" s="793"/>
      <c r="M182" s="793"/>
      <c r="N182" s="793"/>
      <c r="O182" s="794">
        <f t="shared" si="23"/>
        <v>0.9979824675324674</v>
      </c>
      <c r="P182" s="794"/>
      <c r="Q182" s="794">
        <f t="shared" si="24"/>
        <v>0.9979824675324674</v>
      </c>
      <c r="R182" s="619"/>
      <c r="S182" t="b">
        <f t="shared" si="22"/>
        <v>1</v>
      </c>
      <c r="T182"/>
      <c r="U182"/>
    </row>
    <row r="183" spans="1:21" s="611" customFormat="1" ht="21.75" customHeight="1">
      <c r="A183" s="602"/>
      <c r="B183" s="639"/>
      <c r="C183" s="640" t="s">
        <v>1266</v>
      </c>
      <c r="D183" s="641">
        <v>300000</v>
      </c>
      <c r="E183" s="641">
        <f>F183</f>
        <v>300000</v>
      </c>
      <c r="F183" s="669">
        <v>300000</v>
      </c>
      <c r="G183" s="669"/>
      <c r="H183" s="669"/>
      <c r="I183" s="669"/>
      <c r="J183" s="644">
        <f>K183</f>
        <v>299422</v>
      </c>
      <c r="K183" s="895">
        <v>299422</v>
      </c>
      <c r="L183" s="895"/>
      <c r="M183" s="895"/>
      <c r="N183" s="895"/>
      <c r="O183" s="896">
        <f t="shared" si="23"/>
        <v>0.9980733333333334</v>
      </c>
      <c r="P183" s="896"/>
      <c r="Q183" s="896">
        <f t="shared" si="24"/>
        <v>0.9980733333333334</v>
      </c>
      <c r="R183" s="610"/>
      <c r="S183" t="b">
        <f t="shared" si="22"/>
        <v>1</v>
      </c>
      <c r="T183"/>
      <c r="U183"/>
    </row>
    <row r="184" spans="1:21" s="620" customFormat="1" ht="24.75" customHeight="1" hidden="1">
      <c r="A184" s="631"/>
      <c r="B184" s="631"/>
      <c r="C184" s="932" t="s">
        <v>1244</v>
      </c>
      <c r="D184" s="933">
        <v>0</v>
      </c>
      <c r="E184" s="933">
        <f>F184</f>
        <v>0</v>
      </c>
      <c r="F184" s="934"/>
      <c r="G184" s="935"/>
      <c r="H184" s="935"/>
      <c r="I184" s="935"/>
      <c r="J184" s="936">
        <f>K184</f>
        <v>0</v>
      </c>
      <c r="K184" s="937"/>
      <c r="L184" s="938"/>
      <c r="M184" s="938"/>
      <c r="N184" s="938"/>
      <c r="O184" s="894" t="e">
        <f t="shared" si="23"/>
        <v>#DIV/0!</v>
      </c>
      <c r="P184" s="939"/>
      <c r="Q184" s="894" t="e">
        <f t="shared" si="24"/>
        <v>#DIV/0!</v>
      </c>
      <c r="R184" s="610"/>
      <c r="S184" t="b">
        <f t="shared" si="22"/>
        <v>1</v>
      </c>
      <c r="T184"/>
      <c r="U184"/>
    </row>
    <row r="185" spans="1:21" s="620" customFormat="1" ht="24.75" customHeight="1">
      <c r="A185" s="631"/>
      <c r="B185" s="612"/>
      <c r="C185" s="931" t="s">
        <v>1244</v>
      </c>
      <c r="D185" s="869"/>
      <c r="E185" s="869">
        <f>F185</f>
        <v>8000</v>
      </c>
      <c r="F185" s="870">
        <v>8000</v>
      </c>
      <c r="G185" s="940"/>
      <c r="H185" s="940"/>
      <c r="I185" s="940"/>
      <c r="J185" s="871">
        <f>K185</f>
        <v>7956.6</v>
      </c>
      <c r="K185" s="872">
        <v>7956.6</v>
      </c>
      <c r="L185" s="941"/>
      <c r="M185" s="941"/>
      <c r="N185" s="941"/>
      <c r="O185" s="701">
        <f t="shared" si="23"/>
        <v>0.9945750000000001</v>
      </c>
      <c r="P185" s="942"/>
      <c r="Q185" s="897">
        <f t="shared" si="24"/>
        <v>0.9945750000000001</v>
      </c>
      <c r="R185" s="610"/>
      <c r="S185" t="b">
        <f t="shared" si="22"/>
        <v>1</v>
      </c>
      <c r="T185"/>
      <c r="U185"/>
    </row>
    <row r="186" spans="1:21" s="620" customFormat="1" ht="22.5" customHeight="1">
      <c r="A186" s="631"/>
      <c r="B186" s="721">
        <v>85333</v>
      </c>
      <c r="C186" s="664" t="s">
        <v>667</v>
      </c>
      <c r="D186" s="663">
        <v>362750</v>
      </c>
      <c r="E186" s="663">
        <f>F186+H186+I186+G186</f>
        <v>366166</v>
      </c>
      <c r="F186" s="722">
        <f>F187+F188</f>
        <v>362750</v>
      </c>
      <c r="G186" s="722">
        <f>G188</f>
        <v>3416</v>
      </c>
      <c r="H186" s="722">
        <f>H187</f>
        <v>0</v>
      </c>
      <c r="I186" s="722"/>
      <c r="J186" s="665">
        <f>K186+M186+N186+L186</f>
        <v>366113.15</v>
      </c>
      <c r="K186" s="723">
        <f>K187+K188</f>
        <v>362697.15</v>
      </c>
      <c r="L186" s="723">
        <f>L188</f>
        <v>3416</v>
      </c>
      <c r="M186" s="723">
        <f>M187</f>
        <v>0</v>
      </c>
      <c r="N186" s="723"/>
      <c r="O186" s="724">
        <f t="shared" si="23"/>
        <v>0.999855666555606</v>
      </c>
      <c r="P186" s="724"/>
      <c r="Q186" s="724">
        <f t="shared" si="24"/>
        <v>0.9998543073742248</v>
      </c>
      <c r="R186" s="619"/>
      <c r="S186" t="b">
        <f t="shared" si="22"/>
        <v>1</v>
      </c>
      <c r="T186"/>
      <c r="U186"/>
    </row>
    <row r="187" spans="1:21" s="620" customFormat="1" ht="25.5" customHeight="1">
      <c r="A187" s="631"/>
      <c r="B187" s="631"/>
      <c r="C187" s="932" t="s">
        <v>1282</v>
      </c>
      <c r="D187" s="933">
        <v>362750</v>
      </c>
      <c r="E187" s="933">
        <f>F187+H187</f>
        <v>362750</v>
      </c>
      <c r="F187" s="934">
        <v>362750</v>
      </c>
      <c r="G187" s="934"/>
      <c r="H187" s="934"/>
      <c r="I187" s="935"/>
      <c r="J187" s="936">
        <f>K187+M187</f>
        <v>362697.15</v>
      </c>
      <c r="K187" s="937">
        <v>362697.15</v>
      </c>
      <c r="L187" s="937"/>
      <c r="M187" s="937"/>
      <c r="N187" s="938"/>
      <c r="O187" s="943">
        <f t="shared" si="23"/>
        <v>0.9998543073742248</v>
      </c>
      <c r="P187" s="943"/>
      <c r="Q187" s="944">
        <f t="shared" si="24"/>
        <v>0.9998543073742248</v>
      </c>
      <c r="R187" s="906"/>
      <c r="S187" t="b">
        <f t="shared" si="22"/>
        <v>1</v>
      </c>
      <c r="T187"/>
      <c r="U187"/>
    </row>
    <row r="188" spans="1:21" s="822" customFormat="1" ht="30.75" customHeight="1">
      <c r="A188" s="813"/>
      <c r="B188" s="945"/>
      <c r="C188" s="946" t="s">
        <v>1283</v>
      </c>
      <c r="D188" s="947"/>
      <c r="E188" s="947">
        <f>F188+G188+I188</f>
        <v>3416</v>
      </c>
      <c r="F188" s="948"/>
      <c r="G188" s="948">
        <v>3416</v>
      </c>
      <c r="H188" s="948"/>
      <c r="I188" s="948"/>
      <c r="J188" s="949">
        <f>L188</f>
        <v>3416</v>
      </c>
      <c r="K188" s="950"/>
      <c r="L188" s="950">
        <v>3416</v>
      </c>
      <c r="M188" s="950"/>
      <c r="N188" s="950"/>
      <c r="O188" s="951">
        <f t="shared" si="23"/>
        <v>1</v>
      </c>
      <c r="P188" s="915"/>
      <c r="Q188" s="915"/>
      <c r="R188" s="906"/>
      <c r="S188" t="b">
        <f t="shared" si="22"/>
        <v>1</v>
      </c>
      <c r="T188" s="109"/>
      <c r="U188" s="109"/>
    </row>
    <row r="189" spans="1:21" s="620" customFormat="1" ht="20.25" customHeight="1">
      <c r="A189" s="631"/>
      <c r="B189" s="632">
        <v>85395</v>
      </c>
      <c r="C189" s="633" t="s">
        <v>13</v>
      </c>
      <c r="D189" s="634"/>
      <c r="E189" s="634">
        <f>F189+H189+I189</f>
        <v>66000</v>
      </c>
      <c r="F189" s="792"/>
      <c r="G189" s="792"/>
      <c r="H189" s="792">
        <f>H190</f>
        <v>0</v>
      </c>
      <c r="I189" s="792">
        <f>I190</f>
        <v>66000</v>
      </c>
      <c r="J189" s="636"/>
      <c r="K189" s="793"/>
      <c r="L189" s="793"/>
      <c r="M189" s="793"/>
      <c r="N189" s="793"/>
      <c r="O189" s="794"/>
      <c r="P189" s="794"/>
      <c r="Q189" s="794"/>
      <c r="R189" s="619"/>
      <c r="S189" t="b">
        <f t="shared" si="22"/>
        <v>1</v>
      </c>
      <c r="T189"/>
      <c r="U189"/>
    </row>
    <row r="190" spans="1:21" s="648" customFormat="1" ht="28.5" customHeight="1">
      <c r="A190" s="602"/>
      <c r="B190" s="695"/>
      <c r="C190" s="759" t="s">
        <v>1284</v>
      </c>
      <c r="D190" s="760"/>
      <c r="E190" s="760">
        <f>F190+H190+I190</f>
        <v>66000</v>
      </c>
      <c r="F190" s="762"/>
      <c r="G190" s="804"/>
      <c r="H190" s="804"/>
      <c r="I190" s="804">
        <v>66000</v>
      </c>
      <c r="J190" s="805"/>
      <c r="K190" s="806"/>
      <c r="L190" s="807"/>
      <c r="M190" s="807"/>
      <c r="N190" s="807"/>
      <c r="O190" s="808"/>
      <c r="P190" s="808"/>
      <c r="Q190" s="808"/>
      <c r="R190" s="610"/>
      <c r="S190" t="b">
        <f t="shared" si="22"/>
        <v>1</v>
      </c>
      <c r="T190"/>
      <c r="U190"/>
    </row>
    <row r="191" spans="1:21" s="630" customFormat="1" ht="21" customHeight="1" thickBot="1">
      <c r="A191" s="621">
        <v>854</v>
      </c>
      <c r="B191" s="621"/>
      <c r="C191" s="810" t="s">
        <v>27</v>
      </c>
      <c r="D191" s="767">
        <v>100000</v>
      </c>
      <c r="E191" s="767">
        <f>F191+H191+I191</f>
        <v>1243817</v>
      </c>
      <c r="F191" s="898">
        <f>F192+F199+F203+F208+F201</f>
        <v>342717</v>
      </c>
      <c r="G191" s="898"/>
      <c r="H191" s="898"/>
      <c r="I191" s="898">
        <f>I192</f>
        <v>901100</v>
      </c>
      <c r="J191" s="769">
        <f>K191+M191+N191</f>
        <v>1187479.34</v>
      </c>
      <c r="K191" s="899">
        <f>K192+K199+K203+K208+K201</f>
        <v>342340.94</v>
      </c>
      <c r="L191" s="899"/>
      <c r="M191" s="899"/>
      <c r="N191" s="899">
        <f>N192</f>
        <v>845138.4</v>
      </c>
      <c r="O191" s="900">
        <f aca="true" t="shared" si="25" ref="O191:O197">J191/E191</f>
        <v>0.9547058289121311</v>
      </c>
      <c r="P191" s="900"/>
      <c r="Q191" s="900">
        <f aca="true" t="shared" si="26" ref="Q191:Q197">K191/F191</f>
        <v>0.9989027098159706</v>
      </c>
      <c r="R191" s="901"/>
      <c r="S191" s="629" t="b">
        <f t="shared" si="22"/>
        <v>1</v>
      </c>
      <c r="T191" s="629"/>
      <c r="U191" s="629"/>
    </row>
    <row r="192" spans="1:21" s="620" customFormat="1" ht="21" customHeight="1">
      <c r="A192" s="631"/>
      <c r="B192" s="612">
        <v>85403</v>
      </c>
      <c r="C192" s="635" t="s">
        <v>61</v>
      </c>
      <c r="D192" s="634">
        <v>100000</v>
      </c>
      <c r="E192" s="634">
        <f>F192+H192+I192</f>
        <v>1103807</v>
      </c>
      <c r="F192" s="792">
        <f>F196+F197+F198</f>
        <v>202707</v>
      </c>
      <c r="G192" s="792"/>
      <c r="H192" s="792"/>
      <c r="I192" s="792">
        <f>I196</f>
        <v>901100</v>
      </c>
      <c r="J192" s="636">
        <f>K192+N192</f>
        <v>1047470.92</v>
      </c>
      <c r="K192" s="793">
        <f>K196+K197+K198</f>
        <v>202332.52</v>
      </c>
      <c r="L192" s="793"/>
      <c r="M192" s="793"/>
      <c r="N192" s="793">
        <f>N196</f>
        <v>845138.4</v>
      </c>
      <c r="O192" s="794">
        <f t="shared" si="25"/>
        <v>0.9489620196284314</v>
      </c>
      <c r="P192" s="794"/>
      <c r="Q192" s="794">
        <f t="shared" si="26"/>
        <v>0.9981526044981179</v>
      </c>
      <c r="R192" s="619"/>
      <c r="S192" t="b">
        <f t="shared" si="22"/>
        <v>1</v>
      </c>
      <c r="T192"/>
      <c r="U192"/>
    </row>
    <row r="193" spans="1:21" s="620" customFormat="1" ht="24.75" customHeight="1" hidden="1">
      <c r="A193" s="612"/>
      <c r="B193" s="612"/>
      <c r="C193" s="920" t="s">
        <v>1244</v>
      </c>
      <c r="D193" s="921">
        <v>0</v>
      </c>
      <c r="E193" s="921">
        <f>F193</f>
        <v>0</v>
      </c>
      <c r="F193" s="922"/>
      <c r="G193" s="792"/>
      <c r="H193" s="792"/>
      <c r="I193" s="792"/>
      <c r="J193" s="923"/>
      <c r="K193" s="924"/>
      <c r="L193" s="793"/>
      <c r="M193" s="793"/>
      <c r="N193" s="793"/>
      <c r="O193" s="685" t="e">
        <f t="shared" si="25"/>
        <v>#DIV/0!</v>
      </c>
      <c r="P193" s="952"/>
      <c r="Q193" s="847" t="e">
        <f t="shared" si="26"/>
        <v>#DIV/0!</v>
      </c>
      <c r="R193" s="610"/>
      <c r="S193" t="b">
        <f t="shared" si="22"/>
        <v>1</v>
      </c>
      <c r="T193"/>
      <c r="U193"/>
    </row>
    <row r="194" spans="1:21" s="620" customFormat="1" ht="24.75" customHeight="1" hidden="1">
      <c r="A194" s="721"/>
      <c r="B194" s="721">
        <v>85410</v>
      </c>
      <c r="C194" s="664" t="s">
        <v>62</v>
      </c>
      <c r="D194" s="663">
        <v>0</v>
      </c>
      <c r="E194" s="663">
        <f>F194+H194+I194</f>
        <v>0</v>
      </c>
      <c r="F194" s="722">
        <f>F195</f>
        <v>0</v>
      </c>
      <c r="G194" s="722"/>
      <c r="H194" s="722"/>
      <c r="I194" s="722"/>
      <c r="J194" s="665"/>
      <c r="K194" s="723"/>
      <c r="L194" s="723"/>
      <c r="M194" s="723"/>
      <c r="N194" s="723"/>
      <c r="O194" s="685" t="e">
        <f t="shared" si="25"/>
        <v>#DIV/0!</v>
      </c>
      <c r="P194" s="952"/>
      <c r="Q194" s="847" t="e">
        <f t="shared" si="26"/>
        <v>#DIV/0!</v>
      </c>
      <c r="R194" s="610"/>
      <c r="S194" t="b">
        <f t="shared" si="22"/>
        <v>1</v>
      </c>
      <c r="T194"/>
      <c r="U194"/>
    </row>
    <row r="195" spans="1:21" s="611" customFormat="1" ht="24.75" customHeight="1" hidden="1">
      <c r="A195" s="639"/>
      <c r="B195" s="639"/>
      <c r="C195" s="702" t="s">
        <v>1282</v>
      </c>
      <c r="D195" s="890">
        <v>0</v>
      </c>
      <c r="E195" s="890">
        <f>F195</f>
        <v>0</v>
      </c>
      <c r="F195" s="891"/>
      <c r="G195" s="891"/>
      <c r="H195" s="891"/>
      <c r="I195" s="891"/>
      <c r="J195" s="892"/>
      <c r="K195" s="893"/>
      <c r="L195" s="893"/>
      <c r="M195" s="893"/>
      <c r="N195" s="893"/>
      <c r="O195" s="685" t="e">
        <f t="shared" si="25"/>
        <v>#DIV/0!</v>
      </c>
      <c r="P195" s="847"/>
      <c r="Q195" s="847" t="e">
        <f t="shared" si="26"/>
        <v>#DIV/0!</v>
      </c>
      <c r="R195" s="610"/>
      <c r="S195" t="b">
        <f t="shared" si="22"/>
        <v>1</v>
      </c>
      <c r="T195"/>
      <c r="U195"/>
    </row>
    <row r="196" spans="1:21" s="611" customFormat="1" ht="42.75">
      <c r="A196" s="602"/>
      <c r="B196" s="602"/>
      <c r="C196" s="840" t="s">
        <v>1285</v>
      </c>
      <c r="D196" s="668"/>
      <c r="E196" s="668">
        <f>F196+G196+I196</f>
        <v>1093307</v>
      </c>
      <c r="F196" s="837">
        <v>192207</v>
      </c>
      <c r="G196" s="837"/>
      <c r="H196" s="837"/>
      <c r="I196" s="837">
        <v>901100</v>
      </c>
      <c r="J196" s="838">
        <f>K196+N196</f>
        <v>1037344.92</v>
      </c>
      <c r="K196" s="839">
        <v>192206.52</v>
      </c>
      <c r="L196" s="839"/>
      <c r="M196" s="839"/>
      <c r="N196" s="839">
        <v>845138.4</v>
      </c>
      <c r="O196" s="685">
        <f t="shared" si="25"/>
        <v>0.948813937896675</v>
      </c>
      <c r="P196" s="847"/>
      <c r="Q196" s="847">
        <f t="shared" si="26"/>
        <v>0.9999975026924097</v>
      </c>
      <c r="R196" s="610"/>
      <c r="S196" t="b">
        <f t="shared" si="22"/>
        <v>1</v>
      </c>
      <c r="T196"/>
      <c r="U196"/>
    </row>
    <row r="197" spans="1:21" s="611" customFormat="1" ht="20.25" customHeight="1">
      <c r="A197" s="602"/>
      <c r="B197" s="602"/>
      <c r="C197" s="840" t="s">
        <v>1244</v>
      </c>
      <c r="D197" s="668"/>
      <c r="E197" s="668">
        <f>F197+G197+I197</f>
        <v>10500</v>
      </c>
      <c r="F197" s="837">
        <v>10500</v>
      </c>
      <c r="G197" s="837"/>
      <c r="H197" s="837"/>
      <c r="I197" s="837"/>
      <c r="J197" s="838">
        <f>K197</f>
        <v>10126</v>
      </c>
      <c r="K197" s="839">
        <v>10126</v>
      </c>
      <c r="L197" s="839"/>
      <c r="M197" s="839"/>
      <c r="N197" s="839"/>
      <c r="O197" s="919">
        <f t="shared" si="25"/>
        <v>0.9643809523809523</v>
      </c>
      <c r="P197" s="919"/>
      <c r="Q197" s="919">
        <f t="shared" si="26"/>
        <v>0.9643809523809523</v>
      </c>
      <c r="R197" s="610"/>
      <c r="S197" t="b">
        <f t="shared" si="22"/>
        <v>1</v>
      </c>
      <c r="T197"/>
      <c r="U197"/>
    </row>
    <row r="198" spans="1:21" s="611" customFormat="1" ht="22.5" customHeight="1">
      <c r="A198" s="602"/>
      <c r="B198" s="695"/>
      <c r="C198" s="696" t="s">
        <v>1282</v>
      </c>
      <c r="D198" s="761">
        <v>100000</v>
      </c>
      <c r="E198" s="761"/>
      <c r="F198" s="848"/>
      <c r="G198" s="848"/>
      <c r="H198" s="848"/>
      <c r="I198" s="848"/>
      <c r="J198" s="849"/>
      <c r="K198" s="764"/>
      <c r="L198" s="764"/>
      <c r="M198" s="764"/>
      <c r="N198" s="764"/>
      <c r="O198" s="701"/>
      <c r="P198" s="897"/>
      <c r="Q198" s="897"/>
      <c r="R198" s="610"/>
      <c r="S198" t="b">
        <f t="shared" si="22"/>
        <v>1</v>
      </c>
      <c r="T198"/>
      <c r="U198"/>
    </row>
    <row r="199" spans="1:21" s="620" customFormat="1" ht="30">
      <c r="A199" s="631"/>
      <c r="B199" s="612">
        <v>85406</v>
      </c>
      <c r="C199" s="633" t="s">
        <v>679</v>
      </c>
      <c r="D199" s="634"/>
      <c r="E199" s="634">
        <f>F199+H199+I199</f>
        <v>4600</v>
      </c>
      <c r="F199" s="792">
        <f>F200</f>
        <v>4600</v>
      </c>
      <c r="G199" s="792"/>
      <c r="H199" s="792"/>
      <c r="I199" s="792"/>
      <c r="J199" s="636">
        <f>K199+M199+N199</f>
        <v>4600</v>
      </c>
      <c r="K199" s="793">
        <f>K200</f>
        <v>4600</v>
      </c>
      <c r="L199" s="793"/>
      <c r="M199" s="793"/>
      <c r="N199" s="793"/>
      <c r="O199" s="794">
        <f>J199/E199</f>
        <v>1</v>
      </c>
      <c r="P199" s="794"/>
      <c r="Q199" s="794">
        <f>K199/F199</f>
        <v>1</v>
      </c>
      <c r="R199" s="619"/>
      <c r="S199" t="b">
        <f t="shared" si="22"/>
        <v>1</v>
      </c>
      <c r="T199"/>
      <c r="U199"/>
    </row>
    <row r="200" spans="1:21" s="611" customFormat="1" ht="21.75" customHeight="1">
      <c r="A200" s="602"/>
      <c r="B200" s="750"/>
      <c r="C200" s="751" t="s">
        <v>1244</v>
      </c>
      <c r="D200" s="752"/>
      <c r="E200" s="752">
        <f>F200</f>
        <v>4600</v>
      </c>
      <c r="F200" s="753">
        <v>4600</v>
      </c>
      <c r="G200" s="753"/>
      <c r="H200" s="753"/>
      <c r="I200" s="753"/>
      <c r="J200" s="755">
        <f aca="true" t="shared" si="27" ref="J200:J205">K200</f>
        <v>4600</v>
      </c>
      <c r="K200" s="756">
        <v>4600</v>
      </c>
      <c r="L200" s="756"/>
      <c r="M200" s="756"/>
      <c r="N200" s="756"/>
      <c r="O200" s="953">
        <f>J200/E200</f>
        <v>1</v>
      </c>
      <c r="P200" s="953"/>
      <c r="Q200" s="953">
        <f>K200/F200</f>
        <v>1</v>
      </c>
      <c r="R200" s="610"/>
      <c r="S200" t="b">
        <f t="shared" si="22"/>
        <v>1</v>
      </c>
      <c r="T200"/>
      <c r="U200"/>
    </row>
    <row r="201" spans="1:21" s="620" customFormat="1" ht="23.25" customHeight="1">
      <c r="A201" s="631"/>
      <c r="B201" s="612">
        <v>85407</v>
      </c>
      <c r="C201" s="635" t="s">
        <v>680</v>
      </c>
      <c r="D201" s="634"/>
      <c r="E201" s="634">
        <f>F201+H201+I201</f>
        <v>10000</v>
      </c>
      <c r="F201" s="792">
        <f>F202</f>
        <v>10000</v>
      </c>
      <c r="G201" s="792"/>
      <c r="H201" s="792"/>
      <c r="I201" s="792"/>
      <c r="J201" s="636">
        <f t="shared" si="27"/>
        <v>9999.12</v>
      </c>
      <c r="K201" s="793">
        <f>K202</f>
        <v>9999.12</v>
      </c>
      <c r="L201" s="793"/>
      <c r="M201" s="793"/>
      <c r="N201" s="793"/>
      <c r="O201" s="794">
        <v>1</v>
      </c>
      <c r="P201" s="794"/>
      <c r="Q201" s="794">
        <v>1</v>
      </c>
      <c r="R201" s="619"/>
      <c r="S201" t="b">
        <f t="shared" si="22"/>
        <v>1</v>
      </c>
      <c r="T201"/>
      <c r="U201"/>
    </row>
    <row r="202" spans="1:21" s="611" customFormat="1" ht="22.5" customHeight="1">
      <c r="A202" s="695"/>
      <c r="B202" s="750"/>
      <c r="C202" s="751" t="s">
        <v>1244</v>
      </c>
      <c r="D202" s="752"/>
      <c r="E202" s="752">
        <f>F202</f>
        <v>10000</v>
      </c>
      <c r="F202" s="753">
        <v>10000</v>
      </c>
      <c r="G202" s="753"/>
      <c r="H202" s="753"/>
      <c r="I202" s="753"/>
      <c r="J202" s="755">
        <f t="shared" si="27"/>
        <v>9999.12</v>
      </c>
      <c r="K202" s="756">
        <v>9999.12</v>
      </c>
      <c r="L202" s="756"/>
      <c r="M202" s="756"/>
      <c r="N202" s="756"/>
      <c r="O202" s="953">
        <v>1</v>
      </c>
      <c r="P202" s="953"/>
      <c r="Q202" s="953">
        <v>1</v>
      </c>
      <c r="R202" s="610"/>
      <c r="S202" t="b">
        <f t="shared" si="22"/>
        <v>1</v>
      </c>
      <c r="T202"/>
      <c r="U202"/>
    </row>
    <row r="203" spans="1:21" s="620" customFormat="1" ht="26.25" customHeight="1">
      <c r="A203" s="812"/>
      <c r="B203" s="721">
        <v>85410</v>
      </c>
      <c r="C203" s="664" t="s">
        <v>62</v>
      </c>
      <c r="D203" s="663"/>
      <c r="E203" s="663">
        <f>F203+H203+I203</f>
        <v>110000</v>
      </c>
      <c r="F203" s="722">
        <f>F204</f>
        <v>110000</v>
      </c>
      <c r="G203" s="722"/>
      <c r="H203" s="722"/>
      <c r="I203" s="722"/>
      <c r="J203" s="665">
        <f t="shared" si="27"/>
        <v>109999.3</v>
      </c>
      <c r="K203" s="723">
        <f>K204</f>
        <v>109999.3</v>
      </c>
      <c r="L203" s="723"/>
      <c r="M203" s="723"/>
      <c r="N203" s="723"/>
      <c r="O203" s="794">
        <f aca="true" t="shared" si="28" ref="O203:O213">J203/E203</f>
        <v>0.9999936363636364</v>
      </c>
      <c r="P203" s="794"/>
      <c r="Q203" s="794">
        <f aca="true" t="shared" si="29" ref="Q203:Q213">K203/F203</f>
        <v>0.9999936363636364</v>
      </c>
      <c r="R203" s="619"/>
      <c r="S203" t="b">
        <f t="shared" si="22"/>
        <v>1</v>
      </c>
      <c r="T203"/>
      <c r="U203"/>
    </row>
    <row r="204" spans="1:21" s="611" customFormat="1" ht="21.75" customHeight="1">
      <c r="A204" s="602"/>
      <c r="B204" s="750"/>
      <c r="C204" s="751" t="s">
        <v>1286</v>
      </c>
      <c r="D204" s="752"/>
      <c r="E204" s="752">
        <f>F204</f>
        <v>110000</v>
      </c>
      <c r="F204" s="753">
        <v>110000</v>
      </c>
      <c r="G204" s="753"/>
      <c r="H204" s="753"/>
      <c r="I204" s="753"/>
      <c r="J204" s="755">
        <f t="shared" si="27"/>
        <v>109999.3</v>
      </c>
      <c r="K204" s="756">
        <v>109999.3</v>
      </c>
      <c r="L204" s="756"/>
      <c r="M204" s="756"/>
      <c r="N204" s="756"/>
      <c r="O204" s="953">
        <f t="shared" si="28"/>
        <v>0.9999936363636364</v>
      </c>
      <c r="P204" s="953"/>
      <c r="Q204" s="953">
        <f t="shared" si="29"/>
        <v>0.9999936363636364</v>
      </c>
      <c r="R204" s="610"/>
      <c r="S204" t="b">
        <f t="shared" si="22"/>
        <v>1</v>
      </c>
      <c r="T204"/>
      <c r="U204"/>
    </row>
    <row r="205" spans="1:21" s="620" customFormat="1" ht="24.75" customHeight="1" hidden="1">
      <c r="A205" s="612"/>
      <c r="B205" s="721"/>
      <c r="C205" s="954" t="s">
        <v>1244</v>
      </c>
      <c r="D205" s="882"/>
      <c r="E205" s="882">
        <f>F205</f>
        <v>0</v>
      </c>
      <c r="F205" s="883"/>
      <c r="G205" s="722"/>
      <c r="H205" s="722"/>
      <c r="I205" s="722"/>
      <c r="J205" s="884">
        <f t="shared" si="27"/>
        <v>0</v>
      </c>
      <c r="K205" s="885"/>
      <c r="L205" s="723"/>
      <c r="M205" s="723"/>
      <c r="N205" s="723"/>
      <c r="O205" s="724" t="e">
        <f t="shared" si="28"/>
        <v>#DIV/0!</v>
      </c>
      <c r="P205" s="724"/>
      <c r="Q205" s="724" t="e">
        <f t="shared" si="29"/>
        <v>#DIV/0!</v>
      </c>
      <c r="R205" s="619"/>
      <c r="S205" t="b">
        <f aca="true" t="shared" si="30" ref="S205:S231">J205=K205+L205+N205</f>
        <v>1</v>
      </c>
      <c r="T205"/>
      <c r="U205"/>
    </row>
    <row r="206" spans="1:21" s="620" customFormat="1" ht="24.75" customHeight="1" hidden="1">
      <c r="A206" s="721"/>
      <c r="B206" s="721">
        <v>85410</v>
      </c>
      <c r="C206" s="664" t="s">
        <v>62</v>
      </c>
      <c r="D206" s="663"/>
      <c r="E206" s="663">
        <f>F206+H206+I206</f>
        <v>0</v>
      </c>
      <c r="F206" s="722">
        <f>F207</f>
        <v>0</v>
      </c>
      <c r="G206" s="722"/>
      <c r="H206" s="722"/>
      <c r="I206" s="722"/>
      <c r="J206" s="665">
        <f>K206+M206+N206</f>
        <v>0</v>
      </c>
      <c r="K206" s="723">
        <f>K207</f>
        <v>0</v>
      </c>
      <c r="L206" s="723"/>
      <c r="M206" s="723"/>
      <c r="N206" s="723"/>
      <c r="O206" s="724" t="e">
        <f t="shared" si="28"/>
        <v>#DIV/0!</v>
      </c>
      <c r="P206" s="724"/>
      <c r="Q206" s="724" t="e">
        <f t="shared" si="29"/>
        <v>#DIV/0!</v>
      </c>
      <c r="R206" s="619"/>
      <c r="S206" t="b">
        <f t="shared" si="30"/>
        <v>1</v>
      </c>
      <c r="T206"/>
      <c r="U206"/>
    </row>
    <row r="207" spans="1:21" s="611" customFormat="1" ht="24.75" customHeight="1" hidden="1">
      <c r="A207" s="750"/>
      <c r="B207" s="750"/>
      <c r="C207" s="751" t="s">
        <v>1282</v>
      </c>
      <c r="D207" s="752"/>
      <c r="E207" s="752">
        <f>F207</f>
        <v>0</v>
      </c>
      <c r="F207" s="753"/>
      <c r="G207" s="753"/>
      <c r="H207" s="753"/>
      <c r="I207" s="753"/>
      <c r="J207" s="755">
        <f>K207</f>
        <v>0</v>
      </c>
      <c r="K207" s="756"/>
      <c r="L207" s="756"/>
      <c r="M207" s="756"/>
      <c r="N207" s="756"/>
      <c r="O207" s="953" t="e">
        <f t="shared" si="28"/>
        <v>#DIV/0!</v>
      </c>
      <c r="P207" s="953"/>
      <c r="Q207" s="953" t="e">
        <f t="shared" si="29"/>
        <v>#DIV/0!</v>
      </c>
      <c r="R207" s="610"/>
      <c r="S207" t="b">
        <f t="shared" si="30"/>
        <v>1</v>
      </c>
      <c r="T207"/>
      <c r="U207"/>
    </row>
    <row r="208" spans="1:21" s="620" customFormat="1" ht="24.75" customHeight="1">
      <c r="A208" s="631"/>
      <c r="B208" s="612">
        <v>85495</v>
      </c>
      <c r="C208" s="635" t="s">
        <v>13</v>
      </c>
      <c r="D208" s="634"/>
      <c r="E208" s="634">
        <f>F208+H208+I208</f>
        <v>15410</v>
      </c>
      <c r="F208" s="792">
        <f>F209</f>
        <v>15410</v>
      </c>
      <c r="G208" s="792"/>
      <c r="H208" s="792"/>
      <c r="I208" s="792"/>
      <c r="J208" s="636">
        <f>K208+M208+N208</f>
        <v>15410</v>
      </c>
      <c r="K208" s="793">
        <f>K209</f>
        <v>15410</v>
      </c>
      <c r="L208" s="793"/>
      <c r="M208" s="793"/>
      <c r="N208" s="793"/>
      <c r="O208" s="794">
        <f t="shared" si="28"/>
        <v>1</v>
      </c>
      <c r="P208" s="794"/>
      <c r="Q208" s="794">
        <f t="shared" si="29"/>
        <v>1</v>
      </c>
      <c r="R208" s="619"/>
      <c r="S208" t="b">
        <f t="shared" si="30"/>
        <v>1</v>
      </c>
      <c r="T208"/>
      <c r="U208"/>
    </row>
    <row r="209" spans="1:21" s="611" customFormat="1" ht="24" customHeight="1">
      <c r="A209" s="695"/>
      <c r="B209" s="750"/>
      <c r="C209" s="751" t="s">
        <v>1244</v>
      </c>
      <c r="D209" s="752"/>
      <c r="E209" s="752">
        <f>F209</f>
        <v>15410</v>
      </c>
      <c r="F209" s="753">
        <v>15410</v>
      </c>
      <c r="G209" s="753"/>
      <c r="H209" s="753"/>
      <c r="I209" s="753"/>
      <c r="J209" s="755">
        <f>K209</f>
        <v>15410</v>
      </c>
      <c r="K209" s="756">
        <v>15410</v>
      </c>
      <c r="L209" s="756"/>
      <c r="M209" s="756"/>
      <c r="N209" s="756"/>
      <c r="O209" s="953">
        <f t="shared" si="28"/>
        <v>1</v>
      </c>
      <c r="P209" s="953"/>
      <c r="Q209" s="953">
        <f t="shared" si="29"/>
        <v>1</v>
      </c>
      <c r="R209" s="610"/>
      <c r="S209" t="b">
        <f t="shared" si="30"/>
        <v>1</v>
      </c>
      <c r="T209"/>
      <c r="U209"/>
    </row>
    <row r="210" spans="1:21" s="630" customFormat="1" ht="27" customHeight="1" thickBot="1">
      <c r="A210" s="809">
        <v>900</v>
      </c>
      <c r="B210" s="621"/>
      <c r="C210" s="810" t="s">
        <v>1287</v>
      </c>
      <c r="D210" s="767">
        <v>32938000</v>
      </c>
      <c r="E210" s="767">
        <f>F210+H210+I210+G210</f>
        <v>36847379</v>
      </c>
      <c r="F210" s="768">
        <f>F211+F233+F246+F237+F239+F244+F242</f>
        <v>31104769</v>
      </c>
      <c r="G210" s="768">
        <f>G211+G233+G246+G237+G239+G244+G242</f>
        <v>5242610</v>
      </c>
      <c r="H210" s="768">
        <f>H211+H233+H246</f>
        <v>0</v>
      </c>
      <c r="I210" s="768">
        <f>I211+I233+I246</f>
        <v>500000</v>
      </c>
      <c r="J210" s="769">
        <f>K210+M210+N210+L210</f>
        <v>32376400.96</v>
      </c>
      <c r="K210" s="770">
        <f>K211+K233+K246+K237+K239+K244+K242</f>
        <v>26935748.73</v>
      </c>
      <c r="L210" s="770">
        <f>L233</f>
        <v>5224740.34</v>
      </c>
      <c r="M210" s="770">
        <f>M211+M233+M246</f>
        <v>0</v>
      </c>
      <c r="N210" s="770">
        <f>N211+N233+N246</f>
        <v>215911.89</v>
      </c>
      <c r="O210" s="771">
        <f t="shared" si="28"/>
        <v>0.8786622505769</v>
      </c>
      <c r="P210" s="771"/>
      <c r="Q210" s="771">
        <f t="shared" si="29"/>
        <v>0.8659684542264242</v>
      </c>
      <c r="R210" s="628"/>
      <c r="S210" s="629" t="b">
        <f t="shared" si="30"/>
        <v>1</v>
      </c>
      <c r="T210" s="629"/>
      <c r="U210" s="629"/>
    </row>
    <row r="211" spans="1:21" s="620" customFormat="1" ht="24.75" customHeight="1">
      <c r="A211" s="631"/>
      <c r="B211" s="632">
        <v>90001</v>
      </c>
      <c r="C211" s="633" t="s">
        <v>691</v>
      </c>
      <c r="D211" s="634">
        <v>8525000</v>
      </c>
      <c r="E211" s="634">
        <f>F211+H211+I211</f>
        <v>5638500</v>
      </c>
      <c r="F211" s="792">
        <f>SUM(F212:F231)</f>
        <v>5638500</v>
      </c>
      <c r="G211" s="635"/>
      <c r="H211" s="635"/>
      <c r="I211" s="635"/>
      <c r="J211" s="636">
        <f>K211+M211+N211</f>
        <v>5249620.34</v>
      </c>
      <c r="K211" s="793">
        <f>SUM(K212:K231)</f>
        <v>5249620.34</v>
      </c>
      <c r="L211" s="637"/>
      <c r="M211" s="637"/>
      <c r="N211" s="637"/>
      <c r="O211" s="638">
        <f t="shared" si="28"/>
        <v>0.9310313629511394</v>
      </c>
      <c r="P211" s="638"/>
      <c r="Q211" s="638">
        <f t="shared" si="29"/>
        <v>0.9310313629511394</v>
      </c>
      <c r="R211" s="619"/>
      <c r="S211" t="b">
        <f t="shared" si="30"/>
        <v>1</v>
      </c>
      <c r="T211"/>
      <c r="U211"/>
    </row>
    <row r="212" spans="1:21" s="866" customFormat="1" ht="22.5" customHeight="1">
      <c r="A212" s="857"/>
      <c r="B212" s="955"/>
      <c r="C212" s="956" t="s">
        <v>1288</v>
      </c>
      <c r="D212" s="933">
        <v>500000</v>
      </c>
      <c r="E212" s="933">
        <f>F212</f>
        <v>100000</v>
      </c>
      <c r="F212" s="934">
        <v>100000</v>
      </c>
      <c r="G212" s="527"/>
      <c r="H212" s="527"/>
      <c r="I212" s="527"/>
      <c r="J212" s="936">
        <f>K212</f>
        <v>94828</v>
      </c>
      <c r="K212" s="937">
        <v>94828</v>
      </c>
      <c r="L212" s="528"/>
      <c r="M212" s="528"/>
      <c r="N212" s="528"/>
      <c r="O212" s="957">
        <f t="shared" si="28"/>
        <v>0.94828</v>
      </c>
      <c r="P212" s="957"/>
      <c r="Q212" s="957">
        <f t="shared" si="29"/>
        <v>0.94828</v>
      </c>
      <c r="R212" s="865"/>
      <c r="S212" t="b">
        <f t="shared" si="30"/>
        <v>1</v>
      </c>
      <c r="T212" s="6"/>
      <c r="U212" s="6"/>
    </row>
    <row r="213" spans="1:21" s="611" customFormat="1" ht="36.75" customHeight="1">
      <c r="A213" s="602"/>
      <c r="B213" s="602"/>
      <c r="C213" s="680" t="s">
        <v>1289</v>
      </c>
      <c r="D213" s="678">
        <v>905000</v>
      </c>
      <c r="E213" s="678">
        <f>F213</f>
        <v>487000</v>
      </c>
      <c r="F213" s="717">
        <v>487000</v>
      </c>
      <c r="G213" s="675"/>
      <c r="H213" s="675"/>
      <c r="I213" s="675"/>
      <c r="J213" s="718">
        <f>K213</f>
        <v>478146.96</v>
      </c>
      <c r="K213" s="719">
        <v>478146.96</v>
      </c>
      <c r="L213" s="684"/>
      <c r="M213" s="684"/>
      <c r="N213" s="684"/>
      <c r="O213" s="685">
        <f t="shared" si="28"/>
        <v>0.9818212731006161</v>
      </c>
      <c r="P213" s="685"/>
      <c r="Q213" s="685">
        <f t="shared" si="29"/>
        <v>0.9818212731006161</v>
      </c>
      <c r="R213" s="610"/>
      <c r="S213" t="b">
        <f t="shared" si="30"/>
        <v>1</v>
      </c>
      <c r="T213"/>
      <c r="U213"/>
    </row>
    <row r="214" spans="1:21" s="611" customFormat="1" ht="33" customHeight="1">
      <c r="A214" s="602"/>
      <c r="B214" s="602"/>
      <c r="C214" s="680" t="s">
        <v>1290</v>
      </c>
      <c r="D214" s="678">
        <v>800000</v>
      </c>
      <c r="E214" s="678">
        <f>F214</f>
        <v>800000</v>
      </c>
      <c r="F214" s="717">
        <v>800000</v>
      </c>
      <c r="G214" s="675"/>
      <c r="H214" s="675"/>
      <c r="I214" s="675"/>
      <c r="J214" s="718">
        <f>K214</f>
        <v>799973.69</v>
      </c>
      <c r="K214" s="719">
        <v>799973.69</v>
      </c>
      <c r="L214" s="684"/>
      <c r="M214" s="684"/>
      <c r="N214" s="684"/>
      <c r="O214" s="685">
        <v>0.9999</v>
      </c>
      <c r="P214" s="685"/>
      <c r="Q214" s="685">
        <v>0.9999</v>
      </c>
      <c r="R214" s="610"/>
      <c r="S214" t="b">
        <f t="shared" si="30"/>
        <v>1</v>
      </c>
      <c r="T214"/>
      <c r="U214"/>
    </row>
    <row r="215" spans="1:21" s="611" customFormat="1" ht="25.5" customHeight="1">
      <c r="A215" s="602"/>
      <c r="B215" s="602"/>
      <c r="C215" s="680" t="s">
        <v>1291</v>
      </c>
      <c r="D215" s="678">
        <v>1000000</v>
      </c>
      <c r="E215" s="678">
        <f>F215+H215</f>
        <v>2100000</v>
      </c>
      <c r="F215" s="717">
        <v>2100000</v>
      </c>
      <c r="G215" s="675"/>
      <c r="H215" s="675"/>
      <c r="I215" s="675"/>
      <c r="J215" s="718">
        <f>K215+M215</f>
        <v>2099288.3</v>
      </c>
      <c r="K215" s="719">
        <v>2099288.3</v>
      </c>
      <c r="L215" s="684"/>
      <c r="M215" s="684"/>
      <c r="N215" s="684"/>
      <c r="O215" s="685">
        <f aca="true" t="shared" si="31" ref="O215:O229">J215/E215</f>
        <v>0.9996610952380951</v>
      </c>
      <c r="P215" s="685"/>
      <c r="Q215" s="685">
        <f aca="true" t="shared" si="32" ref="Q215:Q229">K215/F215</f>
        <v>0.9996610952380951</v>
      </c>
      <c r="R215" s="610"/>
      <c r="S215" t="b">
        <f t="shared" si="30"/>
        <v>1</v>
      </c>
      <c r="T215"/>
      <c r="U215"/>
    </row>
    <row r="216" spans="1:21" s="648" customFormat="1" ht="22.5" customHeight="1">
      <c r="A216" s="602"/>
      <c r="B216" s="602"/>
      <c r="C216" s="958" t="s">
        <v>1292</v>
      </c>
      <c r="D216" s="668">
        <v>600000</v>
      </c>
      <c r="E216" s="668">
        <f>F216+H216</f>
        <v>160000</v>
      </c>
      <c r="F216" s="837">
        <v>160000</v>
      </c>
      <c r="G216" s="841"/>
      <c r="H216" s="841"/>
      <c r="I216" s="841"/>
      <c r="J216" s="838">
        <f>K216+M216</f>
        <v>159235.54</v>
      </c>
      <c r="K216" s="839">
        <v>159235.54</v>
      </c>
      <c r="L216" s="842"/>
      <c r="M216" s="842"/>
      <c r="N216" s="842"/>
      <c r="O216" s="843">
        <f t="shared" si="31"/>
        <v>0.9952221250000001</v>
      </c>
      <c r="P216" s="843"/>
      <c r="Q216" s="843">
        <f t="shared" si="32"/>
        <v>0.9952221250000001</v>
      </c>
      <c r="R216" s="610"/>
      <c r="S216" t="b">
        <f t="shared" si="30"/>
        <v>1</v>
      </c>
      <c r="T216"/>
      <c r="U216"/>
    </row>
    <row r="217" spans="1:21" s="648" customFormat="1" ht="31.5" customHeight="1">
      <c r="A217" s="602"/>
      <c r="B217" s="602"/>
      <c r="C217" s="958" t="s">
        <v>295</v>
      </c>
      <c r="D217" s="668">
        <v>1460000</v>
      </c>
      <c r="E217" s="668">
        <f>F217+H217</f>
        <v>1030000</v>
      </c>
      <c r="F217" s="837">
        <v>1030000</v>
      </c>
      <c r="G217" s="841"/>
      <c r="H217" s="841"/>
      <c r="I217" s="841"/>
      <c r="J217" s="838">
        <f>K217+M217</f>
        <v>1029484.98</v>
      </c>
      <c r="K217" s="839">
        <v>1029484.98</v>
      </c>
      <c r="L217" s="842"/>
      <c r="M217" s="842"/>
      <c r="N217" s="842"/>
      <c r="O217" s="843">
        <f t="shared" si="31"/>
        <v>0.9994999805825242</v>
      </c>
      <c r="P217" s="843"/>
      <c r="Q217" s="843">
        <f t="shared" si="32"/>
        <v>0.9994999805825242</v>
      </c>
      <c r="R217" s="610"/>
      <c r="S217" t="b">
        <f t="shared" si="30"/>
        <v>1</v>
      </c>
      <c r="T217"/>
      <c r="U217"/>
    </row>
    <row r="218" spans="1:21" s="648" customFormat="1" ht="30.75" customHeight="1" hidden="1">
      <c r="A218" s="602"/>
      <c r="B218" s="602"/>
      <c r="C218" s="958" t="s">
        <v>296</v>
      </c>
      <c r="D218" s="668">
        <v>0</v>
      </c>
      <c r="E218" s="668">
        <f>F218+H218</f>
        <v>0</v>
      </c>
      <c r="F218" s="837"/>
      <c r="G218" s="841"/>
      <c r="H218" s="841"/>
      <c r="I218" s="841"/>
      <c r="J218" s="838">
        <f>K218+M218</f>
        <v>0</v>
      </c>
      <c r="K218" s="839"/>
      <c r="L218" s="842"/>
      <c r="M218" s="842"/>
      <c r="N218" s="842"/>
      <c r="O218" s="843" t="e">
        <f t="shared" si="31"/>
        <v>#DIV/0!</v>
      </c>
      <c r="P218" s="843"/>
      <c r="Q218" s="843" t="e">
        <f t="shared" si="32"/>
        <v>#DIV/0!</v>
      </c>
      <c r="R218" s="610"/>
      <c r="S218" t="b">
        <f t="shared" si="30"/>
        <v>1</v>
      </c>
      <c r="T218"/>
      <c r="U218"/>
    </row>
    <row r="219" spans="1:21" s="648" customFormat="1" ht="33" customHeight="1">
      <c r="A219" s="602"/>
      <c r="B219" s="602"/>
      <c r="C219" s="680" t="s">
        <v>297</v>
      </c>
      <c r="D219" s="678">
        <v>570000</v>
      </c>
      <c r="E219" s="678">
        <f>F219+H219+I219</f>
        <v>209000</v>
      </c>
      <c r="F219" s="717">
        <v>209000</v>
      </c>
      <c r="G219" s="675"/>
      <c r="H219" s="675"/>
      <c r="I219" s="675"/>
      <c r="J219" s="718">
        <f>K219+M219+N219</f>
        <v>208966.76</v>
      </c>
      <c r="K219" s="719">
        <v>208966.76</v>
      </c>
      <c r="L219" s="684"/>
      <c r="M219" s="684"/>
      <c r="N219" s="684"/>
      <c r="O219" s="685">
        <f t="shared" si="31"/>
        <v>0.9998409569377991</v>
      </c>
      <c r="P219" s="685"/>
      <c r="Q219" s="685">
        <f t="shared" si="32"/>
        <v>0.9998409569377991</v>
      </c>
      <c r="R219" s="610"/>
      <c r="S219" t="b">
        <f t="shared" si="30"/>
        <v>1</v>
      </c>
      <c r="T219"/>
      <c r="U219"/>
    </row>
    <row r="220" spans="1:21" s="611" customFormat="1" ht="44.25" customHeight="1">
      <c r="A220" s="602"/>
      <c r="B220" s="602"/>
      <c r="C220" s="680" t="s">
        <v>298</v>
      </c>
      <c r="D220" s="678">
        <v>800000</v>
      </c>
      <c r="E220" s="678">
        <f aca="true" t="shared" si="33" ref="E220:E226">F220</f>
        <v>55000</v>
      </c>
      <c r="F220" s="717">
        <v>55000</v>
      </c>
      <c r="G220" s="675"/>
      <c r="H220" s="675"/>
      <c r="I220" s="675"/>
      <c r="J220" s="718">
        <f aca="true" t="shared" si="34" ref="J220:J226">K220</f>
        <v>54548.5</v>
      </c>
      <c r="K220" s="719">
        <v>54548.5</v>
      </c>
      <c r="L220" s="684"/>
      <c r="M220" s="684"/>
      <c r="N220" s="684"/>
      <c r="O220" s="685">
        <f t="shared" si="31"/>
        <v>0.9917909090909091</v>
      </c>
      <c r="P220" s="685"/>
      <c r="Q220" s="685">
        <f t="shared" si="32"/>
        <v>0.9917909090909091</v>
      </c>
      <c r="R220" s="610"/>
      <c r="S220" t="b">
        <f t="shared" si="30"/>
        <v>1</v>
      </c>
      <c r="T220"/>
      <c r="U220"/>
    </row>
    <row r="221" spans="1:21" s="611" customFormat="1" ht="45" customHeight="1">
      <c r="A221" s="602"/>
      <c r="B221" s="602"/>
      <c r="C221" s="686" t="s">
        <v>299</v>
      </c>
      <c r="D221" s="713">
        <v>300000</v>
      </c>
      <c r="E221" s="713">
        <f t="shared" si="33"/>
        <v>1000</v>
      </c>
      <c r="F221" s="714">
        <v>1000</v>
      </c>
      <c r="G221" s="688"/>
      <c r="H221" s="688"/>
      <c r="I221" s="688"/>
      <c r="J221" s="718">
        <f t="shared" si="34"/>
        <v>200</v>
      </c>
      <c r="K221" s="716">
        <v>200</v>
      </c>
      <c r="L221" s="691"/>
      <c r="M221" s="691"/>
      <c r="N221" s="691"/>
      <c r="O221" s="685">
        <f t="shared" si="31"/>
        <v>0.2</v>
      </c>
      <c r="P221" s="694"/>
      <c r="Q221" s="694">
        <f t="shared" si="32"/>
        <v>0.2</v>
      </c>
      <c r="R221" s="610"/>
      <c r="S221" t="b">
        <f t="shared" si="30"/>
        <v>1</v>
      </c>
      <c r="T221"/>
      <c r="U221"/>
    </row>
    <row r="222" spans="1:21" s="611" customFormat="1" ht="21.75" customHeight="1">
      <c r="A222" s="602"/>
      <c r="B222" s="602"/>
      <c r="C222" s="680" t="s">
        <v>300</v>
      </c>
      <c r="D222" s="678">
        <v>200000</v>
      </c>
      <c r="E222" s="678">
        <f t="shared" si="33"/>
        <v>22500</v>
      </c>
      <c r="F222" s="717">
        <v>22500</v>
      </c>
      <c r="G222" s="675"/>
      <c r="H222" s="675"/>
      <c r="I222" s="675"/>
      <c r="J222" s="718">
        <f t="shared" si="34"/>
        <v>22160</v>
      </c>
      <c r="K222" s="719">
        <v>22160</v>
      </c>
      <c r="L222" s="684"/>
      <c r="M222" s="684"/>
      <c r="N222" s="684"/>
      <c r="O222" s="685">
        <f t="shared" si="31"/>
        <v>0.9848888888888889</v>
      </c>
      <c r="P222" s="685"/>
      <c r="Q222" s="694">
        <f t="shared" si="32"/>
        <v>0.9848888888888889</v>
      </c>
      <c r="R222" s="610"/>
      <c r="S222" t="b">
        <f t="shared" si="30"/>
        <v>1</v>
      </c>
      <c r="T222"/>
      <c r="U222"/>
    </row>
    <row r="223" spans="1:21" s="611" customFormat="1" ht="21.75" customHeight="1">
      <c r="A223" s="602"/>
      <c r="B223" s="602"/>
      <c r="C223" s="686" t="s">
        <v>301</v>
      </c>
      <c r="D223" s="678">
        <v>720000</v>
      </c>
      <c r="E223" s="678">
        <f t="shared" si="33"/>
        <v>25000</v>
      </c>
      <c r="F223" s="717">
        <v>25000</v>
      </c>
      <c r="G223" s="675"/>
      <c r="H223" s="675"/>
      <c r="I223" s="675"/>
      <c r="J223" s="718">
        <f t="shared" si="34"/>
        <v>22160</v>
      </c>
      <c r="K223" s="719">
        <v>22160</v>
      </c>
      <c r="L223" s="684"/>
      <c r="M223" s="684"/>
      <c r="N223" s="684"/>
      <c r="O223" s="685">
        <f t="shared" si="31"/>
        <v>0.8864</v>
      </c>
      <c r="P223" s="685"/>
      <c r="Q223" s="694">
        <f t="shared" si="32"/>
        <v>0.8864</v>
      </c>
      <c r="R223" s="610"/>
      <c r="S223" t="b">
        <f t="shared" si="30"/>
        <v>1</v>
      </c>
      <c r="T223"/>
      <c r="U223"/>
    </row>
    <row r="224" spans="1:21" s="611" customFormat="1" ht="21.75" customHeight="1">
      <c r="A224" s="602"/>
      <c r="B224" s="602"/>
      <c r="C224" s="680" t="s">
        <v>302</v>
      </c>
      <c r="D224" s="678">
        <v>300000</v>
      </c>
      <c r="E224" s="678">
        <f t="shared" si="33"/>
        <v>12000</v>
      </c>
      <c r="F224" s="717">
        <v>12000</v>
      </c>
      <c r="G224" s="675"/>
      <c r="H224" s="675"/>
      <c r="I224" s="675"/>
      <c r="J224" s="718">
        <f t="shared" si="34"/>
        <v>11649.99</v>
      </c>
      <c r="K224" s="719">
        <v>11649.99</v>
      </c>
      <c r="L224" s="684"/>
      <c r="M224" s="684"/>
      <c r="N224" s="684"/>
      <c r="O224" s="685">
        <f t="shared" si="31"/>
        <v>0.9708325</v>
      </c>
      <c r="P224" s="685"/>
      <c r="Q224" s="685">
        <f t="shared" si="32"/>
        <v>0.9708325</v>
      </c>
      <c r="R224" s="610"/>
      <c r="S224" t="b">
        <f t="shared" si="30"/>
        <v>1</v>
      </c>
      <c r="T224"/>
      <c r="U224"/>
    </row>
    <row r="225" spans="1:21" s="611" customFormat="1" ht="30" customHeight="1" hidden="1">
      <c r="A225" s="602"/>
      <c r="B225" s="602"/>
      <c r="C225" s="680" t="s">
        <v>303</v>
      </c>
      <c r="D225" s="678">
        <v>0</v>
      </c>
      <c r="E225" s="678">
        <f t="shared" si="33"/>
        <v>0</v>
      </c>
      <c r="F225" s="717"/>
      <c r="G225" s="675"/>
      <c r="H225" s="675"/>
      <c r="I225" s="675"/>
      <c r="J225" s="718">
        <f t="shared" si="34"/>
        <v>0</v>
      </c>
      <c r="K225" s="719"/>
      <c r="L225" s="684"/>
      <c r="M225" s="684"/>
      <c r="N225" s="684"/>
      <c r="O225" s="685" t="e">
        <f t="shared" si="31"/>
        <v>#DIV/0!</v>
      </c>
      <c r="P225" s="685"/>
      <c r="Q225" s="685" t="e">
        <f t="shared" si="32"/>
        <v>#DIV/0!</v>
      </c>
      <c r="R225" s="610"/>
      <c r="S225" t="b">
        <f t="shared" si="30"/>
        <v>1</v>
      </c>
      <c r="T225"/>
      <c r="U225"/>
    </row>
    <row r="226" spans="1:21" s="611" customFormat="1" ht="31.5" customHeight="1">
      <c r="A226" s="602"/>
      <c r="B226" s="602"/>
      <c r="C226" s="680" t="s">
        <v>304</v>
      </c>
      <c r="D226" s="678">
        <v>65000</v>
      </c>
      <c r="E226" s="678">
        <f t="shared" si="33"/>
        <v>50000</v>
      </c>
      <c r="F226" s="717">
        <v>50000</v>
      </c>
      <c r="G226" s="675"/>
      <c r="H226" s="675"/>
      <c r="I226" s="675"/>
      <c r="J226" s="718">
        <f t="shared" si="34"/>
        <v>49847.42</v>
      </c>
      <c r="K226" s="719">
        <v>49847.42</v>
      </c>
      <c r="L226" s="684"/>
      <c r="M226" s="684"/>
      <c r="N226" s="684"/>
      <c r="O226" s="685">
        <f t="shared" si="31"/>
        <v>0.9969484</v>
      </c>
      <c r="P226" s="685"/>
      <c r="Q226" s="685">
        <f t="shared" si="32"/>
        <v>0.9969484</v>
      </c>
      <c r="R226" s="610"/>
      <c r="S226" t="b">
        <f t="shared" si="30"/>
        <v>1</v>
      </c>
      <c r="T226"/>
      <c r="U226"/>
    </row>
    <row r="227" spans="1:21" s="611" customFormat="1" ht="32.25" customHeight="1">
      <c r="A227" s="602"/>
      <c r="B227" s="602"/>
      <c r="C227" s="680" t="s">
        <v>305</v>
      </c>
      <c r="D227" s="678">
        <v>30000</v>
      </c>
      <c r="E227" s="678">
        <f>F227+G227+I227</f>
        <v>25000</v>
      </c>
      <c r="F227" s="717">
        <v>25000</v>
      </c>
      <c r="G227" s="675"/>
      <c r="H227" s="675"/>
      <c r="I227" s="675"/>
      <c r="J227" s="718">
        <f>K227+L227+N227</f>
        <v>24253.94</v>
      </c>
      <c r="K227" s="719">
        <v>24253.94</v>
      </c>
      <c r="L227" s="684"/>
      <c r="M227" s="684"/>
      <c r="N227" s="684"/>
      <c r="O227" s="685">
        <f t="shared" si="31"/>
        <v>0.9701576</v>
      </c>
      <c r="P227" s="685"/>
      <c r="Q227" s="685">
        <f t="shared" si="32"/>
        <v>0.9701576</v>
      </c>
      <c r="R227" s="610"/>
      <c r="S227" t="b">
        <f t="shared" si="30"/>
        <v>1</v>
      </c>
      <c r="T227"/>
      <c r="U227"/>
    </row>
    <row r="228" spans="1:21" s="611" customFormat="1" ht="33" customHeight="1">
      <c r="A228" s="602"/>
      <c r="B228" s="602"/>
      <c r="C228" s="680" t="s">
        <v>306</v>
      </c>
      <c r="D228" s="678">
        <v>75000</v>
      </c>
      <c r="E228" s="678">
        <f>F228</f>
        <v>167000</v>
      </c>
      <c r="F228" s="717">
        <v>167000</v>
      </c>
      <c r="G228" s="675"/>
      <c r="H228" s="675"/>
      <c r="I228" s="675"/>
      <c r="J228" s="718">
        <f>K228</f>
        <v>166816.26</v>
      </c>
      <c r="K228" s="719">
        <v>166816.26</v>
      </c>
      <c r="L228" s="684"/>
      <c r="M228" s="684"/>
      <c r="N228" s="684"/>
      <c r="O228" s="685">
        <f t="shared" si="31"/>
        <v>0.9988997604790419</v>
      </c>
      <c r="P228" s="685"/>
      <c r="Q228" s="685">
        <f t="shared" si="32"/>
        <v>0.9988997604790419</v>
      </c>
      <c r="R228" s="610"/>
      <c r="S228" t="b">
        <f t="shared" si="30"/>
        <v>1</v>
      </c>
      <c r="T228"/>
      <c r="U228"/>
    </row>
    <row r="229" spans="1:21" s="611" customFormat="1" ht="21.75" customHeight="1">
      <c r="A229" s="602"/>
      <c r="B229" s="602"/>
      <c r="C229" s="680" t="s">
        <v>307</v>
      </c>
      <c r="D229" s="678"/>
      <c r="E229" s="678">
        <f>F229</f>
        <v>395000</v>
      </c>
      <c r="F229" s="717">
        <v>395000</v>
      </c>
      <c r="G229" s="675"/>
      <c r="H229" s="675"/>
      <c r="I229" s="675"/>
      <c r="J229" s="718">
        <f>K229</f>
        <v>28060</v>
      </c>
      <c r="K229" s="719">
        <v>28060</v>
      </c>
      <c r="L229" s="684"/>
      <c r="M229" s="684"/>
      <c r="N229" s="684"/>
      <c r="O229" s="685">
        <f t="shared" si="31"/>
        <v>0.07103797468354431</v>
      </c>
      <c r="P229" s="685"/>
      <c r="Q229" s="685">
        <f t="shared" si="32"/>
        <v>0.07103797468354431</v>
      </c>
      <c r="R229" s="610"/>
      <c r="S229" t="b">
        <f t="shared" si="30"/>
        <v>1</v>
      </c>
      <c r="T229"/>
      <c r="U229"/>
    </row>
    <row r="230" spans="1:21" s="611" customFormat="1" ht="33.75" customHeight="1">
      <c r="A230" s="602"/>
      <c r="B230" s="602"/>
      <c r="C230" s="680" t="s">
        <v>308</v>
      </c>
      <c r="D230" s="678">
        <v>100000</v>
      </c>
      <c r="E230" s="678"/>
      <c r="F230" s="717"/>
      <c r="G230" s="675"/>
      <c r="H230" s="675"/>
      <c r="I230" s="675"/>
      <c r="J230" s="718"/>
      <c r="K230" s="719"/>
      <c r="L230" s="684"/>
      <c r="M230" s="684"/>
      <c r="N230" s="684"/>
      <c r="O230" s="685"/>
      <c r="P230" s="685"/>
      <c r="Q230" s="685"/>
      <c r="R230" s="610"/>
      <c r="S230" t="b">
        <f t="shared" si="30"/>
        <v>1</v>
      </c>
      <c r="T230"/>
      <c r="U230"/>
    </row>
    <row r="231" spans="1:21" s="611" customFormat="1" ht="31.5" customHeight="1">
      <c r="A231" s="695"/>
      <c r="B231" s="695"/>
      <c r="C231" s="696" t="s">
        <v>309</v>
      </c>
      <c r="D231" s="761">
        <v>100000</v>
      </c>
      <c r="E231" s="761"/>
      <c r="F231" s="848"/>
      <c r="G231" s="698"/>
      <c r="H231" s="698"/>
      <c r="I231" s="698"/>
      <c r="J231" s="849"/>
      <c r="K231" s="764"/>
      <c r="L231" s="700"/>
      <c r="M231" s="700"/>
      <c r="N231" s="700"/>
      <c r="O231" s="701"/>
      <c r="P231" s="701"/>
      <c r="Q231" s="701"/>
      <c r="R231" s="610"/>
      <c r="S231" t="b">
        <f t="shared" si="30"/>
        <v>1</v>
      </c>
      <c r="T231"/>
      <c r="U231"/>
    </row>
    <row r="232" spans="1:21" s="611" customFormat="1" ht="31.5" customHeight="1">
      <c r="A232" s="959"/>
      <c r="B232" s="959"/>
      <c r="C232" s="960"/>
      <c r="D232" s="961"/>
      <c r="E232" s="961"/>
      <c r="F232" s="961"/>
      <c r="G232" s="961"/>
      <c r="H232" s="961"/>
      <c r="I232" s="961"/>
      <c r="J232" s="962"/>
      <c r="K232" s="962"/>
      <c r="L232" s="962"/>
      <c r="M232" s="962"/>
      <c r="N232" s="962"/>
      <c r="O232" s="963"/>
      <c r="P232" s="963"/>
      <c r="Q232" s="963"/>
      <c r="R232" s="610"/>
      <c r="S232"/>
      <c r="T232"/>
      <c r="U232"/>
    </row>
    <row r="233" spans="1:21" s="620" customFormat="1" ht="25.5" customHeight="1">
      <c r="A233" s="631"/>
      <c r="B233" s="612">
        <v>90002</v>
      </c>
      <c r="C233" s="635" t="s">
        <v>699</v>
      </c>
      <c r="D233" s="634">
        <v>9767000</v>
      </c>
      <c r="E233" s="634">
        <f>I233+G233+F233</f>
        <v>11827379</v>
      </c>
      <c r="F233" s="792">
        <f>SUM(F234:F236)</f>
        <v>6584769</v>
      </c>
      <c r="G233" s="792">
        <f>SUM(G234:G236)</f>
        <v>5242610</v>
      </c>
      <c r="H233" s="792">
        <f>H234</f>
        <v>0</v>
      </c>
      <c r="I233" s="792"/>
      <c r="J233" s="636">
        <f>K233+M233+N233+L233</f>
        <v>9194090.379999999</v>
      </c>
      <c r="K233" s="793">
        <f>SUM(K234:K236)</f>
        <v>3969350.04</v>
      </c>
      <c r="L233" s="793">
        <f>L234</f>
        <v>5224740.34</v>
      </c>
      <c r="M233" s="793">
        <f>M234</f>
        <v>0</v>
      </c>
      <c r="N233" s="793"/>
      <c r="O233" s="794">
        <f>J233/E233</f>
        <v>0.7773565368962979</v>
      </c>
      <c r="P233" s="794"/>
      <c r="Q233" s="794">
        <f>K233/F233</f>
        <v>0.6028077887014716</v>
      </c>
      <c r="R233" s="619"/>
      <c r="S233" t="b">
        <f aca="true" t="shared" si="35" ref="S233:S264">J233=K233+L233+N233</f>
        <v>1</v>
      </c>
      <c r="T233"/>
      <c r="U233"/>
    </row>
    <row r="234" spans="1:21" s="965" customFormat="1" ht="22.5" customHeight="1">
      <c r="A234" s="602"/>
      <c r="B234" s="639"/>
      <c r="C234" s="964" t="s">
        <v>310</v>
      </c>
      <c r="D234" s="890">
        <v>8397600</v>
      </c>
      <c r="E234" s="890">
        <f>F234+G234</f>
        <v>10657979</v>
      </c>
      <c r="F234" s="891">
        <v>5415369</v>
      </c>
      <c r="G234" s="704">
        <v>5242610</v>
      </c>
      <c r="H234" s="704"/>
      <c r="I234" s="704"/>
      <c r="J234" s="892">
        <f>K234+M234+L234</f>
        <v>8168494.89</v>
      </c>
      <c r="K234" s="893">
        <f>241580.14+1500000+1202174.41</f>
        <v>2943754.55</v>
      </c>
      <c r="L234" s="707">
        <v>5224740.34</v>
      </c>
      <c r="M234" s="707"/>
      <c r="N234" s="707"/>
      <c r="O234" s="709">
        <f>J234/E234</f>
        <v>0.766420621583135</v>
      </c>
      <c r="P234" s="709"/>
      <c r="Q234" s="709">
        <f>K234/F234</f>
        <v>0.5435926065241352</v>
      </c>
      <c r="R234" s="610"/>
      <c r="S234" t="b">
        <f t="shared" si="35"/>
        <v>1</v>
      </c>
      <c r="T234"/>
      <c r="U234"/>
    </row>
    <row r="235" spans="1:21" s="611" customFormat="1" ht="24" customHeight="1">
      <c r="A235" s="602"/>
      <c r="B235" s="602"/>
      <c r="C235" s="840" t="s">
        <v>311</v>
      </c>
      <c r="D235" s="668">
        <v>1169400</v>
      </c>
      <c r="E235" s="668">
        <f>F235</f>
        <v>1169400</v>
      </c>
      <c r="F235" s="837">
        <v>1169400</v>
      </c>
      <c r="G235" s="837"/>
      <c r="H235" s="837"/>
      <c r="I235" s="837"/>
      <c r="J235" s="838">
        <f>K235</f>
        <v>1025595.49</v>
      </c>
      <c r="K235" s="839">
        <f>974634.27+50961.22</f>
        <v>1025595.49</v>
      </c>
      <c r="L235" s="839"/>
      <c r="M235" s="839"/>
      <c r="N235" s="839"/>
      <c r="O235" s="846">
        <f>J235/E235</f>
        <v>0.8770270993671968</v>
      </c>
      <c r="P235" s="846"/>
      <c r="Q235" s="846">
        <f>K235/F235</f>
        <v>0.8770270993671968</v>
      </c>
      <c r="R235" s="610"/>
      <c r="S235" t="b">
        <f t="shared" si="35"/>
        <v>1</v>
      </c>
      <c r="T235"/>
      <c r="U235"/>
    </row>
    <row r="236" spans="1:21" s="611" customFormat="1" ht="28.5" customHeight="1">
      <c r="A236" s="602"/>
      <c r="B236" s="695"/>
      <c r="C236" s="696" t="s">
        <v>312</v>
      </c>
      <c r="D236" s="761">
        <v>200000</v>
      </c>
      <c r="E236" s="761"/>
      <c r="F236" s="848"/>
      <c r="G236" s="848"/>
      <c r="H236" s="848"/>
      <c r="I236" s="848"/>
      <c r="J236" s="849"/>
      <c r="K236" s="764"/>
      <c r="L236" s="764"/>
      <c r="M236" s="764"/>
      <c r="N236" s="764"/>
      <c r="O236" s="897"/>
      <c r="P236" s="897"/>
      <c r="Q236" s="897"/>
      <c r="R236" s="610"/>
      <c r="S236" t="b">
        <f t="shared" si="35"/>
        <v>1</v>
      </c>
      <c r="T236"/>
      <c r="U236"/>
    </row>
    <row r="237" spans="1:21" s="620" customFormat="1" ht="23.25" customHeight="1">
      <c r="A237" s="631"/>
      <c r="B237" s="612">
        <v>90003</v>
      </c>
      <c r="C237" s="635" t="s">
        <v>702</v>
      </c>
      <c r="D237" s="634">
        <v>100000</v>
      </c>
      <c r="E237" s="634"/>
      <c r="F237" s="792"/>
      <c r="G237" s="792"/>
      <c r="H237" s="792"/>
      <c r="I237" s="792"/>
      <c r="J237" s="636"/>
      <c r="K237" s="793"/>
      <c r="L237" s="793"/>
      <c r="M237" s="793"/>
      <c r="N237" s="793"/>
      <c r="O237" s="794"/>
      <c r="P237" s="794"/>
      <c r="Q237" s="794"/>
      <c r="R237" s="619"/>
      <c r="S237" t="b">
        <f t="shared" si="35"/>
        <v>1</v>
      </c>
      <c r="T237"/>
      <c r="U237"/>
    </row>
    <row r="238" spans="1:21" s="965" customFormat="1" ht="24.75" customHeight="1">
      <c r="A238" s="602"/>
      <c r="B238" s="750"/>
      <c r="C238" s="966" t="s">
        <v>313</v>
      </c>
      <c r="D238" s="752">
        <v>100000</v>
      </c>
      <c r="E238" s="752"/>
      <c r="F238" s="753"/>
      <c r="G238" s="754"/>
      <c r="H238" s="754"/>
      <c r="I238" s="754"/>
      <c r="J238" s="755"/>
      <c r="K238" s="756"/>
      <c r="L238" s="757"/>
      <c r="M238" s="757"/>
      <c r="N238" s="757"/>
      <c r="O238" s="758"/>
      <c r="P238" s="758"/>
      <c r="Q238" s="758"/>
      <c r="R238" s="610"/>
      <c r="S238" t="b">
        <f t="shared" si="35"/>
        <v>1</v>
      </c>
      <c r="T238"/>
      <c r="U238"/>
    </row>
    <row r="239" spans="1:21" s="620" customFormat="1" ht="21.75" customHeight="1">
      <c r="A239" s="631"/>
      <c r="B239" s="721">
        <v>90004</v>
      </c>
      <c r="C239" s="664" t="s">
        <v>708</v>
      </c>
      <c r="D239" s="663">
        <v>800000</v>
      </c>
      <c r="E239" s="663">
        <f>F239+H239+I239</f>
        <v>600000</v>
      </c>
      <c r="F239" s="722">
        <f>F241+F240</f>
        <v>600000</v>
      </c>
      <c r="G239" s="722"/>
      <c r="H239" s="722"/>
      <c r="I239" s="722"/>
      <c r="J239" s="665">
        <f>K239+M239+N239</f>
        <v>596338.46</v>
      </c>
      <c r="K239" s="723">
        <f>K241+K240</f>
        <v>596338.46</v>
      </c>
      <c r="L239" s="723"/>
      <c r="M239" s="723"/>
      <c r="N239" s="723"/>
      <c r="O239" s="724">
        <f>J239/E239</f>
        <v>0.9938974333333332</v>
      </c>
      <c r="P239" s="724"/>
      <c r="Q239" s="724">
        <f>K239/F239</f>
        <v>0.9938974333333332</v>
      </c>
      <c r="R239" s="619"/>
      <c r="S239" t="b">
        <f t="shared" si="35"/>
        <v>1</v>
      </c>
      <c r="T239"/>
      <c r="U239"/>
    </row>
    <row r="240" spans="1:21" s="965" customFormat="1" ht="23.25" customHeight="1">
      <c r="A240" s="602"/>
      <c r="B240" s="602"/>
      <c r="C240" s="967" t="s">
        <v>314</v>
      </c>
      <c r="D240" s="668">
        <v>500000</v>
      </c>
      <c r="E240" s="668">
        <f>F240+H240</f>
        <v>600000</v>
      </c>
      <c r="F240" s="837">
        <v>600000</v>
      </c>
      <c r="G240" s="841"/>
      <c r="H240" s="841"/>
      <c r="I240" s="841"/>
      <c r="J240" s="838">
        <f>K240+M240</f>
        <v>596338.46</v>
      </c>
      <c r="K240" s="839">
        <v>596338.46</v>
      </c>
      <c r="L240" s="842"/>
      <c r="M240" s="842"/>
      <c r="N240" s="842"/>
      <c r="O240" s="843">
        <f>J240/E240</f>
        <v>0.9938974333333332</v>
      </c>
      <c r="P240" s="843"/>
      <c r="Q240" s="843">
        <f>K240/F240</f>
        <v>0.9938974333333332</v>
      </c>
      <c r="R240" s="610"/>
      <c r="S240" t="b">
        <f t="shared" si="35"/>
        <v>1</v>
      </c>
      <c r="T240"/>
      <c r="U240"/>
    </row>
    <row r="241" spans="1:21" s="965" customFormat="1" ht="19.5" customHeight="1">
      <c r="A241" s="602"/>
      <c r="B241" s="695"/>
      <c r="C241" s="968" t="s">
        <v>315</v>
      </c>
      <c r="D241" s="761">
        <v>300000</v>
      </c>
      <c r="E241" s="761"/>
      <c r="F241" s="848"/>
      <c r="G241" s="698"/>
      <c r="H241" s="698"/>
      <c r="I241" s="698"/>
      <c r="J241" s="849"/>
      <c r="K241" s="764"/>
      <c r="L241" s="700"/>
      <c r="M241" s="700"/>
      <c r="N241" s="700"/>
      <c r="O241" s="701"/>
      <c r="P241" s="701"/>
      <c r="Q241" s="701"/>
      <c r="R241" s="610"/>
      <c r="S241" t="b">
        <f t="shared" si="35"/>
        <v>1</v>
      </c>
      <c r="T241"/>
      <c r="U241"/>
    </row>
    <row r="242" spans="1:21" s="620" customFormat="1" ht="24" customHeight="1" hidden="1">
      <c r="A242" s="612"/>
      <c r="B242" s="721">
        <v>90013</v>
      </c>
      <c r="C242" s="664" t="s">
        <v>713</v>
      </c>
      <c r="D242" s="663">
        <v>0</v>
      </c>
      <c r="E242" s="663">
        <f>F242+H242+I242</f>
        <v>0</v>
      </c>
      <c r="F242" s="722">
        <f>F243</f>
        <v>0</v>
      </c>
      <c r="G242" s="664"/>
      <c r="H242" s="664"/>
      <c r="I242" s="664"/>
      <c r="J242" s="665">
        <f>K242+M242+N242</f>
        <v>0</v>
      </c>
      <c r="K242" s="723">
        <f>K243</f>
        <v>0</v>
      </c>
      <c r="L242" s="666"/>
      <c r="M242" s="666"/>
      <c r="N242" s="666"/>
      <c r="O242" s="667" t="e">
        <f aca="true" t="shared" si="36" ref="O242:O260">J242/E242</f>
        <v>#DIV/0!</v>
      </c>
      <c r="P242" s="667"/>
      <c r="Q242" s="667" t="e">
        <f aca="true" t="shared" si="37" ref="Q242:Q260">K242/F242</f>
        <v>#DIV/0!</v>
      </c>
      <c r="R242" s="619"/>
      <c r="S242" t="b">
        <f t="shared" si="35"/>
        <v>1</v>
      </c>
      <c r="T242"/>
      <c r="U242"/>
    </row>
    <row r="243" spans="1:21" s="965" customFormat="1" ht="24" customHeight="1" hidden="1">
      <c r="A243" s="639"/>
      <c r="B243" s="750"/>
      <c r="C243" s="966" t="s">
        <v>1244</v>
      </c>
      <c r="D243" s="752">
        <v>0</v>
      </c>
      <c r="E243" s="752">
        <f>F243+H243</f>
        <v>0</v>
      </c>
      <c r="F243" s="753"/>
      <c r="G243" s="754"/>
      <c r="H243" s="754"/>
      <c r="I243" s="754"/>
      <c r="J243" s="755">
        <f>K243+M243</f>
        <v>0</v>
      </c>
      <c r="K243" s="756"/>
      <c r="L243" s="757"/>
      <c r="M243" s="757"/>
      <c r="N243" s="757"/>
      <c r="O243" s="758" t="e">
        <f t="shared" si="36"/>
        <v>#DIV/0!</v>
      </c>
      <c r="P243" s="758"/>
      <c r="Q243" s="758" t="e">
        <f t="shared" si="37"/>
        <v>#DIV/0!</v>
      </c>
      <c r="R243" s="610"/>
      <c r="S243" t="b">
        <f t="shared" si="35"/>
        <v>1</v>
      </c>
      <c r="T243"/>
      <c r="U243"/>
    </row>
    <row r="244" spans="1:21" s="620" customFormat="1" ht="21" customHeight="1">
      <c r="A244" s="631"/>
      <c r="B244" s="721">
        <v>90015</v>
      </c>
      <c r="C244" s="664" t="s">
        <v>715</v>
      </c>
      <c r="D244" s="663">
        <v>350000</v>
      </c>
      <c r="E244" s="663">
        <f>F244+H244+I244</f>
        <v>450000</v>
      </c>
      <c r="F244" s="722">
        <f>F245</f>
        <v>450000</v>
      </c>
      <c r="G244" s="664"/>
      <c r="H244" s="664"/>
      <c r="I244" s="664"/>
      <c r="J244" s="665">
        <f>K244+M244+N244</f>
        <v>449809.2</v>
      </c>
      <c r="K244" s="723">
        <f>K245</f>
        <v>449809.2</v>
      </c>
      <c r="L244" s="666"/>
      <c r="M244" s="666"/>
      <c r="N244" s="666"/>
      <c r="O244" s="667">
        <f t="shared" si="36"/>
        <v>0.999576</v>
      </c>
      <c r="P244" s="667"/>
      <c r="Q244" s="667">
        <f t="shared" si="37"/>
        <v>0.999576</v>
      </c>
      <c r="R244" s="619"/>
      <c r="S244" t="b">
        <f t="shared" si="35"/>
        <v>1</v>
      </c>
      <c r="T244"/>
      <c r="U244"/>
    </row>
    <row r="245" spans="1:21" s="965" customFormat="1" ht="18.75" customHeight="1">
      <c r="A245" s="602"/>
      <c r="B245" s="602"/>
      <c r="C245" s="968" t="s">
        <v>316</v>
      </c>
      <c r="D245" s="969">
        <v>350000</v>
      </c>
      <c r="E245" s="969">
        <f>F245+H245</f>
        <v>450000</v>
      </c>
      <c r="F245" s="970">
        <v>450000</v>
      </c>
      <c r="G245" s="968"/>
      <c r="H245" s="968"/>
      <c r="I245" s="968"/>
      <c r="J245" s="971">
        <f>K245+M245</f>
        <v>449809.2</v>
      </c>
      <c r="K245" s="972">
        <f>71809.2+378000</f>
        <v>449809.2</v>
      </c>
      <c r="L245" s="973"/>
      <c r="M245" s="973"/>
      <c r="N245" s="973"/>
      <c r="O245" s="974">
        <f t="shared" si="36"/>
        <v>0.999576</v>
      </c>
      <c r="P245" s="974"/>
      <c r="Q245" s="974">
        <f t="shared" si="37"/>
        <v>0.999576</v>
      </c>
      <c r="R245" s="657"/>
      <c r="S245" t="b">
        <f t="shared" si="35"/>
        <v>1</v>
      </c>
      <c r="T245"/>
      <c r="U245"/>
    </row>
    <row r="246" spans="1:21" s="620" customFormat="1" ht="21" customHeight="1">
      <c r="A246" s="631"/>
      <c r="B246" s="812">
        <v>90095</v>
      </c>
      <c r="C246" s="664" t="s">
        <v>13</v>
      </c>
      <c r="D246" s="663">
        <v>13396000</v>
      </c>
      <c r="E246" s="663">
        <f>F246+H246+I246</f>
        <v>18331500</v>
      </c>
      <c r="F246" s="722">
        <f>SUM(F247:F253)</f>
        <v>17831500</v>
      </c>
      <c r="G246" s="664"/>
      <c r="H246" s="664">
        <f>SUM(H247:H253)</f>
        <v>0</v>
      </c>
      <c r="I246" s="664">
        <f>I248</f>
        <v>500000</v>
      </c>
      <c r="J246" s="665">
        <f>K246+M246+N246</f>
        <v>16886542.58</v>
      </c>
      <c r="K246" s="723">
        <f>SUM(K247:K253)</f>
        <v>16670630.69</v>
      </c>
      <c r="L246" s="666"/>
      <c r="M246" s="666">
        <f>SUM(M247:M253)</f>
        <v>0</v>
      </c>
      <c r="N246" s="666">
        <f>N248</f>
        <v>215911.89</v>
      </c>
      <c r="O246" s="667">
        <f t="shared" si="36"/>
        <v>0.9211762583531079</v>
      </c>
      <c r="P246" s="667"/>
      <c r="Q246" s="667">
        <f t="shared" si="37"/>
        <v>0.9348978319266467</v>
      </c>
      <c r="R246" s="619"/>
      <c r="S246" t="b">
        <f t="shared" si="35"/>
        <v>1</v>
      </c>
      <c r="T246"/>
      <c r="U246"/>
    </row>
    <row r="247" spans="1:21" s="648" customFormat="1" ht="20.25" customHeight="1">
      <c r="A247" s="602"/>
      <c r="B247" s="639"/>
      <c r="C247" s="643" t="s">
        <v>317</v>
      </c>
      <c r="D247" s="641">
        <v>3500000</v>
      </c>
      <c r="E247" s="641">
        <f>F247</f>
        <v>4200000</v>
      </c>
      <c r="F247" s="669">
        <v>4200000</v>
      </c>
      <c r="G247" s="643"/>
      <c r="H247" s="643"/>
      <c r="I247" s="643"/>
      <c r="J247" s="644">
        <f>K247</f>
        <v>4198968.03</v>
      </c>
      <c r="K247" s="895">
        <v>4198968.03</v>
      </c>
      <c r="L247" s="646"/>
      <c r="M247" s="646"/>
      <c r="N247" s="646"/>
      <c r="O247" s="647">
        <f t="shared" si="36"/>
        <v>0.9997542928571429</v>
      </c>
      <c r="P247" s="647"/>
      <c r="Q247" s="647">
        <f t="shared" si="37"/>
        <v>0.9997542928571429</v>
      </c>
      <c r="R247" s="610"/>
      <c r="S247" t="b">
        <f t="shared" si="35"/>
        <v>1</v>
      </c>
      <c r="T247"/>
      <c r="U247"/>
    </row>
    <row r="248" spans="1:21" s="648" customFormat="1" ht="32.25" customHeight="1">
      <c r="A248" s="602"/>
      <c r="B248" s="602"/>
      <c r="C248" s="680" t="s">
        <v>318</v>
      </c>
      <c r="D248" s="678">
        <v>4446000</v>
      </c>
      <c r="E248" s="678">
        <f>F248+H248+I248</f>
        <v>8097650</v>
      </c>
      <c r="F248" s="717">
        <v>7597650</v>
      </c>
      <c r="G248" s="675"/>
      <c r="H248" s="675"/>
      <c r="I248" s="675">
        <v>500000</v>
      </c>
      <c r="J248" s="718">
        <f>K248+M248+N248</f>
        <v>7376806.049999999</v>
      </c>
      <c r="K248" s="719">
        <f>6651467.26+506841.43+2585.47</f>
        <v>7160894.159999999</v>
      </c>
      <c r="L248" s="684"/>
      <c r="M248" s="684"/>
      <c r="N248" s="684">
        <v>215911.89</v>
      </c>
      <c r="O248" s="685">
        <f t="shared" si="36"/>
        <v>0.9109810932801491</v>
      </c>
      <c r="P248" s="685"/>
      <c r="Q248" s="685">
        <f t="shared" si="37"/>
        <v>0.9425143511480523</v>
      </c>
      <c r="R248" s="610"/>
      <c r="S248" t="b">
        <f t="shared" si="35"/>
        <v>1</v>
      </c>
      <c r="T248"/>
      <c r="U248"/>
    </row>
    <row r="249" spans="1:21" s="648" customFormat="1" ht="30" customHeight="1">
      <c r="A249" s="602"/>
      <c r="B249" s="602"/>
      <c r="C249" s="658" t="s">
        <v>319</v>
      </c>
      <c r="D249" s="604">
        <v>2000000</v>
      </c>
      <c r="E249" s="604">
        <f>F249</f>
        <v>3038850</v>
      </c>
      <c r="F249" s="605">
        <v>3038850</v>
      </c>
      <c r="G249" s="603"/>
      <c r="H249" s="603"/>
      <c r="I249" s="603"/>
      <c r="J249" s="803">
        <f>K249</f>
        <v>3038850</v>
      </c>
      <c r="K249" s="659">
        <v>3038850</v>
      </c>
      <c r="L249" s="660"/>
      <c r="M249" s="660"/>
      <c r="N249" s="660"/>
      <c r="O249" s="609">
        <f t="shared" si="36"/>
        <v>1</v>
      </c>
      <c r="P249" s="609"/>
      <c r="Q249" s="609">
        <f t="shared" si="37"/>
        <v>1</v>
      </c>
      <c r="R249" s="610"/>
      <c r="S249" t="b">
        <f t="shared" si="35"/>
        <v>1</v>
      </c>
      <c r="T249"/>
      <c r="U249"/>
    </row>
    <row r="250" spans="1:21" s="648" customFormat="1" ht="30" customHeight="1">
      <c r="A250" s="602"/>
      <c r="B250" s="602"/>
      <c r="C250" s="680" t="s">
        <v>320</v>
      </c>
      <c r="D250" s="678">
        <v>2050000</v>
      </c>
      <c r="E250" s="678">
        <f>F250</f>
        <v>2050000</v>
      </c>
      <c r="F250" s="717">
        <v>2050000</v>
      </c>
      <c r="G250" s="675"/>
      <c r="H250" s="675"/>
      <c r="I250" s="675"/>
      <c r="J250" s="718">
        <f>K250</f>
        <v>1332535.15</v>
      </c>
      <c r="K250" s="719">
        <v>1332535.15</v>
      </c>
      <c r="L250" s="684"/>
      <c r="M250" s="684"/>
      <c r="N250" s="684"/>
      <c r="O250" s="685">
        <f t="shared" si="36"/>
        <v>0.6500171463414633</v>
      </c>
      <c r="P250" s="685"/>
      <c r="Q250" s="685">
        <f t="shared" si="37"/>
        <v>0.6500171463414633</v>
      </c>
      <c r="R250" s="610"/>
      <c r="S250" t="b">
        <f t="shared" si="35"/>
        <v>1</v>
      </c>
      <c r="T250"/>
      <c r="U250"/>
    </row>
    <row r="251" spans="1:21" s="648" customFormat="1" ht="27.75" customHeight="1">
      <c r="A251" s="602"/>
      <c r="B251" s="602"/>
      <c r="C251" s="680" t="s">
        <v>321</v>
      </c>
      <c r="D251" s="678">
        <v>500000</v>
      </c>
      <c r="E251" s="678">
        <f>F251</f>
        <v>321000</v>
      </c>
      <c r="F251" s="717">
        <v>321000</v>
      </c>
      <c r="G251" s="675"/>
      <c r="H251" s="675"/>
      <c r="I251" s="675"/>
      <c r="J251" s="718">
        <f>K251</f>
        <v>320624.28</v>
      </c>
      <c r="K251" s="719">
        <v>320624.28</v>
      </c>
      <c r="L251" s="684"/>
      <c r="M251" s="684"/>
      <c r="N251" s="684"/>
      <c r="O251" s="685">
        <f t="shared" si="36"/>
        <v>0.9988295327102804</v>
      </c>
      <c r="P251" s="685"/>
      <c r="Q251" s="685">
        <f t="shared" si="37"/>
        <v>0.9988295327102804</v>
      </c>
      <c r="R251" s="610"/>
      <c r="S251" t="b">
        <f t="shared" si="35"/>
        <v>1</v>
      </c>
      <c r="T251"/>
      <c r="U251"/>
    </row>
    <row r="252" spans="1:21" s="648" customFormat="1" ht="30.75" customHeight="1">
      <c r="A252" s="602"/>
      <c r="B252" s="602"/>
      <c r="C252" s="686" t="s">
        <v>322</v>
      </c>
      <c r="D252" s="713">
        <v>200000</v>
      </c>
      <c r="E252" s="713">
        <f>F252</f>
        <v>9000</v>
      </c>
      <c r="F252" s="714">
        <v>9000</v>
      </c>
      <c r="G252" s="688"/>
      <c r="H252" s="688"/>
      <c r="I252" s="688"/>
      <c r="J252" s="715">
        <f>K252</f>
        <v>8052</v>
      </c>
      <c r="K252" s="716">
        <v>8052</v>
      </c>
      <c r="L252" s="691"/>
      <c r="M252" s="691"/>
      <c r="N252" s="691"/>
      <c r="O252" s="694">
        <f t="shared" si="36"/>
        <v>0.8946666666666667</v>
      </c>
      <c r="P252" s="694"/>
      <c r="Q252" s="694">
        <f t="shared" si="37"/>
        <v>0.8946666666666667</v>
      </c>
      <c r="R252" s="610"/>
      <c r="S252" t="b">
        <f t="shared" si="35"/>
        <v>1</v>
      </c>
      <c r="T252"/>
      <c r="U252"/>
    </row>
    <row r="253" spans="1:21" s="648" customFormat="1" ht="19.5" customHeight="1">
      <c r="A253" s="602"/>
      <c r="B253" s="602"/>
      <c r="C253" s="675" t="s">
        <v>1220</v>
      </c>
      <c r="D253" s="678">
        <v>700000</v>
      </c>
      <c r="E253" s="678">
        <f>F253+H253+I253</f>
        <v>615000</v>
      </c>
      <c r="F253" s="717">
        <v>615000</v>
      </c>
      <c r="G253" s="675"/>
      <c r="H253" s="675"/>
      <c r="I253" s="675"/>
      <c r="J253" s="718">
        <f>K253+M253+N253</f>
        <v>610707.07</v>
      </c>
      <c r="K253" s="719">
        <v>610707.07</v>
      </c>
      <c r="L253" s="684"/>
      <c r="M253" s="684"/>
      <c r="N253" s="684"/>
      <c r="O253" s="685">
        <f t="shared" si="36"/>
        <v>0.99301962601626</v>
      </c>
      <c r="P253" s="685"/>
      <c r="Q253" s="685">
        <f t="shared" si="37"/>
        <v>0.99301962601626</v>
      </c>
      <c r="R253" s="610"/>
      <c r="S253" t="b">
        <f t="shared" si="35"/>
        <v>1</v>
      </c>
      <c r="T253"/>
      <c r="U253"/>
    </row>
    <row r="254" spans="1:21" s="630" customFormat="1" ht="21.75" customHeight="1" thickBot="1">
      <c r="A254" s="809">
        <v>921</v>
      </c>
      <c r="B254" s="621"/>
      <c r="C254" s="810" t="s">
        <v>16</v>
      </c>
      <c r="D254" s="767">
        <v>477000</v>
      </c>
      <c r="E254" s="767">
        <f>F254+H254+I254</f>
        <v>297000</v>
      </c>
      <c r="F254" s="768">
        <f>F255+F262+F267+F264+F259+F257</f>
        <v>297000</v>
      </c>
      <c r="G254" s="768"/>
      <c r="H254" s="768"/>
      <c r="I254" s="768"/>
      <c r="J254" s="769">
        <f>K254+M254+N254</f>
        <v>171236.2</v>
      </c>
      <c r="K254" s="770">
        <f>K255+K262+K267+K264+K259+K257</f>
        <v>171236.2</v>
      </c>
      <c r="L254" s="770"/>
      <c r="M254" s="770"/>
      <c r="N254" s="770"/>
      <c r="O254" s="771">
        <f t="shared" si="36"/>
        <v>0.576552861952862</v>
      </c>
      <c r="P254" s="771"/>
      <c r="Q254" s="771">
        <f t="shared" si="37"/>
        <v>0.576552861952862</v>
      </c>
      <c r="R254" s="628"/>
      <c r="S254" s="629" t="b">
        <f t="shared" si="35"/>
        <v>1</v>
      </c>
      <c r="T254" s="629"/>
      <c r="U254" s="629"/>
    </row>
    <row r="255" spans="1:21" s="620" customFormat="1" ht="19.5" customHeight="1" hidden="1">
      <c r="A255" s="631"/>
      <c r="B255" s="632">
        <v>92105</v>
      </c>
      <c r="C255" s="633" t="s">
        <v>17</v>
      </c>
      <c r="D255" s="634">
        <v>0</v>
      </c>
      <c r="E255" s="634">
        <f>F255+H255+I255</f>
        <v>0</v>
      </c>
      <c r="F255" s="792"/>
      <c r="G255" s="792"/>
      <c r="H255" s="792"/>
      <c r="I255" s="792"/>
      <c r="J255" s="636">
        <f>K255+M255+N255</f>
        <v>0</v>
      </c>
      <c r="K255" s="793"/>
      <c r="L255" s="793"/>
      <c r="M255" s="793"/>
      <c r="N255" s="793"/>
      <c r="O255" s="794" t="e">
        <f t="shared" si="36"/>
        <v>#DIV/0!</v>
      </c>
      <c r="P255" s="794"/>
      <c r="Q255" s="794" t="e">
        <f t="shared" si="37"/>
        <v>#DIV/0!</v>
      </c>
      <c r="R255" s="619"/>
      <c r="S255" t="b">
        <f t="shared" si="35"/>
        <v>1</v>
      </c>
      <c r="T255"/>
      <c r="U255"/>
    </row>
    <row r="256" spans="1:21" s="648" customFormat="1" ht="46.5" customHeight="1" hidden="1">
      <c r="A256" s="602"/>
      <c r="B256" s="750"/>
      <c r="C256" s="754" t="s">
        <v>1244</v>
      </c>
      <c r="D256" s="752">
        <v>0</v>
      </c>
      <c r="E256" s="752">
        <f>F256+H256+I256</f>
        <v>0</v>
      </c>
      <c r="F256" s="753"/>
      <c r="G256" s="754"/>
      <c r="H256" s="754"/>
      <c r="I256" s="754"/>
      <c r="J256" s="755">
        <f>K256+M256+N256</f>
        <v>0</v>
      </c>
      <c r="K256" s="756"/>
      <c r="L256" s="757"/>
      <c r="M256" s="757"/>
      <c r="N256" s="757"/>
      <c r="O256" s="758" t="e">
        <f t="shared" si="36"/>
        <v>#DIV/0!</v>
      </c>
      <c r="P256" s="758"/>
      <c r="Q256" s="758" t="e">
        <f t="shared" si="37"/>
        <v>#DIV/0!</v>
      </c>
      <c r="R256" s="610"/>
      <c r="S256" t="b">
        <f t="shared" si="35"/>
        <v>1</v>
      </c>
      <c r="T256"/>
      <c r="U256"/>
    </row>
    <row r="257" spans="1:21" s="620" customFormat="1" ht="21.75" customHeight="1">
      <c r="A257" s="631"/>
      <c r="B257" s="632">
        <v>92106</v>
      </c>
      <c r="C257" s="633" t="s">
        <v>750</v>
      </c>
      <c r="D257" s="634">
        <v>37000</v>
      </c>
      <c r="E257" s="634">
        <f>F257</f>
        <v>37000</v>
      </c>
      <c r="F257" s="792">
        <f>F258</f>
        <v>37000</v>
      </c>
      <c r="G257" s="792"/>
      <c r="H257" s="792"/>
      <c r="I257" s="792"/>
      <c r="J257" s="636">
        <f>K257</f>
        <v>37000</v>
      </c>
      <c r="K257" s="793">
        <f>K258</f>
        <v>37000</v>
      </c>
      <c r="L257" s="793"/>
      <c r="M257" s="793"/>
      <c r="N257" s="793"/>
      <c r="O257" s="794">
        <f t="shared" si="36"/>
        <v>1</v>
      </c>
      <c r="P257" s="794"/>
      <c r="Q257" s="794">
        <f t="shared" si="37"/>
        <v>1</v>
      </c>
      <c r="R257" s="619"/>
      <c r="S257" t="b">
        <f t="shared" si="35"/>
        <v>1</v>
      </c>
      <c r="T257"/>
      <c r="U257"/>
    </row>
    <row r="258" spans="1:21" s="648" customFormat="1" ht="23.25" customHeight="1">
      <c r="A258" s="602"/>
      <c r="B258" s="750"/>
      <c r="C258" s="975" t="s">
        <v>1244</v>
      </c>
      <c r="D258" s="752">
        <v>37000</v>
      </c>
      <c r="E258" s="752">
        <f>F258+H258+I258</f>
        <v>37000</v>
      </c>
      <c r="F258" s="753">
        <v>37000</v>
      </c>
      <c r="G258" s="754"/>
      <c r="H258" s="754"/>
      <c r="I258" s="754"/>
      <c r="J258" s="755">
        <f>K258+M258+N258</f>
        <v>37000</v>
      </c>
      <c r="K258" s="756">
        <v>37000</v>
      </c>
      <c r="L258" s="757"/>
      <c r="M258" s="757"/>
      <c r="N258" s="757"/>
      <c r="O258" s="758">
        <f t="shared" si="36"/>
        <v>1</v>
      </c>
      <c r="P258" s="758"/>
      <c r="Q258" s="758">
        <f t="shared" si="37"/>
        <v>1</v>
      </c>
      <c r="R258" s="610"/>
      <c r="S258" t="b">
        <f t="shared" si="35"/>
        <v>1</v>
      </c>
      <c r="T258"/>
      <c r="U258"/>
    </row>
    <row r="259" spans="1:21" s="620" customFormat="1" ht="24" customHeight="1">
      <c r="A259" s="631"/>
      <c r="B259" s="661">
        <v>92109</v>
      </c>
      <c r="C259" s="662" t="s">
        <v>752</v>
      </c>
      <c r="D259" s="663">
        <v>10000</v>
      </c>
      <c r="E259" s="663">
        <f>E261+E260</f>
        <v>10000</v>
      </c>
      <c r="F259" s="722">
        <f>F261+F260</f>
        <v>10000</v>
      </c>
      <c r="G259" s="722"/>
      <c r="H259" s="722"/>
      <c r="I259" s="722"/>
      <c r="J259" s="665">
        <f>K259</f>
        <v>10000</v>
      </c>
      <c r="K259" s="723">
        <f>K260</f>
        <v>10000</v>
      </c>
      <c r="L259" s="723"/>
      <c r="M259" s="723"/>
      <c r="N259" s="723"/>
      <c r="O259" s="794">
        <f t="shared" si="36"/>
        <v>1</v>
      </c>
      <c r="P259" s="794"/>
      <c r="Q259" s="794">
        <f t="shared" si="37"/>
        <v>1</v>
      </c>
      <c r="R259" s="619"/>
      <c r="S259" t="b">
        <f t="shared" si="35"/>
        <v>1</v>
      </c>
      <c r="T259"/>
      <c r="U259"/>
    </row>
    <row r="260" spans="1:21" s="648" customFormat="1" ht="20.25" customHeight="1">
      <c r="A260" s="602"/>
      <c r="B260" s="750"/>
      <c r="C260" s="975" t="s">
        <v>323</v>
      </c>
      <c r="D260" s="752">
        <v>10000</v>
      </c>
      <c r="E260" s="752">
        <f>F260+H260+I260</f>
        <v>10000</v>
      </c>
      <c r="F260" s="753">
        <v>10000</v>
      </c>
      <c r="G260" s="754"/>
      <c r="H260" s="754"/>
      <c r="I260" s="754"/>
      <c r="J260" s="755">
        <f>K260</f>
        <v>10000</v>
      </c>
      <c r="K260" s="756">
        <v>10000</v>
      </c>
      <c r="L260" s="757"/>
      <c r="M260" s="757"/>
      <c r="N260" s="757"/>
      <c r="O260" s="758">
        <f t="shared" si="36"/>
        <v>1</v>
      </c>
      <c r="P260" s="758"/>
      <c r="Q260" s="758">
        <f t="shared" si="37"/>
        <v>1</v>
      </c>
      <c r="R260" s="610"/>
      <c r="S260" t="b">
        <f t="shared" si="35"/>
        <v>1</v>
      </c>
      <c r="T260"/>
      <c r="U260"/>
    </row>
    <row r="261" spans="1:21" s="648" customFormat="1" ht="27.75" customHeight="1" hidden="1">
      <c r="A261" s="602"/>
      <c r="B261" s="695"/>
      <c r="C261" s="976" t="s">
        <v>324</v>
      </c>
      <c r="D261" s="760">
        <v>0</v>
      </c>
      <c r="E261" s="760">
        <f>F261+H261+I261</f>
        <v>0</v>
      </c>
      <c r="F261" s="762"/>
      <c r="G261" s="804"/>
      <c r="H261" s="804"/>
      <c r="I261" s="804"/>
      <c r="J261" s="805"/>
      <c r="K261" s="806"/>
      <c r="L261" s="807"/>
      <c r="M261" s="807"/>
      <c r="N261" s="807"/>
      <c r="O261" s="808"/>
      <c r="P261" s="808"/>
      <c r="Q261" s="808"/>
      <c r="R261" s="610"/>
      <c r="S261" t="b">
        <f t="shared" si="35"/>
        <v>1</v>
      </c>
      <c r="T261"/>
      <c r="U261"/>
    </row>
    <row r="262" spans="1:21" s="620" customFormat="1" ht="25.5" customHeight="1">
      <c r="A262" s="631"/>
      <c r="B262" s="661">
        <v>92113</v>
      </c>
      <c r="C262" s="662" t="s">
        <v>761</v>
      </c>
      <c r="D262" s="663">
        <v>200000</v>
      </c>
      <c r="E262" s="663">
        <f>E263</f>
        <v>100000</v>
      </c>
      <c r="F262" s="722">
        <f>F263</f>
        <v>100000</v>
      </c>
      <c r="G262" s="722"/>
      <c r="H262" s="722"/>
      <c r="I262" s="722"/>
      <c r="J262" s="665">
        <f>K262</f>
        <v>10980</v>
      </c>
      <c r="K262" s="723">
        <f>K263</f>
        <v>10980</v>
      </c>
      <c r="L262" s="723"/>
      <c r="M262" s="723"/>
      <c r="N262" s="723"/>
      <c r="O262" s="794">
        <f aca="true" t="shared" si="38" ref="O262:O285">J262/E262</f>
        <v>0.1098</v>
      </c>
      <c r="P262" s="794"/>
      <c r="Q262" s="794">
        <f aca="true" t="shared" si="39" ref="Q262:Q285">K262/F262</f>
        <v>0.1098</v>
      </c>
      <c r="R262" s="619"/>
      <c r="S262" t="b">
        <f t="shared" si="35"/>
        <v>1</v>
      </c>
      <c r="T262"/>
      <c r="U262"/>
    </row>
    <row r="263" spans="1:21" s="648" customFormat="1" ht="28.5" customHeight="1">
      <c r="A263" s="602"/>
      <c r="B263" s="750"/>
      <c r="C263" s="975" t="s">
        <v>325</v>
      </c>
      <c r="D263" s="752">
        <v>200000</v>
      </c>
      <c r="E263" s="752">
        <f>F263+H263+I263</f>
        <v>100000</v>
      </c>
      <c r="F263" s="753">
        <v>100000</v>
      </c>
      <c r="G263" s="754"/>
      <c r="H263" s="754"/>
      <c r="I263" s="754"/>
      <c r="J263" s="755">
        <f>K263</f>
        <v>10980</v>
      </c>
      <c r="K263" s="756">
        <v>10980</v>
      </c>
      <c r="L263" s="757"/>
      <c r="M263" s="757"/>
      <c r="N263" s="757"/>
      <c r="O263" s="758">
        <f t="shared" si="38"/>
        <v>0.1098</v>
      </c>
      <c r="P263" s="758"/>
      <c r="Q263" s="758">
        <f t="shared" si="39"/>
        <v>0.1098</v>
      </c>
      <c r="R263" s="610"/>
      <c r="S263" t="b">
        <f t="shared" si="35"/>
        <v>1</v>
      </c>
      <c r="T263"/>
      <c r="U263"/>
    </row>
    <row r="264" spans="1:21" s="620" customFormat="1" ht="25.5" customHeight="1">
      <c r="A264" s="631"/>
      <c r="B264" s="632">
        <v>92116</v>
      </c>
      <c r="C264" s="633" t="s">
        <v>764</v>
      </c>
      <c r="D264" s="634">
        <v>130000</v>
      </c>
      <c r="E264" s="634">
        <f>F264+H264+I264</f>
        <v>50000</v>
      </c>
      <c r="F264" s="792">
        <f>SUM(F265:F266)</f>
        <v>50000</v>
      </c>
      <c r="G264" s="792"/>
      <c r="H264" s="792"/>
      <c r="I264" s="792"/>
      <c r="J264" s="636">
        <f>K264+M264+N264</f>
        <v>33093.92</v>
      </c>
      <c r="K264" s="793">
        <f>SUM(K265:K266)</f>
        <v>33093.92</v>
      </c>
      <c r="L264" s="793"/>
      <c r="M264" s="793"/>
      <c r="N264" s="793"/>
      <c r="O264" s="794">
        <f t="shared" si="38"/>
        <v>0.6618784</v>
      </c>
      <c r="P264" s="794"/>
      <c r="Q264" s="794">
        <f t="shared" si="39"/>
        <v>0.6618784</v>
      </c>
      <c r="R264" s="619"/>
      <c r="S264" t="b">
        <f t="shared" si="35"/>
        <v>1</v>
      </c>
      <c r="T264"/>
      <c r="U264"/>
    </row>
    <row r="265" spans="1:21" s="620" customFormat="1" ht="19.5" customHeight="1">
      <c r="A265" s="631"/>
      <c r="B265" s="977"/>
      <c r="C265" s="640" t="s">
        <v>1244</v>
      </c>
      <c r="D265" s="903">
        <v>30000</v>
      </c>
      <c r="E265" s="903">
        <f>F265+G265+I265</f>
        <v>30000</v>
      </c>
      <c r="F265" s="642">
        <v>30000</v>
      </c>
      <c r="G265" s="978"/>
      <c r="H265" s="978"/>
      <c r="I265" s="978"/>
      <c r="J265" s="904">
        <f>K265</f>
        <v>30000</v>
      </c>
      <c r="K265" s="645">
        <v>30000</v>
      </c>
      <c r="L265" s="905"/>
      <c r="M265" s="905"/>
      <c r="N265" s="905"/>
      <c r="O265" s="609">
        <f t="shared" si="38"/>
        <v>1</v>
      </c>
      <c r="P265" s="979"/>
      <c r="Q265" s="609">
        <f t="shared" si="39"/>
        <v>1</v>
      </c>
      <c r="R265" s="610"/>
      <c r="S265" t="b">
        <f aca="true" t="shared" si="40" ref="S265:S296">J265=K265+L265+N265</f>
        <v>1</v>
      </c>
      <c r="T265"/>
      <c r="U265"/>
    </row>
    <row r="266" spans="1:21" s="648" customFormat="1" ht="44.25" customHeight="1">
      <c r="A266" s="695"/>
      <c r="B266" s="695"/>
      <c r="C266" s="759" t="s">
        <v>326</v>
      </c>
      <c r="D266" s="760">
        <v>100000</v>
      </c>
      <c r="E266" s="760">
        <f>F266+H266+I266</f>
        <v>20000</v>
      </c>
      <c r="F266" s="762">
        <v>20000</v>
      </c>
      <c r="G266" s="804"/>
      <c r="H266" s="804"/>
      <c r="I266" s="804"/>
      <c r="J266" s="805">
        <f>K266+M266+N266</f>
        <v>3093.92</v>
      </c>
      <c r="K266" s="806">
        <v>3093.92</v>
      </c>
      <c r="L266" s="807"/>
      <c r="M266" s="807"/>
      <c r="N266" s="807"/>
      <c r="O266" s="701">
        <f t="shared" si="38"/>
        <v>0.154696</v>
      </c>
      <c r="P266" s="701"/>
      <c r="Q266" s="701">
        <f t="shared" si="39"/>
        <v>0.154696</v>
      </c>
      <c r="R266" s="610"/>
      <c r="S266" t="b">
        <f t="shared" si="40"/>
        <v>1</v>
      </c>
      <c r="T266"/>
      <c r="U266"/>
    </row>
    <row r="267" spans="1:21" s="620" customFormat="1" ht="26.25" customHeight="1">
      <c r="A267" s="812"/>
      <c r="B267" s="661">
        <v>92120</v>
      </c>
      <c r="C267" s="662" t="s">
        <v>93</v>
      </c>
      <c r="D267" s="663">
        <v>100000</v>
      </c>
      <c r="E267" s="663">
        <f>F267+H267+I267</f>
        <v>100000</v>
      </c>
      <c r="F267" s="722">
        <f>SUM(F268:F269)</f>
        <v>100000</v>
      </c>
      <c r="G267" s="722"/>
      <c r="H267" s="722"/>
      <c r="I267" s="722"/>
      <c r="J267" s="665">
        <f>K267</f>
        <v>80162.28</v>
      </c>
      <c r="K267" s="723">
        <f>K269+K268</f>
        <v>80162.28</v>
      </c>
      <c r="L267" s="723"/>
      <c r="M267" s="723"/>
      <c r="N267" s="723"/>
      <c r="O267" s="794">
        <f t="shared" si="38"/>
        <v>0.8016228</v>
      </c>
      <c r="P267" s="794"/>
      <c r="Q267" s="794">
        <f t="shared" si="39"/>
        <v>0.8016228</v>
      </c>
      <c r="R267" s="619"/>
      <c r="S267" t="b">
        <f t="shared" si="40"/>
        <v>1</v>
      </c>
      <c r="T267"/>
      <c r="U267"/>
    </row>
    <row r="268" spans="1:21" s="648" customFormat="1" ht="21.75" customHeight="1">
      <c r="A268" s="602"/>
      <c r="B268" s="602"/>
      <c r="C268" s="658" t="s">
        <v>327</v>
      </c>
      <c r="D268" s="604">
        <v>50000</v>
      </c>
      <c r="E268" s="604">
        <f>F268</f>
        <v>50000</v>
      </c>
      <c r="F268" s="605">
        <v>50000</v>
      </c>
      <c r="G268" s="603"/>
      <c r="H268" s="603"/>
      <c r="I268" s="603"/>
      <c r="J268" s="803">
        <f>K268</f>
        <v>50000</v>
      </c>
      <c r="K268" s="659">
        <v>50000</v>
      </c>
      <c r="L268" s="660"/>
      <c r="M268" s="660"/>
      <c r="N268" s="660"/>
      <c r="O268" s="709">
        <f t="shared" si="38"/>
        <v>1</v>
      </c>
      <c r="P268" s="709"/>
      <c r="Q268" s="709">
        <f t="shared" si="39"/>
        <v>1</v>
      </c>
      <c r="R268" s="610"/>
      <c r="S268" t="b">
        <f t="shared" si="40"/>
        <v>1</v>
      </c>
      <c r="T268"/>
      <c r="U268"/>
    </row>
    <row r="269" spans="1:21" s="648" customFormat="1" ht="30" customHeight="1">
      <c r="A269" s="602"/>
      <c r="B269" s="602"/>
      <c r="C269" s="696" t="s">
        <v>328</v>
      </c>
      <c r="D269" s="761">
        <v>50000</v>
      </c>
      <c r="E269" s="761">
        <f>F269+H269+I269</f>
        <v>50000</v>
      </c>
      <c r="F269" s="848">
        <v>50000</v>
      </c>
      <c r="G269" s="698"/>
      <c r="H269" s="698"/>
      <c r="I269" s="698"/>
      <c r="J269" s="849">
        <f>K269</f>
        <v>30162.28</v>
      </c>
      <c r="K269" s="764">
        <v>30162.28</v>
      </c>
      <c r="L269" s="700"/>
      <c r="M269" s="700"/>
      <c r="N269" s="700"/>
      <c r="O269" s="701">
        <f t="shared" si="38"/>
        <v>0.6032455999999999</v>
      </c>
      <c r="P269" s="701"/>
      <c r="Q269" s="701">
        <f t="shared" si="39"/>
        <v>0.6032455999999999</v>
      </c>
      <c r="R269" s="610"/>
      <c r="S269" t="b">
        <f t="shared" si="40"/>
        <v>1</v>
      </c>
      <c r="T269"/>
      <c r="U269"/>
    </row>
    <row r="270" spans="1:21" s="630" customFormat="1" ht="25.5" customHeight="1" thickBot="1">
      <c r="A270" s="621">
        <v>926</v>
      </c>
      <c r="B270" s="621"/>
      <c r="C270" s="766" t="s">
        <v>22</v>
      </c>
      <c r="D270" s="767">
        <v>8420000</v>
      </c>
      <c r="E270" s="767">
        <f>F270+H270+I270+G270</f>
        <v>14592114</v>
      </c>
      <c r="F270" s="766">
        <f>F271+F283</f>
        <v>8466067</v>
      </c>
      <c r="G270" s="766">
        <f>G271</f>
        <v>6126047</v>
      </c>
      <c r="H270" s="766"/>
      <c r="I270" s="766"/>
      <c r="J270" s="769">
        <f>K270+M270+N270+L270</f>
        <v>13705823.59</v>
      </c>
      <c r="K270" s="980">
        <f>K271+K283</f>
        <v>8161579.469999999</v>
      </c>
      <c r="L270" s="980">
        <f>L271</f>
        <v>5544244.12</v>
      </c>
      <c r="M270" s="980"/>
      <c r="N270" s="980"/>
      <c r="O270" s="981">
        <f t="shared" si="38"/>
        <v>0.939262370757246</v>
      </c>
      <c r="P270" s="981"/>
      <c r="Q270" s="981">
        <f t="shared" si="39"/>
        <v>0.9640343585752391</v>
      </c>
      <c r="R270" s="628"/>
      <c r="S270" s="629" t="b">
        <f t="shared" si="40"/>
        <v>1</v>
      </c>
      <c r="T270" s="629"/>
      <c r="U270" s="629"/>
    </row>
    <row r="271" spans="1:21" s="620" customFormat="1" ht="25.5" customHeight="1">
      <c r="A271" s="631"/>
      <c r="B271" s="612">
        <v>92604</v>
      </c>
      <c r="C271" s="635" t="s">
        <v>770</v>
      </c>
      <c r="D271" s="634">
        <v>7400000</v>
      </c>
      <c r="E271" s="634">
        <f>G271+F271</f>
        <v>14302114</v>
      </c>
      <c r="F271" s="792">
        <f>SUM(F272:F282)</f>
        <v>8176067</v>
      </c>
      <c r="G271" s="792">
        <f>G272+G274</f>
        <v>6126047</v>
      </c>
      <c r="H271" s="792"/>
      <c r="I271" s="792"/>
      <c r="J271" s="636">
        <f>K271+M271+N271+L271</f>
        <v>13418651.489999998</v>
      </c>
      <c r="K271" s="793">
        <f>SUM(K272:K282)</f>
        <v>7874407.369999999</v>
      </c>
      <c r="L271" s="793">
        <f>L272+L274</f>
        <v>5544244.12</v>
      </c>
      <c r="M271" s="793"/>
      <c r="N271" s="793"/>
      <c r="O271" s="794">
        <f t="shared" si="38"/>
        <v>0.938228536704434</v>
      </c>
      <c r="P271" s="794"/>
      <c r="Q271" s="794">
        <f t="shared" si="39"/>
        <v>0.9631045550385043</v>
      </c>
      <c r="R271" s="619"/>
      <c r="S271" t="b">
        <f t="shared" si="40"/>
        <v>1</v>
      </c>
      <c r="T271"/>
      <c r="U271"/>
    </row>
    <row r="272" spans="1:21" s="648" customFormat="1" ht="32.25" customHeight="1">
      <c r="A272" s="602"/>
      <c r="B272" s="639"/>
      <c r="C272" s="640" t="s">
        <v>329</v>
      </c>
      <c r="D272" s="641">
        <v>600000</v>
      </c>
      <c r="E272" s="641">
        <f>F272+H272+I272+G272</f>
        <v>2905114</v>
      </c>
      <c r="F272" s="669">
        <v>1714567</v>
      </c>
      <c r="G272" s="643">
        <v>1190547</v>
      </c>
      <c r="H272" s="643"/>
      <c r="I272" s="643"/>
      <c r="J272" s="644">
        <f>K272+M272+N272+L272</f>
        <v>2864261.16</v>
      </c>
      <c r="K272" s="895">
        <f>1297636.85+391656.07</f>
        <v>1689292.9200000002</v>
      </c>
      <c r="L272" s="646">
        <v>1174968.24</v>
      </c>
      <c r="M272" s="646"/>
      <c r="N272" s="646"/>
      <c r="O272" s="647">
        <f t="shared" si="38"/>
        <v>0.9859376120868235</v>
      </c>
      <c r="P272" s="647"/>
      <c r="Q272" s="647">
        <f t="shared" si="39"/>
        <v>0.9852592053853831</v>
      </c>
      <c r="R272" s="610"/>
      <c r="S272" t="b">
        <f t="shared" si="40"/>
        <v>1</v>
      </c>
      <c r="T272"/>
      <c r="U272"/>
    </row>
    <row r="273" spans="1:21" s="648" customFormat="1" ht="30.75" customHeight="1">
      <c r="A273" s="602"/>
      <c r="B273" s="602"/>
      <c r="C273" s="680" t="s">
        <v>330</v>
      </c>
      <c r="D273" s="678">
        <v>500000</v>
      </c>
      <c r="E273" s="678">
        <f>F273+H273+I273</f>
        <v>500000</v>
      </c>
      <c r="F273" s="717">
        <v>500000</v>
      </c>
      <c r="G273" s="675"/>
      <c r="H273" s="675"/>
      <c r="I273" s="675"/>
      <c r="J273" s="718">
        <f>K273+M273+N273</f>
        <v>498796.98</v>
      </c>
      <c r="K273" s="719">
        <v>498796.98</v>
      </c>
      <c r="L273" s="684"/>
      <c r="M273" s="684"/>
      <c r="N273" s="684"/>
      <c r="O273" s="685">
        <f t="shared" si="38"/>
        <v>0.99759396</v>
      </c>
      <c r="P273" s="685"/>
      <c r="Q273" s="685">
        <f t="shared" si="39"/>
        <v>0.99759396</v>
      </c>
      <c r="R273" s="610"/>
      <c r="S273" t="b">
        <f t="shared" si="40"/>
        <v>1</v>
      </c>
      <c r="T273"/>
      <c r="U273"/>
    </row>
    <row r="274" spans="1:21" s="648" customFormat="1" ht="36.75" customHeight="1">
      <c r="A274" s="602"/>
      <c r="B274" s="602"/>
      <c r="C274" s="680" t="s">
        <v>331</v>
      </c>
      <c r="D274" s="678">
        <v>3000000</v>
      </c>
      <c r="E274" s="678">
        <f>F274+H274+I274+G274</f>
        <v>7000000</v>
      </c>
      <c r="F274" s="717">
        <v>2064500</v>
      </c>
      <c r="G274" s="675">
        <v>4935500</v>
      </c>
      <c r="H274" s="675"/>
      <c r="I274" s="675"/>
      <c r="J274" s="718">
        <f>K274+M274+N274+L274</f>
        <v>6244102.779999999</v>
      </c>
      <c r="K274" s="719">
        <f>418401.63+1456425.27</f>
        <v>1874826.9</v>
      </c>
      <c r="L274" s="684">
        <v>4369275.88</v>
      </c>
      <c r="M274" s="684"/>
      <c r="N274" s="684"/>
      <c r="O274" s="685">
        <f t="shared" si="38"/>
        <v>0.8920146828571428</v>
      </c>
      <c r="P274" s="685"/>
      <c r="Q274" s="685">
        <f t="shared" si="39"/>
        <v>0.9081263744248002</v>
      </c>
      <c r="R274" s="610"/>
      <c r="S274" t="b">
        <f t="shared" si="40"/>
        <v>1</v>
      </c>
      <c r="T274"/>
      <c r="U274"/>
    </row>
    <row r="275" spans="1:21" s="648" customFormat="1" ht="21.75" customHeight="1">
      <c r="A275" s="602"/>
      <c r="B275" s="602"/>
      <c r="C275" s="686" t="s">
        <v>332</v>
      </c>
      <c r="D275" s="713">
        <v>1000000</v>
      </c>
      <c r="E275" s="713">
        <f>F275</f>
        <v>840000</v>
      </c>
      <c r="F275" s="714">
        <v>840000</v>
      </c>
      <c r="G275" s="688"/>
      <c r="H275" s="688"/>
      <c r="I275" s="688"/>
      <c r="J275" s="715">
        <f>K275</f>
        <v>835902.82</v>
      </c>
      <c r="K275" s="716">
        <v>835902.82</v>
      </c>
      <c r="L275" s="691"/>
      <c r="M275" s="691"/>
      <c r="N275" s="691"/>
      <c r="O275" s="694">
        <f t="shared" si="38"/>
        <v>0.9951224047619047</v>
      </c>
      <c r="P275" s="694"/>
      <c r="Q275" s="694">
        <f t="shared" si="39"/>
        <v>0.9951224047619047</v>
      </c>
      <c r="R275" s="610"/>
      <c r="S275" t="b">
        <f t="shared" si="40"/>
        <v>1</v>
      </c>
      <c r="T275"/>
      <c r="U275"/>
    </row>
    <row r="276" spans="1:21" s="648" customFormat="1" ht="30" customHeight="1">
      <c r="A276" s="602"/>
      <c r="B276" s="602"/>
      <c r="C276" s="680" t="s">
        <v>333</v>
      </c>
      <c r="D276" s="678">
        <v>300000</v>
      </c>
      <c r="E276" s="678">
        <f>F276</f>
        <v>194000</v>
      </c>
      <c r="F276" s="717">
        <v>194000</v>
      </c>
      <c r="G276" s="675"/>
      <c r="H276" s="675"/>
      <c r="I276" s="675"/>
      <c r="J276" s="718">
        <f>K276</f>
        <v>193626.02</v>
      </c>
      <c r="K276" s="719">
        <v>193626.02</v>
      </c>
      <c r="L276" s="684"/>
      <c r="M276" s="684"/>
      <c r="N276" s="684"/>
      <c r="O276" s="694">
        <f t="shared" si="38"/>
        <v>0.998072268041237</v>
      </c>
      <c r="P276" s="685"/>
      <c r="Q276" s="694">
        <f t="shared" si="39"/>
        <v>0.998072268041237</v>
      </c>
      <c r="R276" s="610"/>
      <c r="S276" t="b">
        <f t="shared" si="40"/>
        <v>1</v>
      </c>
      <c r="T276"/>
      <c r="U276"/>
    </row>
    <row r="277" spans="1:21" s="648" customFormat="1" ht="26.25" customHeight="1" hidden="1">
      <c r="A277" s="602"/>
      <c r="B277" s="602"/>
      <c r="C277" s="686" t="s">
        <v>334</v>
      </c>
      <c r="D277" s="713"/>
      <c r="E277" s="713"/>
      <c r="F277" s="714"/>
      <c r="G277" s="688"/>
      <c r="H277" s="688"/>
      <c r="I277" s="688"/>
      <c r="J277" s="715"/>
      <c r="K277" s="716"/>
      <c r="L277" s="691"/>
      <c r="M277" s="691"/>
      <c r="N277" s="691"/>
      <c r="O277" s="694" t="e">
        <f t="shared" si="38"/>
        <v>#DIV/0!</v>
      </c>
      <c r="P277" s="694"/>
      <c r="Q277" s="694" t="e">
        <f t="shared" si="39"/>
        <v>#DIV/0!</v>
      </c>
      <c r="R277" s="610"/>
      <c r="S277" t="b">
        <f t="shared" si="40"/>
        <v>1</v>
      </c>
      <c r="T277"/>
      <c r="U277"/>
    </row>
    <row r="278" spans="1:21" s="648" customFormat="1" ht="30" customHeight="1">
      <c r="A278" s="602"/>
      <c r="B278" s="602"/>
      <c r="C278" s="680" t="s">
        <v>335</v>
      </c>
      <c r="D278" s="678">
        <v>750000</v>
      </c>
      <c r="E278" s="678">
        <f>F278</f>
        <v>850000</v>
      </c>
      <c r="F278" s="717">
        <v>850000</v>
      </c>
      <c r="G278" s="675"/>
      <c r="H278" s="675"/>
      <c r="I278" s="675"/>
      <c r="J278" s="718">
        <f>K278</f>
        <v>850000</v>
      </c>
      <c r="K278" s="719">
        <v>850000</v>
      </c>
      <c r="L278" s="684"/>
      <c r="M278" s="684"/>
      <c r="N278" s="684"/>
      <c r="O278" s="685">
        <f t="shared" si="38"/>
        <v>1</v>
      </c>
      <c r="P278" s="685"/>
      <c r="Q278" s="685">
        <f t="shared" si="39"/>
        <v>1</v>
      </c>
      <c r="R278" s="610"/>
      <c r="S278" t="b">
        <f t="shared" si="40"/>
        <v>1</v>
      </c>
      <c r="T278"/>
      <c r="U278"/>
    </row>
    <row r="279" spans="1:21" s="648" customFormat="1" ht="20.25" customHeight="1">
      <c r="A279" s="602"/>
      <c r="B279" s="602"/>
      <c r="C279" s="680" t="s">
        <v>336</v>
      </c>
      <c r="D279" s="678">
        <v>1250000</v>
      </c>
      <c r="E279" s="678">
        <f>F279+H279+I279</f>
        <v>1250000</v>
      </c>
      <c r="F279" s="717">
        <v>1250000</v>
      </c>
      <c r="G279" s="675"/>
      <c r="H279" s="675"/>
      <c r="I279" s="675"/>
      <c r="J279" s="718">
        <f>K279</f>
        <v>1169301.72</v>
      </c>
      <c r="K279" s="719">
        <f>349301.72+820000</f>
        <v>1169301.72</v>
      </c>
      <c r="L279" s="684"/>
      <c r="M279" s="684"/>
      <c r="N279" s="684"/>
      <c r="O279" s="685">
        <f t="shared" si="38"/>
        <v>0.935441376</v>
      </c>
      <c r="P279" s="685"/>
      <c r="Q279" s="685">
        <f t="shared" si="39"/>
        <v>0.935441376</v>
      </c>
      <c r="R279" s="610"/>
      <c r="S279" t="b">
        <f t="shared" si="40"/>
        <v>1</v>
      </c>
      <c r="T279"/>
      <c r="U279"/>
    </row>
    <row r="280" spans="1:21" s="648" customFormat="1" ht="20.25" customHeight="1">
      <c r="A280" s="602"/>
      <c r="B280" s="602"/>
      <c r="C280" s="680" t="s">
        <v>337</v>
      </c>
      <c r="D280" s="678"/>
      <c r="E280" s="678">
        <f>F280+H280+I280</f>
        <v>13000</v>
      </c>
      <c r="F280" s="717">
        <v>13000</v>
      </c>
      <c r="G280" s="675"/>
      <c r="H280" s="675"/>
      <c r="I280" s="675"/>
      <c r="J280" s="718">
        <f>K280</f>
        <v>12940.35</v>
      </c>
      <c r="K280" s="719">
        <v>12940.35</v>
      </c>
      <c r="L280" s="684"/>
      <c r="M280" s="684"/>
      <c r="N280" s="684"/>
      <c r="O280" s="685">
        <f t="shared" si="38"/>
        <v>0.9954115384615385</v>
      </c>
      <c r="P280" s="685"/>
      <c r="Q280" s="685">
        <f t="shared" si="39"/>
        <v>0.9954115384615385</v>
      </c>
      <c r="R280" s="610"/>
      <c r="S280" t="b">
        <f t="shared" si="40"/>
        <v>1</v>
      </c>
      <c r="T280"/>
      <c r="U280"/>
    </row>
    <row r="281" spans="1:21" s="648" customFormat="1" ht="30.75" customHeight="1">
      <c r="A281" s="602"/>
      <c r="B281" s="602"/>
      <c r="C281" s="658" t="s">
        <v>338</v>
      </c>
      <c r="D281" s="604"/>
      <c r="E281" s="668">
        <f>F281+H281+I281</f>
        <v>100000</v>
      </c>
      <c r="F281" s="605">
        <v>100000</v>
      </c>
      <c r="G281" s="603"/>
      <c r="H281" s="603"/>
      <c r="I281" s="603"/>
      <c r="J281" s="718">
        <f>K281</f>
        <v>99720.58</v>
      </c>
      <c r="K281" s="659">
        <v>99720.58</v>
      </c>
      <c r="L281" s="660"/>
      <c r="M281" s="660"/>
      <c r="N281" s="660"/>
      <c r="O281" s="685">
        <f t="shared" si="38"/>
        <v>0.9972058</v>
      </c>
      <c r="P281" s="609"/>
      <c r="Q281" s="685">
        <f t="shared" si="39"/>
        <v>0.9972058</v>
      </c>
      <c r="R281" s="610"/>
      <c r="S281" t="b">
        <f t="shared" si="40"/>
        <v>1</v>
      </c>
      <c r="T281"/>
      <c r="U281"/>
    </row>
    <row r="282" spans="1:21" s="648" customFormat="1" ht="31.5" customHeight="1">
      <c r="A282" s="602"/>
      <c r="B282" s="602"/>
      <c r="C282" s="696" t="s">
        <v>339</v>
      </c>
      <c r="D282" s="761"/>
      <c r="E282" s="668">
        <f>F282+H282+I282</f>
        <v>650000</v>
      </c>
      <c r="F282" s="848">
        <v>650000</v>
      </c>
      <c r="G282" s="698"/>
      <c r="H282" s="698"/>
      <c r="I282" s="698"/>
      <c r="J282" s="718">
        <f>K282</f>
        <v>649999.08</v>
      </c>
      <c r="K282" s="764">
        <v>649999.08</v>
      </c>
      <c r="L282" s="700"/>
      <c r="M282" s="700"/>
      <c r="N282" s="700"/>
      <c r="O282" s="685">
        <f t="shared" si="38"/>
        <v>0.9999985846153846</v>
      </c>
      <c r="P282" s="701"/>
      <c r="Q282" s="685">
        <f t="shared" si="39"/>
        <v>0.9999985846153846</v>
      </c>
      <c r="R282" s="610"/>
      <c r="S282" t="b">
        <f t="shared" si="40"/>
        <v>1</v>
      </c>
      <c r="T282"/>
      <c r="U282"/>
    </row>
    <row r="283" spans="1:21" s="620" customFormat="1" ht="22.5" customHeight="1">
      <c r="A283" s="631"/>
      <c r="B283" s="661">
        <v>92605</v>
      </c>
      <c r="C283" s="662" t="s">
        <v>24</v>
      </c>
      <c r="D283" s="663">
        <v>1020000</v>
      </c>
      <c r="E283" s="663">
        <f>F283+H283+I283</f>
        <v>290000</v>
      </c>
      <c r="F283" s="722">
        <f>SUM(F284:F286)</f>
        <v>290000</v>
      </c>
      <c r="G283" s="664"/>
      <c r="H283" s="664"/>
      <c r="I283" s="664"/>
      <c r="J283" s="665">
        <f>K283+M283+N283</f>
        <v>287172.10000000003</v>
      </c>
      <c r="K283" s="723">
        <f>SUM(K284:K286)</f>
        <v>287172.10000000003</v>
      </c>
      <c r="L283" s="666"/>
      <c r="M283" s="666"/>
      <c r="N283" s="666"/>
      <c r="O283" s="667">
        <f t="shared" si="38"/>
        <v>0.9902486206896552</v>
      </c>
      <c r="P283" s="667"/>
      <c r="Q283" s="667">
        <f t="shared" si="39"/>
        <v>0.9902486206896552</v>
      </c>
      <c r="R283" s="619"/>
      <c r="S283" t="b">
        <f t="shared" si="40"/>
        <v>1</v>
      </c>
      <c r="T283"/>
      <c r="U283"/>
    </row>
    <row r="284" spans="1:21" s="620" customFormat="1" ht="22.5" customHeight="1">
      <c r="A284" s="631"/>
      <c r="B284" s="982"/>
      <c r="C284" s="983" t="s">
        <v>340</v>
      </c>
      <c r="D284" s="903">
        <v>700000</v>
      </c>
      <c r="E284" s="903">
        <f>F284</f>
        <v>31500</v>
      </c>
      <c r="F284" s="642">
        <v>31500</v>
      </c>
      <c r="G284" s="984"/>
      <c r="H284" s="984"/>
      <c r="I284" s="984"/>
      <c r="J284" s="904">
        <f>K284</f>
        <v>30514.4</v>
      </c>
      <c r="K284" s="645">
        <v>30514.4</v>
      </c>
      <c r="L284" s="985"/>
      <c r="M284" s="985"/>
      <c r="N284" s="985"/>
      <c r="O284" s="986">
        <f t="shared" si="38"/>
        <v>0.9687111111111112</v>
      </c>
      <c r="P284" s="986"/>
      <c r="Q284" s="986">
        <f t="shared" si="39"/>
        <v>0.9687111111111112</v>
      </c>
      <c r="R284" s="865"/>
      <c r="S284" t="b">
        <f t="shared" si="40"/>
        <v>1</v>
      </c>
      <c r="T284"/>
      <c r="U284"/>
    </row>
    <row r="285" spans="1:21" s="648" customFormat="1" ht="18.75" customHeight="1">
      <c r="A285" s="602"/>
      <c r="B285" s="602"/>
      <c r="C285" s="686" t="s">
        <v>341</v>
      </c>
      <c r="D285" s="713">
        <v>220000</v>
      </c>
      <c r="E285" s="713">
        <f>F285</f>
        <v>258500</v>
      </c>
      <c r="F285" s="714">
        <v>258500</v>
      </c>
      <c r="G285" s="688"/>
      <c r="H285" s="688"/>
      <c r="I285" s="688"/>
      <c r="J285" s="715">
        <f>K285</f>
        <v>256657.7</v>
      </c>
      <c r="K285" s="716">
        <v>256657.7</v>
      </c>
      <c r="L285" s="691"/>
      <c r="M285" s="691"/>
      <c r="N285" s="691"/>
      <c r="O285" s="987">
        <f t="shared" si="38"/>
        <v>0.9928731141199226</v>
      </c>
      <c r="P285" s="685"/>
      <c r="Q285" s="987">
        <f t="shared" si="39"/>
        <v>0.9928731141199226</v>
      </c>
      <c r="R285" s="865"/>
      <c r="S285" t="b">
        <f t="shared" si="40"/>
        <v>1</v>
      </c>
      <c r="T285"/>
      <c r="U285"/>
    </row>
    <row r="286" spans="1:21" s="648" customFormat="1" ht="21.75" customHeight="1">
      <c r="A286" s="602"/>
      <c r="B286" s="602"/>
      <c r="C286" s="696" t="s">
        <v>1264</v>
      </c>
      <c r="D286" s="761">
        <v>100000</v>
      </c>
      <c r="E286" s="761"/>
      <c r="F286" s="848"/>
      <c r="G286" s="698"/>
      <c r="H286" s="698"/>
      <c r="I286" s="698"/>
      <c r="J286" s="849"/>
      <c r="K286" s="764"/>
      <c r="L286" s="700"/>
      <c r="M286" s="700"/>
      <c r="N286" s="700"/>
      <c r="O286" s="693"/>
      <c r="P286" s="808"/>
      <c r="Q286" s="693"/>
      <c r="R286" s="865"/>
      <c r="S286" t="b">
        <f t="shared" si="40"/>
        <v>1</v>
      </c>
      <c r="T286"/>
      <c r="U286"/>
    </row>
    <row r="287" spans="1:21" s="997" customFormat="1" ht="32.25" customHeight="1" thickBot="1">
      <c r="A287" s="988"/>
      <c r="B287" s="988"/>
      <c r="C287" s="989" t="s">
        <v>776</v>
      </c>
      <c r="D287" s="990"/>
      <c r="E287" s="990">
        <f>F287+G287+I287</f>
        <v>1131930</v>
      </c>
      <c r="F287" s="991">
        <f>F288+F292+F295</f>
        <v>580310</v>
      </c>
      <c r="G287" s="991">
        <f>G288+G292+G295</f>
        <v>4505</v>
      </c>
      <c r="H287" s="991">
        <f>H288+H292+H295</f>
        <v>0</v>
      </c>
      <c r="I287" s="991">
        <f>I288+I292+I295</f>
        <v>547115</v>
      </c>
      <c r="J287" s="992">
        <f>K287+N287+L287</f>
        <v>1082357.1799999997</v>
      </c>
      <c r="K287" s="993">
        <f>K288+K292+K295</f>
        <v>539437.1799999999</v>
      </c>
      <c r="L287" s="993">
        <f>L288+L292+L295</f>
        <v>4504.9</v>
      </c>
      <c r="M287" s="994"/>
      <c r="N287" s="994">
        <f>N288+N292+N295</f>
        <v>538415.1</v>
      </c>
      <c r="O287" s="995">
        <f aca="true" t="shared" si="41" ref="O287:O298">J287/E287</f>
        <v>0.9562050480153363</v>
      </c>
      <c r="P287" s="995"/>
      <c r="Q287" s="995">
        <f>K287/F287</f>
        <v>0.9295672657717425</v>
      </c>
      <c r="R287" s="996"/>
      <c r="S287" t="b">
        <f t="shared" si="40"/>
        <v>1</v>
      </c>
      <c r="T287"/>
      <c r="U287"/>
    </row>
    <row r="288" spans="1:21" s="630" customFormat="1" ht="22.5" customHeight="1" thickBot="1" thickTop="1">
      <c r="A288" s="809">
        <v>852</v>
      </c>
      <c r="B288" s="621"/>
      <c r="C288" s="998" t="s">
        <v>54</v>
      </c>
      <c r="D288" s="999"/>
      <c r="E288" s="999">
        <f>F288+H288+I288</f>
        <v>1087310</v>
      </c>
      <c r="F288" s="1000">
        <f>F289</f>
        <v>567310</v>
      </c>
      <c r="G288" s="1001"/>
      <c r="H288" s="1001"/>
      <c r="I288" s="1001">
        <f>I289</f>
        <v>520000</v>
      </c>
      <c r="J288" s="1002">
        <f>K288+N288</f>
        <v>1037737.1799999999</v>
      </c>
      <c r="K288" s="1003">
        <f>K289</f>
        <v>526437.1799999999</v>
      </c>
      <c r="L288" s="1004"/>
      <c r="M288" s="1004"/>
      <c r="N288" s="1004">
        <f>N289</f>
        <v>511300</v>
      </c>
      <c r="O288" s="1005">
        <f t="shared" si="41"/>
        <v>0.9544078321729773</v>
      </c>
      <c r="P288" s="1005"/>
      <c r="Q288" s="1005">
        <f>K288/F288</f>
        <v>0.9279532883256068</v>
      </c>
      <c r="R288" s="628"/>
      <c r="S288" s="629" t="b">
        <f t="shared" si="40"/>
        <v>1</v>
      </c>
      <c r="T288" s="629"/>
      <c r="U288" s="629"/>
    </row>
    <row r="289" spans="1:21" s="620" customFormat="1" ht="23.25" customHeight="1">
      <c r="A289" s="631"/>
      <c r="B289" s="632">
        <v>85203</v>
      </c>
      <c r="C289" s="633" t="s">
        <v>59</v>
      </c>
      <c r="D289" s="634"/>
      <c r="E289" s="634">
        <f>F289+H289+I289</f>
        <v>1087310</v>
      </c>
      <c r="F289" s="792">
        <f>F290+F291</f>
        <v>567310</v>
      </c>
      <c r="G289" s="635"/>
      <c r="H289" s="635"/>
      <c r="I289" s="635">
        <f>I290+I291</f>
        <v>520000</v>
      </c>
      <c r="J289" s="636">
        <f>K289+N289</f>
        <v>1037737.1799999999</v>
      </c>
      <c r="K289" s="793">
        <f>K290+K291</f>
        <v>526437.1799999999</v>
      </c>
      <c r="L289" s="637"/>
      <c r="M289" s="637"/>
      <c r="N289" s="637">
        <f>N290+N291</f>
        <v>511300</v>
      </c>
      <c r="O289" s="638">
        <f t="shared" si="41"/>
        <v>0.9544078321729773</v>
      </c>
      <c r="P289" s="638"/>
      <c r="Q289" s="638">
        <f>K289/F289</f>
        <v>0.9279532883256068</v>
      </c>
      <c r="R289" s="619"/>
      <c r="S289" t="b">
        <f t="shared" si="40"/>
        <v>1</v>
      </c>
      <c r="T289"/>
      <c r="U289"/>
    </row>
    <row r="290" spans="1:21" s="648" customFormat="1" ht="22.5" customHeight="1">
      <c r="A290" s="602"/>
      <c r="B290" s="602"/>
      <c r="C290" s="658" t="s">
        <v>342</v>
      </c>
      <c r="D290" s="604"/>
      <c r="E290" s="604">
        <f>F290+H290+I290</f>
        <v>981310</v>
      </c>
      <c r="F290" s="605">
        <v>514310</v>
      </c>
      <c r="G290" s="603"/>
      <c r="H290" s="603"/>
      <c r="I290" s="603">
        <v>467000</v>
      </c>
      <c r="J290" s="803">
        <f>K290+N290</f>
        <v>940437.1799999999</v>
      </c>
      <c r="K290" s="659">
        <v>473437.18</v>
      </c>
      <c r="L290" s="660"/>
      <c r="M290" s="660"/>
      <c r="N290" s="660">
        <v>467000</v>
      </c>
      <c r="O290" s="609">
        <f t="shared" si="41"/>
        <v>0.9583487175306478</v>
      </c>
      <c r="P290" s="609"/>
      <c r="Q290" s="609">
        <f>K290/F290</f>
        <v>0.920528825027707</v>
      </c>
      <c r="R290" s="610"/>
      <c r="S290" t="b">
        <f t="shared" si="40"/>
        <v>1</v>
      </c>
      <c r="T290"/>
      <c r="U290"/>
    </row>
    <row r="291" spans="1:21" s="648" customFormat="1" ht="28.5">
      <c r="A291" s="695"/>
      <c r="B291" s="695"/>
      <c r="C291" s="696" t="s">
        <v>343</v>
      </c>
      <c r="D291" s="761"/>
      <c r="E291" s="761">
        <f>F291+H291+I291</f>
        <v>106000</v>
      </c>
      <c r="F291" s="848">
        <v>53000</v>
      </c>
      <c r="G291" s="698"/>
      <c r="H291" s="698"/>
      <c r="I291" s="698">
        <v>53000</v>
      </c>
      <c r="J291" s="849">
        <f>K291+N291</f>
        <v>97300</v>
      </c>
      <c r="K291" s="764">
        <v>53000</v>
      </c>
      <c r="L291" s="700"/>
      <c r="M291" s="700"/>
      <c r="N291" s="700">
        <v>44300</v>
      </c>
      <c r="O291" s="701">
        <f t="shared" si="41"/>
        <v>0.9179245283018868</v>
      </c>
      <c r="P291" s="701"/>
      <c r="Q291" s="701">
        <f>K291/F291</f>
        <v>1</v>
      </c>
      <c r="R291" s="610"/>
      <c r="S291" t="b">
        <f t="shared" si="40"/>
        <v>1</v>
      </c>
      <c r="T291"/>
      <c r="U291"/>
    </row>
    <row r="292" spans="1:21" s="630" customFormat="1" ht="22.5" customHeight="1" thickBot="1">
      <c r="A292" s="809">
        <v>854</v>
      </c>
      <c r="B292" s="621"/>
      <c r="C292" s="810" t="s">
        <v>27</v>
      </c>
      <c r="D292" s="767"/>
      <c r="E292" s="767">
        <f>F292+H292+I292+G292</f>
        <v>6620</v>
      </c>
      <c r="F292" s="768"/>
      <c r="G292" s="766">
        <f aca="true" t="shared" si="42" ref="G292:I293">G293</f>
        <v>4505</v>
      </c>
      <c r="H292" s="766">
        <f t="shared" si="42"/>
        <v>0</v>
      </c>
      <c r="I292" s="766">
        <f t="shared" si="42"/>
        <v>2115</v>
      </c>
      <c r="J292" s="769">
        <f>K292+N292+L292</f>
        <v>6620</v>
      </c>
      <c r="K292" s="770"/>
      <c r="L292" s="980">
        <f>L293</f>
        <v>4504.9</v>
      </c>
      <c r="M292" s="980"/>
      <c r="N292" s="980">
        <f>N293</f>
        <v>2115.1</v>
      </c>
      <c r="O292" s="981">
        <f t="shared" si="41"/>
        <v>1</v>
      </c>
      <c r="P292" s="981" t="e">
        <f aca="true" t="shared" si="43" ref="P292:P297">K292/F292</f>
        <v>#DIV/0!</v>
      </c>
      <c r="Q292" s="981"/>
      <c r="R292" s="628"/>
      <c r="S292" s="629" t="b">
        <f t="shared" si="40"/>
        <v>1</v>
      </c>
      <c r="T292" s="629"/>
      <c r="U292" s="629"/>
    </row>
    <row r="293" spans="1:21" s="620" customFormat="1" ht="21.75" customHeight="1">
      <c r="A293" s="631"/>
      <c r="B293" s="632">
        <v>85415</v>
      </c>
      <c r="C293" s="633" t="s">
        <v>114</v>
      </c>
      <c r="D293" s="634"/>
      <c r="E293" s="634">
        <f>F293+G293+I293</f>
        <v>6620</v>
      </c>
      <c r="F293" s="792"/>
      <c r="G293" s="635">
        <f t="shared" si="42"/>
        <v>4505</v>
      </c>
      <c r="H293" s="635">
        <f t="shared" si="42"/>
        <v>0</v>
      </c>
      <c r="I293" s="635">
        <f t="shared" si="42"/>
        <v>2115</v>
      </c>
      <c r="J293" s="636">
        <f>K293+N293+L293</f>
        <v>6620</v>
      </c>
      <c r="K293" s="793"/>
      <c r="L293" s="637">
        <f>L294</f>
        <v>4504.9</v>
      </c>
      <c r="M293" s="637"/>
      <c r="N293" s="637">
        <f>N294</f>
        <v>2115.1</v>
      </c>
      <c r="O293" s="638">
        <f t="shared" si="41"/>
        <v>1</v>
      </c>
      <c r="P293" s="638" t="e">
        <f t="shared" si="43"/>
        <v>#DIV/0!</v>
      </c>
      <c r="Q293" s="638"/>
      <c r="R293" s="619"/>
      <c r="S293" t="b">
        <f t="shared" si="40"/>
        <v>1</v>
      </c>
      <c r="T293"/>
      <c r="U293"/>
    </row>
    <row r="294" spans="1:21" s="648" customFormat="1" ht="42.75">
      <c r="A294" s="695"/>
      <c r="B294" s="695"/>
      <c r="C294" s="759" t="s">
        <v>344</v>
      </c>
      <c r="D294" s="760"/>
      <c r="E294" s="760">
        <f>F294+G294+I294</f>
        <v>6620</v>
      </c>
      <c r="F294" s="762"/>
      <c r="G294" s="804">
        <v>4505</v>
      </c>
      <c r="H294" s="804"/>
      <c r="I294" s="804">
        <v>2115</v>
      </c>
      <c r="J294" s="805">
        <f>K294+N294+L294</f>
        <v>6620</v>
      </c>
      <c r="K294" s="806"/>
      <c r="L294" s="807">
        <v>4504.9</v>
      </c>
      <c r="M294" s="807"/>
      <c r="N294" s="807">
        <v>2115.1</v>
      </c>
      <c r="O294" s="808">
        <f t="shared" si="41"/>
        <v>1</v>
      </c>
      <c r="P294" s="808" t="e">
        <f t="shared" si="43"/>
        <v>#DIV/0!</v>
      </c>
      <c r="Q294" s="808"/>
      <c r="R294" s="610"/>
      <c r="S294" t="b">
        <f t="shared" si="40"/>
        <v>1</v>
      </c>
      <c r="T294"/>
      <c r="U294"/>
    </row>
    <row r="295" spans="1:21" s="630" customFormat="1" ht="22.5" customHeight="1" thickBot="1">
      <c r="A295" s="809">
        <v>921</v>
      </c>
      <c r="B295" s="621"/>
      <c r="C295" s="810" t="s">
        <v>16</v>
      </c>
      <c r="D295" s="767"/>
      <c r="E295" s="767">
        <f>F295+H295+I295</f>
        <v>38000</v>
      </c>
      <c r="F295" s="766">
        <f>F296</f>
        <v>13000</v>
      </c>
      <c r="G295" s="766"/>
      <c r="H295" s="766">
        <f>H296</f>
        <v>0</v>
      </c>
      <c r="I295" s="766">
        <f>I296</f>
        <v>25000</v>
      </c>
      <c r="J295" s="769">
        <f>K295+N295</f>
        <v>38000</v>
      </c>
      <c r="K295" s="770">
        <f>K296</f>
        <v>13000</v>
      </c>
      <c r="L295" s="980"/>
      <c r="M295" s="980"/>
      <c r="N295" s="980">
        <f>N296</f>
        <v>25000</v>
      </c>
      <c r="O295" s="981">
        <f t="shared" si="41"/>
        <v>1</v>
      </c>
      <c r="P295" s="981">
        <f t="shared" si="43"/>
        <v>1</v>
      </c>
      <c r="Q295" s="981">
        <f>K295/F295</f>
        <v>1</v>
      </c>
      <c r="R295" s="628"/>
      <c r="S295" s="629" t="b">
        <f t="shared" si="40"/>
        <v>1</v>
      </c>
      <c r="T295" s="629"/>
      <c r="U295" s="629"/>
    </row>
    <row r="296" spans="1:21" s="620" customFormat="1" ht="22.5" customHeight="1">
      <c r="A296" s="631"/>
      <c r="B296" s="632">
        <v>92109</v>
      </c>
      <c r="C296" s="633" t="s">
        <v>752</v>
      </c>
      <c r="D296" s="634"/>
      <c r="E296" s="634">
        <f>F296+H296+I296</f>
        <v>38000</v>
      </c>
      <c r="F296" s="635">
        <f>F297</f>
        <v>13000</v>
      </c>
      <c r="G296" s="635"/>
      <c r="H296" s="635">
        <f>H297</f>
        <v>0</v>
      </c>
      <c r="I296" s="635">
        <f>I297</f>
        <v>25000</v>
      </c>
      <c r="J296" s="636">
        <f>K296+N296</f>
        <v>38000</v>
      </c>
      <c r="K296" s="793">
        <f>K297</f>
        <v>13000</v>
      </c>
      <c r="L296" s="637"/>
      <c r="M296" s="637"/>
      <c r="N296" s="637">
        <f>N297</f>
        <v>25000</v>
      </c>
      <c r="O296" s="638">
        <f t="shared" si="41"/>
        <v>1</v>
      </c>
      <c r="P296" s="638">
        <f t="shared" si="43"/>
        <v>1</v>
      </c>
      <c r="Q296" s="638">
        <f>K296/F296</f>
        <v>1</v>
      </c>
      <c r="R296" s="619"/>
      <c r="S296" t="b">
        <f t="shared" si="40"/>
        <v>1</v>
      </c>
      <c r="T296"/>
      <c r="U296"/>
    </row>
    <row r="297" spans="1:21" s="648" customFormat="1" ht="44.25" customHeight="1">
      <c r="A297" s="602"/>
      <c r="B297" s="602"/>
      <c r="C297" s="759" t="s">
        <v>345</v>
      </c>
      <c r="D297" s="760"/>
      <c r="E297" s="760">
        <f>F297+H297+I297</f>
        <v>38000</v>
      </c>
      <c r="F297" s="762">
        <v>13000</v>
      </c>
      <c r="G297" s="804"/>
      <c r="H297" s="804"/>
      <c r="I297" s="804">
        <v>25000</v>
      </c>
      <c r="J297" s="805">
        <f>K297+N297</f>
        <v>38000</v>
      </c>
      <c r="K297" s="806">
        <v>13000</v>
      </c>
      <c r="L297" s="807"/>
      <c r="M297" s="807"/>
      <c r="N297" s="807">
        <v>25000</v>
      </c>
      <c r="O297" s="808">
        <f t="shared" si="41"/>
        <v>1</v>
      </c>
      <c r="P297" s="808">
        <f t="shared" si="43"/>
        <v>1</v>
      </c>
      <c r="Q297" s="808">
        <f>K297/F297</f>
        <v>1</v>
      </c>
      <c r="R297" s="610"/>
      <c r="S297" t="b">
        <f aca="true" t="shared" si="44" ref="S297:S315">J297=K297+L297+N297</f>
        <v>1</v>
      </c>
      <c r="T297"/>
      <c r="U297"/>
    </row>
    <row r="298" spans="1:21" s="620" customFormat="1" ht="21.75" customHeight="1" thickBot="1">
      <c r="A298" s="631"/>
      <c r="B298" s="631"/>
      <c r="C298" s="613" t="s">
        <v>781</v>
      </c>
      <c r="D298" s="614">
        <v>84000</v>
      </c>
      <c r="E298" s="614">
        <f>F298+H298+I298</f>
        <v>604000</v>
      </c>
      <c r="F298" s="615"/>
      <c r="G298" s="613"/>
      <c r="H298" s="613"/>
      <c r="I298" s="613">
        <f>I300+I304</f>
        <v>604000</v>
      </c>
      <c r="J298" s="1006">
        <f>K298+M298+N298</f>
        <v>604000.01</v>
      </c>
      <c r="K298" s="1007"/>
      <c r="L298" s="1008"/>
      <c r="M298" s="1008"/>
      <c r="N298" s="1008">
        <f>N300+N304</f>
        <v>604000.01</v>
      </c>
      <c r="O298" s="1009">
        <f t="shared" si="41"/>
        <v>1.0000000165562914</v>
      </c>
      <c r="P298" s="1009"/>
      <c r="Q298" s="1009"/>
      <c r="R298" s="619"/>
      <c r="S298" t="b">
        <f t="shared" si="44"/>
        <v>1</v>
      </c>
      <c r="T298"/>
      <c r="U298"/>
    </row>
    <row r="299" spans="1:21" s="611" customFormat="1" ht="15.75" customHeight="1" thickTop="1">
      <c r="A299" s="602"/>
      <c r="B299" s="602"/>
      <c r="C299" s="1010" t="s">
        <v>132</v>
      </c>
      <c r="D299" s="1011"/>
      <c r="E299" s="1011"/>
      <c r="F299" s="1012"/>
      <c r="G299" s="1010"/>
      <c r="H299" s="1010"/>
      <c r="I299" s="1010"/>
      <c r="J299" s="1013"/>
      <c r="K299" s="1014"/>
      <c r="L299" s="1015"/>
      <c r="M299" s="1015"/>
      <c r="N299" s="1015"/>
      <c r="O299" s="1016"/>
      <c r="P299" s="1016"/>
      <c r="Q299" s="1016"/>
      <c r="R299" s="610"/>
      <c r="S299" t="b">
        <f t="shared" si="44"/>
        <v>1</v>
      </c>
      <c r="T299"/>
      <c r="U299"/>
    </row>
    <row r="300" spans="1:21" s="997" customFormat="1" ht="20.25" customHeight="1">
      <c r="A300" s="1017"/>
      <c r="B300" s="1017"/>
      <c r="C300" s="1018" t="s">
        <v>782</v>
      </c>
      <c r="D300" s="1019">
        <v>35000</v>
      </c>
      <c r="E300" s="1019">
        <f>F300+H300+I300</f>
        <v>35000</v>
      </c>
      <c r="F300" s="1020"/>
      <c r="G300" s="1021"/>
      <c r="H300" s="1021"/>
      <c r="I300" s="1021">
        <f>I301</f>
        <v>35000</v>
      </c>
      <c r="J300" s="1022">
        <f aca="true" t="shared" si="45" ref="J300:J307">K300+M300+N300</f>
        <v>35000.01</v>
      </c>
      <c r="K300" s="1023"/>
      <c r="L300" s="1024"/>
      <c r="M300" s="1024"/>
      <c r="N300" s="1024">
        <f>N301</f>
        <v>35000.01</v>
      </c>
      <c r="O300" s="1025">
        <f aca="true" t="shared" si="46" ref="O300:O315">J300/E300</f>
        <v>1.0000002857142858</v>
      </c>
      <c r="P300" s="1025"/>
      <c r="Q300" s="1025"/>
      <c r="R300" s="996"/>
      <c r="S300" t="b">
        <f t="shared" si="44"/>
        <v>1</v>
      </c>
      <c r="T300"/>
      <c r="U300"/>
    </row>
    <row r="301" spans="1:21" s="630" customFormat="1" ht="19.5" customHeight="1" thickBot="1">
      <c r="A301" s="809">
        <v>852</v>
      </c>
      <c r="B301" s="621"/>
      <c r="C301" s="810" t="s">
        <v>54</v>
      </c>
      <c r="D301" s="767">
        <v>35000</v>
      </c>
      <c r="E301" s="767">
        <f>F301+H301+I301</f>
        <v>35000</v>
      </c>
      <c r="F301" s="768"/>
      <c r="G301" s="766"/>
      <c r="H301" s="766"/>
      <c r="I301" s="766">
        <f>I302</f>
        <v>35000</v>
      </c>
      <c r="J301" s="769">
        <f t="shared" si="45"/>
        <v>35000.01</v>
      </c>
      <c r="K301" s="770"/>
      <c r="L301" s="980"/>
      <c r="M301" s="980"/>
      <c r="N301" s="980">
        <f>N302</f>
        <v>35000.01</v>
      </c>
      <c r="O301" s="981">
        <f t="shared" si="46"/>
        <v>1.0000002857142858</v>
      </c>
      <c r="P301" s="981"/>
      <c r="Q301" s="981"/>
      <c r="R301" s="628"/>
      <c r="S301" s="629" t="b">
        <f t="shared" si="44"/>
        <v>1</v>
      </c>
      <c r="T301" s="629"/>
      <c r="U301" s="629"/>
    </row>
    <row r="302" spans="1:21" s="620" customFormat="1" ht="23.25" customHeight="1">
      <c r="A302" s="631"/>
      <c r="B302" s="632">
        <v>85203</v>
      </c>
      <c r="C302" s="633" t="s">
        <v>59</v>
      </c>
      <c r="D302" s="634">
        <v>35000</v>
      </c>
      <c r="E302" s="634">
        <f>F302+H302+I302</f>
        <v>35000</v>
      </c>
      <c r="F302" s="792"/>
      <c r="G302" s="635"/>
      <c r="H302" s="635"/>
      <c r="I302" s="635">
        <f>I303</f>
        <v>35000</v>
      </c>
      <c r="J302" s="636">
        <f t="shared" si="45"/>
        <v>35000.01</v>
      </c>
      <c r="K302" s="793"/>
      <c r="L302" s="637"/>
      <c r="M302" s="637"/>
      <c r="N302" s="637">
        <f>N303</f>
        <v>35000.01</v>
      </c>
      <c r="O302" s="638">
        <f t="shared" si="46"/>
        <v>1.0000002857142858</v>
      </c>
      <c r="P302" s="638"/>
      <c r="Q302" s="638"/>
      <c r="R302" s="619"/>
      <c r="S302" t="b">
        <f t="shared" si="44"/>
        <v>1</v>
      </c>
      <c r="T302"/>
      <c r="U302"/>
    </row>
    <row r="303" spans="1:21" s="648" customFormat="1" ht="18.75" customHeight="1">
      <c r="A303" s="602"/>
      <c r="B303" s="602"/>
      <c r="C303" s="1026" t="s">
        <v>1244</v>
      </c>
      <c r="D303" s="760">
        <v>35000</v>
      </c>
      <c r="E303" s="760">
        <f>F303+H303+I303</f>
        <v>35000</v>
      </c>
      <c r="F303" s="762"/>
      <c r="G303" s="804"/>
      <c r="H303" s="804"/>
      <c r="I303" s="804">
        <v>35000</v>
      </c>
      <c r="J303" s="805">
        <f t="shared" si="45"/>
        <v>35000.01</v>
      </c>
      <c r="K303" s="806"/>
      <c r="L303" s="807"/>
      <c r="M303" s="807"/>
      <c r="N303" s="807">
        <f>20000+15000.01</f>
        <v>35000.01</v>
      </c>
      <c r="O303" s="808">
        <f t="shared" si="46"/>
        <v>1.0000002857142858</v>
      </c>
      <c r="P303" s="808"/>
      <c r="Q303" s="808"/>
      <c r="R303" s="610"/>
      <c r="S303" t="b">
        <f t="shared" si="44"/>
        <v>1</v>
      </c>
      <c r="T303"/>
      <c r="U303"/>
    </row>
    <row r="304" spans="1:21" s="997" customFormat="1" ht="28.5" customHeight="1">
      <c r="A304" s="988"/>
      <c r="B304" s="988"/>
      <c r="C304" s="1027" t="s">
        <v>804</v>
      </c>
      <c r="D304" s="1028">
        <v>49000</v>
      </c>
      <c r="E304" s="1028">
        <f>F304+H304+I304</f>
        <v>569000</v>
      </c>
      <c r="F304" s="1029"/>
      <c r="G304" s="1030"/>
      <c r="H304" s="1030"/>
      <c r="I304" s="1030">
        <f>I313+I309+I305</f>
        <v>569000</v>
      </c>
      <c r="J304" s="1031">
        <f t="shared" si="45"/>
        <v>569000</v>
      </c>
      <c r="K304" s="1032"/>
      <c r="L304" s="1033"/>
      <c r="M304" s="1033"/>
      <c r="N304" s="1033">
        <f>N313+N309+N305</f>
        <v>569000</v>
      </c>
      <c r="O304" s="1034">
        <f t="shared" si="46"/>
        <v>1</v>
      </c>
      <c r="P304" s="1034"/>
      <c r="Q304" s="1034"/>
      <c r="R304" s="996"/>
      <c r="S304" t="b">
        <f t="shared" si="44"/>
        <v>1</v>
      </c>
      <c r="T304"/>
      <c r="U304"/>
    </row>
    <row r="305" spans="1:21" s="630" customFormat="1" ht="22.5" customHeight="1" thickBot="1">
      <c r="A305" s="809">
        <v>851</v>
      </c>
      <c r="B305" s="621"/>
      <c r="C305" s="810" t="s">
        <v>19</v>
      </c>
      <c r="D305" s="767"/>
      <c r="E305" s="767">
        <f>F305+G305+I305</f>
        <v>120000</v>
      </c>
      <c r="F305" s="768"/>
      <c r="G305" s="766"/>
      <c r="H305" s="766"/>
      <c r="I305" s="766">
        <f>I306</f>
        <v>120000</v>
      </c>
      <c r="J305" s="769">
        <f t="shared" si="45"/>
        <v>120000</v>
      </c>
      <c r="K305" s="770"/>
      <c r="L305" s="980"/>
      <c r="M305" s="980"/>
      <c r="N305" s="980">
        <f>N306</f>
        <v>120000</v>
      </c>
      <c r="O305" s="981">
        <f t="shared" si="46"/>
        <v>1</v>
      </c>
      <c r="P305" s="981"/>
      <c r="Q305" s="981"/>
      <c r="R305" s="628"/>
      <c r="S305" s="629" t="b">
        <f t="shared" si="44"/>
        <v>1</v>
      </c>
      <c r="T305" s="629"/>
      <c r="U305" s="629"/>
    </row>
    <row r="306" spans="1:21" s="620" customFormat="1" ht="23.25" customHeight="1">
      <c r="A306" s="631"/>
      <c r="B306" s="632">
        <v>85141</v>
      </c>
      <c r="C306" s="633" t="s">
        <v>815</v>
      </c>
      <c r="D306" s="634"/>
      <c r="E306" s="634">
        <f>F306+G306+I306</f>
        <v>120000</v>
      </c>
      <c r="F306" s="792"/>
      <c r="G306" s="635"/>
      <c r="H306" s="635"/>
      <c r="I306" s="635">
        <f>I307+I308</f>
        <v>120000</v>
      </c>
      <c r="J306" s="636">
        <f t="shared" si="45"/>
        <v>120000</v>
      </c>
      <c r="K306" s="793"/>
      <c r="L306" s="637"/>
      <c r="M306" s="637"/>
      <c r="N306" s="637">
        <f>N307+N308</f>
        <v>120000</v>
      </c>
      <c r="O306" s="638">
        <f t="shared" si="46"/>
        <v>1</v>
      </c>
      <c r="P306" s="638"/>
      <c r="Q306" s="638"/>
      <c r="R306" s="619"/>
      <c r="S306" t="b">
        <f t="shared" si="44"/>
        <v>1</v>
      </c>
      <c r="T306"/>
      <c r="U306"/>
    </row>
    <row r="307" spans="1:21" s="648" customFormat="1" ht="22.5" customHeight="1">
      <c r="A307" s="602"/>
      <c r="B307" s="602"/>
      <c r="C307" s="658" t="s">
        <v>346</v>
      </c>
      <c r="D307" s="604"/>
      <c r="E307" s="604">
        <f>F307+G307+I307</f>
        <v>5303</v>
      </c>
      <c r="F307" s="605"/>
      <c r="G307" s="603"/>
      <c r="H307" s="603"/>
      <c r="I307" s="603">
        <v>5303</v>
      </c>
      <c r="J307" s="803">
        <f t="shared" si="45"/>
        <v>5303.05</v>
      </c>
      <c r="K307" s="659"/>
      <c r="L307" s="660"/>
      <c r="M307" s="660"/>
      <c r="N307" s="660">
        <v>5303.05</v>
      </c>
      <c r="O307" s="609">
        <f t="shared" si="46"/>
        <v>1.0000094286253065</v>
      </c>
      <c r="P307" s="609"/>
      <c r="Q307" s="609"/>
      <c r="R307" s="610"/>
      <c r="S307" t="b">
        <f t="shared" si="44"/>
        <v>1</v>
      </c>
      <c r="T307"/>
      <c r="U307"/>
    </row>
    <row r="308" spans="1:21" s="648" customFormat="1" ht="22.5" customHeight="1">
      <c r="A308" s="695"/>
      <c r="B308" s="695"/>
      <c r="C308" s="696" t="s">
        <v>1244</v>
      </c>
      <c r="D308" s="761"/>
      <c r="E308" s="761">
        <f>F308+G308+I308</f>
        <v>114697</v>
      </c>
      <c r="F308" s="848"/>
      <c r="G308" s="698"/>
      <c r="H308" s="698"/>
      <c r="I308" s="698">
        <v>114697</v>
      </c>
      <c r="J308" s="849">
        <f>N308</f>
        <v>114696.95</v>
      </c>
      <c r="K308" s="764"/>
      <c r="L308" s="700"/>
      <c r="M308" s="700"/>
      <c r="N308" s="700">
        <v>114696.95</v>
      </c>
      <c r="O308" s="701">
        <f t="shared" si="46"/>
        <v>0.9999995640688073</v>
      </c>
      <c r="P308" s="701"/>
      <c r="Q308" s="701"/>
      <c r="R308" s="610"/>
      <c r="S308" t="b">
        <f t="shared" si="44"/>
        <v>1</v>
      </c>
      <c r="T308"/>
      <c r="U308"/>
    </row>
    <row r="309" spans="1:21" s="630" customFormat="1" ht="22.5" customHeight="1" thickBot="1">
      <c r="A309" s="809">
        <v>852</v>
      </c>
      <c r="B309" s="621"/>
      <c r="C309" s="810" t="s">
        <v>54</v>
      </c>
      <c r="D309" s="767">
        <v>25000</v>
      </c>
      <c r="E309" s="767">
        <f aca="true" t="shared" si="47" ref="E309:E315">F309+H309+I309</f>
        <v>425000</v>
      </c>
      <c r="F309" s="768"/>
      <c r="G309" s="766"/>
      <c r="H309" s="766"/>
      <c r="I309" s="766">
        <f>I310</f>
        <v>425000</v>
      </c>
      <c r="J309" s="769">
        <f>K309+M309+N309</f>
        <v>425000</v>
      </c>
      <c r="K309" s="770"/>
      <c r="L309" s="980"/>
      <c r="M309" s="980"/>
      <c r="N309" s="980">
        <f>N310</f>
        <v>425000</v>
      </c>
      <c r="O309" s="981">
        <f t="shared" si="46"/>
        <v>1</v>
      </c>
      <c r="P309" s="981"/>
      <c r="Q309" s="981"/>
      <c r="R309" s="628"/>
      <c r="S309" s="629" t="b">
        <f t="shared" si="44"/>
        <v>1</v>
      </c>
      <c r="T309" s="629"/>
      <c r="U309" s="629"/>
    </row>
    <row r="310" spans="1:21" s="620" customFormat="1" ht="23.25" customHeight="1">
      <c r="A310" s="631"/>
      <c r="B310" s="632">
        <v>85203</v>
      </c>
      <c r="C310" s="633" t="s">
        <v>59</v>
      </c>
      <c r="D310" s="634">
        <v>25000</v>
      </c>
      <c r="E310" s="634">
        <f t="shared" si="47"/>
        <v>425000</v>
      </c>
      <c r="F310" s="792"/>
      <c r="G310" s="635"/>
      <c r="H310" s="635"/>
      <c r="I310" s="635">
        <f>I312+I311</f>
        <v>425000</v>
      </c>
      <c r="J310" s="636">
        <f>K310+M310+N310</f>
        <v>425000</v>
      </c>
      <c r="K310" s="793"/>
      <c r="L310" s="637"/>
      <c r="M310" s="637"/>
      <c r="N310" s="637">
        <f>N312+N311</f>
        <v>425000</v>
      </c>
      <c r="O310" s="638">
        <f t="shared" si="46"/>
        <v>1</v>
      </c>
      <c r="P310" s="638"/>
      <c r="Q310" s="638"/>
      <c r="R310" s="619"/>
      <c r="S310" t="b">
        <f t="shared" si="44"/>
        <v>1</v>
      </c>
      <c r="T310"/>
      <c r="U310"/>
    </row>
    <row r="311" spans="1:21" s="648" customFormat="1" ht="22.5" customHeight="1">
      <c r="A311" s="602"/>
      <c r="B311" s="602"/>
      <c r="C311" s="658" t="s">
        <v>1244</v>
      </c>
      <c r="D311" s="604">
        <v>25000</v>
      </c>
      <c r="E311" s="604">
        <f t="shared" si="47"/>
        <v>25000</v>
      </c>
      <c r="F311" s="605"/>
      <c r="G311" s="603"/>
      <c r="H311" s="603"/>
      <c r="I311" s="603">
        <v>25000</v>
      </c>
      <c r="J311" s="803">
        <f>N311</f>
        <v>25000</v>
      </c>
      <c r="K311" s="659"/>
      <c r="L311" s="660"/>
      <c r="M311" s="660"/>
      <c r="N311" s="660">
        <v>25000</v>
      </c>
      <c r="O311" s="609">
        <f t="shared" si="46"/>
        <v>1</v>
      </c>
      <c r="P311" s="609"/>
      <c r="Q311" s="609"/>
      <c r="R311" s="610"/>
      <c r="S311" t="b">
        <f t="shared" si="44"/>
        <v>1</v>
      </c>
      <c r="T311"/>
      <c r="U311"/>
    </row>
    <row r="312" spans="1:21" s="648" customFormat="1" ht="22.5" customHeight="1">
      <c r="A312" s="695"/>
      <c r="B312" s="695"/>
      <c r="C312" s="696" t="s">
        <v>342</v>
      </c>
      <c r="D312" s="761"/>
      <c r="E312" s="761">
        <f t="shared" si="47"/>
        <v>400000</v>
      </c>
      <c r="F312" s="848"/>
      <c r="G312" s="698"/>
      <c r="H312" s="698"/>
      <c r="I312" s="698">
        <v>400000</v>
      </c>
      <c r="J312" s="849">
        <f>K312+M312+N312</f>
        <v>400000</v>
      </c>
      <c r="K312" s="764"/>
      <c r="L312" s="700"/>
      <c r="M312" s="700"/>
      <c r="N312" s="700">
        <v>400000</v>
      </c>
      <c r="O312" s="701">
        <f t="shared" si="46"/>
        <v>1</v>
      </c>
      <c r="P312" s="701"/>
      <c r="Q312" s="701"/>
      <c r="R312" s="610"/>
      <c r="S312" t="b">
        <f t="shared" si="44"/>
        <v>1</v>
      </c>
      <c r="T312"/>
      <c r="U312"/>
    </row>
    <row r="313" spans="1:21" s="630" customFormat="1" ht="22.5" customHeight="1" thickBot="1">
      <c r="A313" s="809">
        <v>853</v>
      </c>
      <c r="B313" s="621"/>
      <c r="C313" s="810" t="s">
        <v>737</v>
      </c>
      <c r="D313" s="767">
        <v>24000</v>
      </c>
      <c r="E313" s="767">
        <f t="shared" si="47"/>
        <v>24000</v>
      </c>
      <c r="F313" s="768"/>
      <c r="G313" s="766"/>
      <c r="H313" s="766"/>
      <c r="I313" s="766">
        <f>I314</f>
        <v>24000</v>
      </c>
      <c r="J313" s="769">
        <f>N313</f>
        <v>24000</v>
      </c>
      <c r="K313" s="770"/>
      <c r="L313" s="980"/>
      <c r="M313" s="980"/>
      <c r="N313" s="980">
        <f>N314</f>
        <v>24000</v>
      </c>
      <c r="O313" s="981">
        <f t="shared" si="46"/>
        <v>1</v>
      </c>
      <c r="P313" s="981" t="e">
        <f>K313/F313</f>
        <v>#DIV/0!</v>
      </c>
      <c r="Q313" s="981"/>
      <c r="R313" s="628"/>
      <c r="S313" s="629" t="b">
        <f t="shared" si="44"/>
        <v>1</v>
      </c>
      <c r="T313" s="629"/>
      <c r="U313" s="629"/>
    </row>
    <row r="314" spans="1:21" s="620" customFormat="1" ht="31.5" customHeight="1">
      <c r="A314" s="631"/>
      <c r="B314" s="632">
        <v>85321</v>
      </c>
      <c r="C314" s="633" t="s">
        <v>347</v>
      </c>
      <c r="D314" s="634">
        <v>24000</v>
      </c>
      <c r="E314" s="634">
        <f t="shared" si="47"/>
        <v>24000</v>
      </c>
      <c r="F314" s="792"/>
      <c r="G314" s="635"/>
      <c r="H314" s="635"/>
      <c r="I314" s="635">
        <f>I315</f>
        <v>24000</v>
      </c>
      <c r="J314" s="636">
        <f>N314</f>
        <v>24000</v>
      </c>
      <c r="K314" s="793"/>
      <c r="L314" s="637"/>
      <c r="M314" s="637"/>
      <c r="N314" s="637">
        <f>N315</f>
        <v>24000</v>
      </c>
      <c r="O314" s="638">
        <f t="shared" si="46"/>
        <v>1</v>
      </c>
      <c r="P314" s="638"/>
      <c r="Q314" s="638"/>
      <c r="R314" s="619"/>
      <c r="S314" t="b">
        <f t="shared" si="44"/>
        <v>1</v>
      </c>
      <c r="T314"/>
      <c r="U314"/>
    </row>
    <row r="315" spans="1:21" s="648" customFormat="1" ht="21.75" customHeight="1">
      <c r="A315" s="695"/>
      <c r="B315" s="695"/>
      <c r="C315" s="759" t="s">
        <v>1244</v>
      </c>
      <c r="D315" s="760">
        <v>24000</v>
      </c>
      <c r="E315" s="760">
        <f t="shared" si="47"/>
        <v>24000</v>
      </c>
      <c r="F315" s="762"/>
      <c r="G315" s="804"/>
      <c r="H315" s="804"/>
      <c r="I315" s="804">
        <v>24000</v>
      </c>
      <c r="J315" s="805">
        <f>N315</f>
        <v>24000</v>
      </c>
      <c r="K315" s="806"/>
      <c r="L315" s="807"/>
      <c r="M315" s="807"/>
      <c r="N315" s="807">
        <v>24000</v>
      </c>
      <c r="O315" s="758">
        <f t="shared" si="46"/>
        <v>1</v>
      </c>
      <c r="P315" s="808"/>
      <c r="Q315" s="808"/>
      <c r="R315" s="610"/>
      <c r="S315" t="b">
        <f t="shared" si="44"/>
        <v>1</v>
      </c>
      <c r="T315"/>
      <c r="U315"/>
    </row>
    <row r="318" spans="3:9" ht="12.75">
      <c r="C318" s="417" t="s">
        <v>287</v>
      </c>
      <c r="I318" t="s">
        <v>289</v>
      </c>
    </row>
    <row r="319" spans="3:9" ht="12.75">
      <c r="C319" s="417" t="s">
        <v>288</v>
      </c>
      <c r="I319" t="s">
        <v>290</v>
      </c>
    </row>
  </sheetData>
  <mergeCells count="3">
    <mergeCell ref="D7:D10"/>
    <mergeCell ref="E7:E10"/>
    <mergeCell ref="J7:J10"/>
  </mergeCells>
  <printOptions horizontalCentered="1"/>
  <pageMargins left="0.35433070866141736" right="0.35433070866141736" top="0.4724409448818898" bottom="0.6692913385826772" header="0.5118110236220472" footer="0.5118110236220472"/>
  <pageSetup firstPageNumber="50" useFirstPageNumber="1" horizontalDpi="300" verticalDpi="300" orientation="landscape" paperSize="9" scale="6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2"/>
  <sheetViews>
    <sheetView zoomScale="75" zoomScaleNormal="75" workbookViewId="0" topLeftCell="A1">
      <selection activeCell="Y5" sqref="Y5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42.125" style="116" customWidth="1"/>
    <col min="4" max="4" width="41.25390625" style="116" hidden="1" customWidth="1"/>
    <col min="5" max="5" width="14.375" style="116" hidden="1" customWidth="1"/>
    <col min="6" max="6" width="11.00390625" style="1206" hidden="1" customWidth="1"/>
    <col min="7" max="7" width="12.75390625" style="1206" hidden="1" customWidth="1"/>
    <col min="8" max="8" width="12.875" style="1206" hidden="1" customWidth="1"/>
    <col min="9" max="9" width="11.875" style="0" customWidth="1"/>
    <col min="10" max="10" width="11.75390625" style="0" customWidth="1"/>
    <col min="11" max="11" width="12.625" style="0" customWidth="1"/>
    <col min="12" max="12" width="13.125" style="0" customWidth="1"/>
    <col min="13" max="13" width="11.75390625" style="0" hidden="1" customWidth="1"/>
    <col min="14" max="14" width="11.75390625" style="0" customWidth="1"/>
    <col min="15" max="15" width="12.125" style="0" customWidth="1"/>
    <col min="16" max="16" width="12.875" style="0" customWidth="1"/>
    <col min="17" max="17" width="11.75390625" style="0" hidden="1" customWidth="1"/>
    <col min="18" max="18" width="12.25390625" style="0" hidden="1" customWidth="1"/>
    <col min="19" max="19" width="13.25390625" style="0" hidden="1" customWidth="1"/>
    <col min="20" max="20" width="11.875" style="0" customWidth="1"/>
    <col min="21" max="21" width="12.625" style="0" customWidth="1"/>
    <col min="22" max="22" width="13.00390625" style="0" customWidth="1"/>
    <col min="23" max="23" width="14.75390625" style="0" customWidth="1"/>
    <col min="24" max="24" width="14.625" style="0" customWidth="1"/>
    <col min="25" max="25" width="14.75390625" style="0" customWidth="1"/>
    <col min="26" max="26" width="13.25390625" style="0" customWidth="1"/>
    <col min="27" max="27" width="9.625" style="0" customWidth="1"/>
    <col min="29" max="29" width="9.75390625" style="0" bestFit="1" customWidth="1"/>
  </cols>
  <sheetData>
    <row r="1" spans="3:27" s="6" customFormat="1" ht="18.75" customHeight="1">
      <c r="C1" s="1035"/>
      <c r="D1" s="1035"/>
      <c r="E1" s="1035"/>
      <c r="F1" s="1036"/>
      <c r="G1" s="1036"/>
      <c r="H1" s="1036"/>
      <c r="N1" s="1037"/>
      <c r="T1" s="1037"/>
      <c r="Y1" s="75" t="s">
        <v>348</v>
      </c>
      <c r="AA1" s="1037"/>
    </row>
    <row r="2" spans="7:25" s="6" customFormat="1" ht="18.75" customHeight="1">
      <c r="G2" s="1038"/>
      <c r="H2" s="1038"/>
      <c r="N2" s="1037"/>
      <c r="T2" s="1037"/>
      <c r="Y2" s="75" t="s">
        <v>293</v>
      </c>
    </row>
    <row r="3" spans="3:25" s="6" customFormat="1" ht="18.75" customHeight="1">
      <c r="C3" s="2777" t="s">
        <v>349</v>
      </c>
      <c r="D3" s="2777"/>
      <c r="E3" s="2777"/>
      <c r="F3" s="2777"/>
      <c r="G3" s="2777"/>
      <c r="H3" s="2777"/>
      <c r="I3" s="2778"/>
      <c r="J3" s="2778"/>
      <c r="K3" s="2778"/>
      <c r="L3" s="2778"/>
      <c r="M3" s="2778"/>
      <c r="N3" s="2778"/>
      <c r="O3" s="2778"/>
      <c r="P3" s="2778"/>
      <c r="Q3" s="2778"/>
      <c r="R3" s="2778"/>
      <c r="S3" s="2778"/>
      <c r="T3" s="2778"/>
      <c r="Y3" s="75" t="s">
        <v>893</v>
      </c>
    </row>
    <row r="4" spans="3:25" s="6" customFormat="1" ht="18.75" customHeight="1">
      <c r="C4" s="1039"/>
      <c r="D4" s="1039"/>
      <c r="E4" s="1039"/>
      <c r="F4" s="1039"/>
      <c r="G4" s="1039"/>
      <c r="H4" s="1040"/>
      <c r="P4" s="35"/>
      <c r="V4" s="35"/>
      <c r="Y4" s="75" t="s">
        <v>294</v>
      </c>
    </row>
    <row r="5" spans="3:22" s="6" customFormat="1" ht="18.75" customHeight="1">
      <c r="C5" s="1039"/>
      <c r="D5" s="1039"/>
      <c r="E5" s="1039"/>
      <c r="F5" s="1039"/>
      <c r="G5" s="1039"/>
      <c r="H5" s="1040"/>
      <c r="P5" s="35"/>
      <c r="V5" s="35"/>
    </row>
    <row r="6" spans="3:22" s="6" customFormat="1" ht="18.75" customHeight="1">
      <c r="C6" s="1039"/>
      <c r="D6" s="1039"/>
      <c r="E6" s="1039"/>
      <c r="F6" s="1039"/>
      <c r="G6" s="1039"/>
      <c r="H6" s="1040"/>
      <c r="P6" s="35"/>
      <c r="V6" s="35"/>
    </row>
    <row r="7" spans="2:26" s="6" customFormat="1" ht="21" customHeight="1" thickBot="1">
      <c r="B7" s="36"/>
      <c r="C7" s="1035"/>
      <c r="D7" s="1035"/>
      <c r="E7" s="1035"/>
      <c r="F7" s="1036"/>
      <c r="G7" s="1036"/>
      <c r="H7" s="1036"/>
      <c r="M7" s="1041"/>
      <c r="P7" s="102"/>
      <c r="V7" s="102"/>
      <c r="Z7" s="1042" t="s">
        <v>725</v>
      </c>
    </row>
    <row r="8" spans="1:27" s="6" customFormat="1" ht="33" customHeight="1" thickBot="1" thickTop="1">
      <c r="A8" s="1043"/>
      <c r="B8" s="1043"/>
      <c r="C8" s="1044"/>
      <c r="D8" s="1044"/>
      <c r="E8" s="1045" t="s">
        <v>350</v>
      </c>
      <c r="F8" s="1045"/>
      <c r="G8" s="1045"/>
      <c r="H8" s="1045"/>
      <c r="I8" s="1045"/>
      <c r="J8" s="2779" t="s">
        <v>1176</v>
      </c>
      <c r="K8" s="2780"/>
      <c r="L8" s="2781"/>
      <c r="M8" s="1045"/>
      <c r="N8" s="2779" t="s">
        <v>351</v>
      </c>
      <c r="O8" s="2780"/>
      <c r="P8" s="2781"/>
      <c r="Q8" s="2779" t="s">
        <v>352</v>
      </c>
      <c r="R8" s="2780"/>
      <c r="S8" s="2781"/>
      <c r="T8" s="2779" t="s">
        <v>353</v>
      </c>
      <c r="U8" s="2780"/>
      <c r="V8" s="2781"/>
      <c r="W8" s="1045"/>
      <c r="X8" s="2779" t="s">
        <v>1176</v>
      </c>
      <c r="Y8" s="2780"/>
      <c r="Z8" s="2781"/>
      <c r="AA8" s="1045"/>
    </row>
    <row r="9" spans="1:27" s="6" customFormat="1" ht="66" customHeight="1" thickBot="1" thickTop="1">
      <c r="A9" s="1046" t="s">
        <v>11</v>
      </c>
      <c r="B9" s="1047" t="s">
        <v>354</v>
      </c>
      <c r="C9" s="1047" t="s">
        <v>355</v>
      </c>
      <c r="D9" s="1047" t="s">
        <v>356</v>
      </c>
      <c r="E9" s="1047" t="s">
        <v>357</v>
      </c>
      <c r="F9" s="1047" t="s">
        <v>358</v>
      </c>
      <c r="G9" s="1047" t="s">
        <v>359</v>
      </c>
      <c r="H9" s="1047" t="s">
        <v>360</v>
      </c>
      <c r="I9" s="1047" t="s">
        <v>361</v>
      </c>
      <c r="J9" s="1048" t="s">
        <v>362</v>
      </c>
      <c r="K9" s="1048" t="s">
        <v>363</v>
      </c>
      <c r="L9" s="1048" t="s">
        <v>364</v>
      </c>
      <c r="M9" s="1047" t="s">
        <v>365</v>
      </c>
      <c r="N9" s="1048" t="s">
        <v>362</v>
      </c>
      <c r="O9" s="1048" t="s">
        <v>363</v>
      </c>
      <c r="P9" s="1048" t="s">
        <v>364</v>
      </c>
      <c r="Q9" s="1048" t="s">
        <v>362</v>
      </c>
      <c r="R9" s="1048" t="s">
        <v>363</v>
      </c>
      <c r="S9" s="1048" t="s">
        <v>364</v>
      </c>
      <c r="T9" s="1048" t="s">
        <v>362</v>
      </c>
      <c r="U9" s="1048" t="s">
        <v>363</v>
      </c>
      <c r="V9" s="1048" t="s">
        <v>364</v>
      </c>
      <c r="W9" s="1049" t="s">
        <v>366</v>
      </c>
      <c r="X9" s="1048" t="s">
        <v>362</v>
      </c>
      <c r="Y9" s="1048" t="s">
        <v>363</v>
      </c>
      <c r="Z9" s="1048" t="s">
        <v>364</v>
      </c>
      <c r="AA9" s="1047" t="s">
        <v>367</v>
      </c>
    </row>
    <row r="10" spans="1:27" s="1052" customFormat="1" ht="21.75" customHeight="1" thickBot="1" thickTop="1">
      <c r="A10" s="39">
        <v>1</v>
      </c>
      <c r="B10" s="39">
        <v>2</v>
      </c>
      <c r="C10" s="1050">
        <v>3</v>
      </c>
      <c r="D10" s="1051">
        <v>4</v>
      </c>
      <c r="E10" s="1051">
        <v>5</v>
      </c>
      <c r="F10" s="1051">
        <v>6</v>
      </c>
      <c r="G10" s="1051">
        <v>7</v>
      </c>
      <c r="H10" s="1051">
        <v>8</v>
      </c>
      <c r="I10" s="39">
        <v>4</v>
      </c>
      <c r="J10" s="39">
        <v>5</v>
      </c>
      <c r="K10" s="39">
        <v>6</v>
      </c>
      <c r="L10" s="39">
        <v>7</v>
      </c>
      <c r="M10" s="39">
        <v>14</v>
      </c>
      <c r="N10" s="39">
        <v>8</v>
      </c>
      <c r="O10" s="39">
        <v>9</v>
      </c>
      <c r="P10" s="39">
        <v>10</v>
      </c>
      <c r="Q10" s="39">
        <v>15</v>
      </c>
      <c r="R10" s="39">
        <v>16</v>
      </c>
      <c r="S10" s="39">
        <v>17</v>
      </c>
      <c r="T10" s="39">
        <v>11</v>
      </c>
      <c r="U10" s="39">
        <v>12</v>
      </c>
      <c r="V10" s="39">
        <v>13</v>
      </c>
      <c r="W10" s="39">
        <v>14</v>
      </c>
      <c r="X10" s="39">
        <v>15</v>
      </c>
      <c r="Y10" s="39">
        <v>16</v>
      </c>
      <c r="Z10" s="39">
        <v>17</v>
      </c>
      <c r="AA10" s="39">
        <v>18</v>
      </c>
    </row>
    <row r="11" spans="1:29" s="1060" customFormat="1" ht="27" customHeight="1" thickBot="1" thickTop="1">
      <c r="A11" s="1053"/>
      <c r="B11" s="1053"/>
      <c r="C11" s="1054" t="s">
        <v>368</v>
      </c>
      <c r="D11" s="1055"/>
      <c r="E11" s="1055"/>
      <c r="F11" s="1056"/>
      <c r="G11" s="1057">
        <f>G12+G94</f>
        <v>124695209</v>
      </c>
      <c r="H11" s="1057">
        <f>H12+H94</f>
        <v>39995755</v>
      </c>
      <c r="I11" s="1057">
        <f aca="true" t="shared" si="0" ref="I11:I17">J11+K11+L11</f>
        <v>86523431</v>
      </c>
      <c r="J11" s="1057">
        <f aca="true" t="shared" si="1" ref="J11:P11">J12+J94</f>
        <v>24347371</v>
      </c>
      <c r="K11" s="1057">
        <f t="shared" si="1"/>
        <v>57243524</v>
      </c>
      <c r="L11" s="1057">
        <f t="shared" si="1"/>
        <v>4932536</v>
      </c>
      <c r="M11" s="1057">
        <f t="shared" si="1"/>
        <v>0</v>
      </c>
      <c r="N11" s="1057">
        <f t="shared" si="1"/>
        <v>5570196</v>
      </c>
      <c r="O11" s="1057">
        <f t="shared" si="1"/>
        <v>17842279</v>
      </c>
      <c r="P11" s="1057">
        <f t="shared" si="1"/>
        <v>523154</v>
      </c>
      <c r="Q11" s="1057"/>
      <c r="R11" s="1057"/>
      <c r="S11" s="1057"/>
      <c r="T11" s="1057">
        <f>T12+T94</f>
        <v>5066</v>
      </c>
      <c r="U11" s="1057">
        <f>U12+U94</f>
        <v>62891</v>
      </c>
      <c r="V11" s="1057"/>
      <c r="W11" s="1058">
        <f>X11+Y11+Z11</f>
        <v>81416386.89999999</v>
      </c>
      <c r="X11" s="1058">
        <f>X12+X94</f>
        <v>22267607.269999996</v>
      </c>
      <c r="Y11" s="1058">
        <f>Y12+Y94</f>
        <v>54494154.830000006</v>
      </c>
      <c r="Z11" s="1058">
        <f>Z12+Z94</f>
        <v>4654624.800000001</v>
      </c>
      <c r="AA11" s="1059">
        <f aca="true" t="shared" si="2" ref="AA11:AA42">W11/I11</f>
        <v>0.9409750163513511</v>
      </c>
      <c r="AC11" s="1060" t="b">
        <f aca="true" t="shared" si="3" ref="AC11:AC42">W11=X11+Y11+Z11</f>
        <v>1</v>
      </c>
    </row>
    <row r="12" spans="1:29" s="1068" customFormat="1" ht="26.25" customHeight="1" thickBot="1" thickTop="1">
      <c r="A12" s="1061"/>
      <c r="B12" s="1061"/>
      <c r="C12" s="1062" t="s">
        <v>133</v>
      </c>
      <c r="D12" s="1063"/>
      <c r="E12" s="1063"/>
      <c r="F12" s="1064"/>
      <c r="G12" s="1065">
        <f>G13+G39+G46+G60+G67+G76+G83+G27+G30+G80+G91</f>
        <v>122688547</v>
      </c>
      <c r="H12" s="1065">
        <f>H13+H39+H46+H60+H67+H76+H83+H27+H30+H80+H91</f>
        <v>39228118</v>
      </c>
      <c r="I12" s="1065">
        <f t="shared" si="0"/>
        <v>84746133</v>
      </c>
      <c r="J12" s="1065">
        <f aca="true" t="shared" si="4" ref="J12:U12">J13+J39+J46+J60+J67+J76+J83+J27+J30+J80+J91+J36</f>
        <v>24347371</v>
      </c>
      <c r="K12" s="1065">
        <f t="shared" si="4"/>
        <v>56034073</v>
      </c>
      <c r="L12" s="1065">
        <f t="shared" si="4"/>
        <v>4364689</v>
      </c>
      <c r="M12" s="1065">
        <f t="shared" si="4"/>
        <v>0</v>
      </c>
      <c r="N12" s="1065">
        <f t="shared" si="4"/>
        <v>5570196</v>
      </c>
      <c r="O12" s="1065">
        <f t="shared" si="4"/>
        <v>17280751</v>
      </c>
      <c r="P12" s="1065">
        <f t="shared" si="4"/>
        <v>259512</v>
      </c>
      <c r="Q12" s="1065">
        <f t="shared" si="4"/>
        <v>0</v>
      </c>
      <c r="R12" s="1065">
        <f t="shared" si="4"/>
        <v>0</v>
      </c>
      <c r="S12" s="1065">
        <f t="shared" si="4"/>
        <v>0</v>
      </c>
      <c r="T12" s="1065">
        <f t="shared" si="4"/>
        <v>5066</v>
      </c>
      <c r="U12" s="1065">
        <f t="shared" si="4"/>
        <v>62891</v>
      </c>
      <c r="V12" s="1065"/>
      <c r="W12" s="1066">
        <f>X12+Y12+Z12</f>
        <v>79724727.03</v>
      </c>
      <c r="X12" s="1066">
        <f>X13+X39+X46+X60+X67+X76+X83+X27+X30+X80+X91+X36</f>
        <v>22267607.269999996</v>
      </c>
      <c r="Y12" s="1066">
        <f>Y13+Y39+Y46+Y60+Y67+Y76+Y83+Y27+Y30+Y80+Y91+Y36</f>
        <v>53342980.330000006</v>
      </c>
      <c r="Z12" s="1066">
        <f>Z13+Z39+Z46+Z60+Z67+Z76+Z83+Z27+Z30+Z80+Z91+Z36</f>
        <v>4114139.4300000006</v>
      </c>
      <c r="AA12" s="1067">
        <f t="shared" si="2"/>
        <v>0.9407476684511374</v>
      </c>
      <c r="AC12" s="1060" t="b">
        <f t="shared" si="3"/>
        <v>1</v>
      </c>
    </row>
    <row r="13" spans="1:29" ht="25.5" customHeight="1" thickBot="1">
      <c r="A13" s="1069">
        <v>600</v>
      </c>
      <c r="B13" s="1069"/>
      <c r="C13" s="1070" t="s">
        <v>147</v>
      </c>
      <c r="D13" s="1070"/>
      <c r="E13" s="1070"/>
      <c r="F13" s="1071"/>
      <c r="G13" s="1072">
        <f>G16</f>
        <v>70335049</v>
      </c>
      <c r="H13" s="1072">
        <f>H16</f>
        <v>14735318</v>
      </c>
      <c r="I13" s="1072">
        <f t="shared" si="0"/>
        <v>57694421</v>
      </c>
      <c r="J13" s="1072">
        <f>J16+J14</f>
        <v>16673632</v>
      </c>
      <c r="K13" s="1072">
        <f>K16+K14</f>
        <v>41020789</v>
      </c>
      <c r="L13" s="1072"/>
      <c r="M13" s="1072">
        <f>M16+M14</f>
        <v>0</v>
      </c>
      <c r="N13" s="1072">
        <f>N16+N14</f>
        <v>4870987</v>
      </c>
      <c r="O13" s="1072">
        <f>O16+O14</f>
        <v>14612965</v>
      </c>
      <c r="P13" s="1072"/>
      <c r="Q13" s="1073"/>
      <c r="R13" s="1073"/>
      <c r="S13" s="1073"/>
      <c r="T13" s="1072"/>
      <c r="U13" s="1072"/>
      <c r="V13" s="1072"/>
      <c r="W13" s="1074">
        <f>X13+Y13+Z13</f>
        <v>56515910.56000001</v>
      </c>
      <c r="X13" s="1074">
        <f>X16+X14</f>
        <v>16435643.079999996</v>
      </c>
      <c r="Y13" s="1074">
        <f>Y16+Y14</f>
        <v>40080267.48000001</v>
      </c>
      <c r="Z13" s="1074"/>
      <c r="AA13" s="1075">
        <f t="shared" si="2"/>
        <v>0.979573233952725</v>
      </c>
      <c r="AC13" s="1060" t="b">
        <f t="shared" si="3"/>
        <v>1</v>
      </c>
    </row>
    <row r="14" spans="1:29" s="36" customFormat="1" ht="24.75" customHeight="1">
      <c r="A14" s="18"/>
      <c r="B14" s="886">
        <v>60004</v>
      </c>
      <c r="C14" s="501" t="s">
        <v>148</v>
      </c>
      <c r="D14" s="501"/>
      <c r="E14" s="501"/>
      <c r="F14" s="1076"/>
      <c r="G14" s="1077">
        <f>G15</f>
        <v>727645</v>
      </c>
      <c r="H14" s="1077">
        <f>H15</f>
        <v>49182</v>
      </c>
      <c r="I14" s="1077">
        <f t="shared" si="0"/>
        <v>1196060</v>
      </c>
      <c r="J14" s="1077">
        <f>J15</f>
        <v>299015</v>
      </c>
      <c r="K14" s="1077">
        <f>K15</f>
        <v>897045</v>
      </c>
      <c r="L14" s="1077"/>
      <c r="M14" s="1077">
        <f>M15</f>
        <v>0</v>
      </c>
      <c r="N14" s="1077">
        <f>N15</f>
        <v>1182387</v>
      </c>
      <c r="O14" s="1077">
        <f>O15</f>
        <v>3547162</v>
      </c>
      <c r="P14" s="1077"/>
      <c r="Q14" s="514"/>
      <c r="R14" s="514"/>
      <c r="S14" s="514"/>
      <c r="T14" s="1077"/>
      <c r="U14" s="1077"/>
      <c r="V14" s="1077"/>
      <c r="W14" s="1078">
        <f>X14+Y14</f>
        <v>1195850.12</v>
      </c>
      <c r="X14" s="1078">
        <f>X15</f>
        <v>298962.53</v>
      </c>
      <c r="Y14" s="1078">
        <f>Y15</f>
        <v>896887.59</v>
      </c>
      <c r="Z14" s="1078"/>
      <c r="AA14" s="1079">
        <f t="shared" si="2"/>
        <v>0.9998245238533184</v>
      </c>
      <c r="AC14" s="1060" t="b">
        <f t="shared" si="3"/>
        <v>1</v>
      </c>
    </row>
    <row r="15" spans="1:29" ht="57">
      <c r="A15" s="108"/>
      <c r="B15" s="602"/>
      <c r="C15" s="1080" t="s">
        <v>369</v>
      </c>
      <c r="D15" s="1081" t="s">
        <v>370</v>
      </c>
      <c r="E15" s="1082" t="s">
        <v>371</v>
      </c>
      <c r="F15" s="1083" t="s">
        <v>372</v>
      </c>
      <c r="G15" s="1084">
        <v>727645</v>
      </c>
      <c r="H15" s="1084">
        <v>49182</v>
      </c>
      <c r="I15" s="1084">
        <f t="shared" si="0"/>
        <v>1196060</v>
      </c>
      <c r="J15" s="1085">
        <v>299015</v>
      </c>
      <c r="K15" s="1085">
        <v>897045</v>
      </c>
      <c r="L15" s="1085"/>
      <c r="M15" s="1085"/>
      <c r="N15" s="1085">
        <v>1182387</v>
      </c>
      <c r="O15" s="1085">
        <v>3547162</v>
      </c>
      <c r="P15" s="1085"/>
      <c r="Q15" s="1085"/>
      <c r="R15" s="1085"/>
      <c r="S15" s="1085"/>
      <c r="T15" s="1085"/>
      <c r="U15" s="1085"/>
      <c r="V15" s="1085"/>
      <c r="W15" s="1086">
        <f>X15+Y15</f>
        <v>1195850.12</v>
      </c>
      <c r="X15" s="1087">
        <v>298962.53</v>
      </c>
      <c r="Y15" s="1087">
        <v>896887.59</v>
      </c>
      <c r="Z15" s="1087"/>
      <c r="AA15" s="1088">
        <f t="shared" si="2"/>
        <v>0.9998245238533184</v>
      </c>
      <c r="AC15" s="1060" t="b">
        <f t="shared" si="3"/>
        <v>1</v>
      </c>
    </row>
    <row r="16" spans="1:29" s="36" customFormat="1" ht="35.25" customHeight="1">
      <c r="A16" s="18"/>
      <c r="B16" s="661">
        <v>60015</v>
      </c>
      <c r="C16" s="662" t="s">
        <v>153</v>
      </c>
      <c r="D16" s="1089"/>
      <c r="E16" s="512"/>
      <c r="F16" s="1090"/>
      <c r="G16" s="1091">
        <f>SUM(G17:G23)</f>
        <v>70335049</v>
      </c>
      <c r="H16" s="1091">
        <f>SUM(H17:H23)</f>
        <v>14735318</v>
      </c>
      <c r="I16" s="1091">
        <f t="shared" si="0"/>
        <v>56498361</v>
      </c>
      <c r="J16" s="1091">
        <f>SUM(J17:J26)</f>
        <v>16374617</v>
      </c>
      <c r="K16" s="1091">
        <f>SUM(K17:K26)</f>
        <v>40123744</v>
      </c>
      <c r="L16" s="1091"/>
      <c r="M16" s="1091">
        <f>SUM(M17:M26)</f>
        <v>0</v>
      </c>
      <c r="N16" s="1091">
        <f>SUM(N17:N26)</f>
        <v>3688600</v>
      </c>
      <c r="O16" s="1091">
        <f>SUM(O17:O26)</f>
        <v>11065803</v>
      </c>
      <c r="P16" s="1091"/>
      <c r="Q16" s="1091"/>
      <c r="R16" s="1091"/>
      <c r="S16" s="1091"/>
      <c r="T16" s="1091"/>
      <c r="U16" s="1091"/>
      <c r="V16" s="1091"/>
      <c r="W16" s="1092">
        <f>X16+Y16+Z16</f>
        <v>55320060.440000005</v>
      </c>
      <c r="X16" s="1092">
        <f>SUM(X17:X26)</f>
        <v>16136680.549999997</v>
      </c>
      <c r="Y16" s="1092">
        <f>SUM(Y17:Y26)</f>
        <v>39183379.89000001</v>
      </c>
      <c r="Z16" s="1092"/>
      <c r="AA16" s="1093">
        <f t="shared" si="2"/>
        <v>0.979144517838314</v>
      </c>
      <c r="AC16" s="1060" t="b">
        <f t="shared" si="3"/>
        <v>1</v>
      </c>
    </row>
    <row r="17" spans="1:29" s="36" customFormat="1" ht="22.5" customHeight="1">
      <c r="A17" s="18"/>
      <c r="B17" s="639"/>
      <c r="C17" s="702" t="s">
        <v>1196</v>
      </c>
      <c r="D17" s="1094" t="s">
        <v>373</v>
      </c>
      <c r="E17" s="1095" t="s">
        <v>371</v>
      </c>
      <c r="F17" s="1096" t="s">
        <v>372</v>
      </c>
      <c r="G17" s="1097">
        <v>14308047</v>
      </c>
      <c r="H17" s="1097">
        <v>9313047</v>
      </c>
      <c r="I17" s="1097">
        <f t="shared" si="0"/>
        <v>4871348</v>
      </c>
      <c r="J17" s="527">
        <v>1879000</v>
      </c>
      <c r="K17" s="527">
        <v>2992348</v>
      </c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1098">
        <f>X17+Y17+Z17</f>
        <v>4841278.16</v>
      </c>
      <c r="X17" s="528">
        <f>1801501.39+50000</f>
        <v>1851501.39</v>
      </c>
      <c r="Y17" s="528">
        <v>2989776.77</v>
      </c>
      <c r="Z17" s="528"/>
      <c r="AA17" s="957">
        <f t="shared" si="2"/>
        <v>0.9938272034763274</v>
      </c>
      <c r="AC17" s="1060" t="b">
        <f t="shared" si="3"/>
        <v>1</v>
      </c>
    </row>
    <row r="18" spans="1:29" s="36" customFormat="1" ht="60.75" customHeight="1" hidden="1">
      <c r="A18" s="18"/>
      <c r="B18" s="602"/>
      <c r="C18" s="680" t="s">
        <v>1201</v>
      </c>
      <c r="D18" s="1099" t="s">
        <v>374</v>
      </c>
      <c r="E18" s="1100" t="s">
        <v>371</v>
      </c>
      <c r="F18" s="1101" t="s">
        <v>372</v>
      </c>
      <c r="G18" s="1102"/>
      <c r="H18" s="1102"/>
      <c r="I18" s="1102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3"/>
      <c r="U18" s="1103"/>
      <c r="V18" s="1103"/>
      <c r="W18" s="1104"/>
      <c r="X18" s="1105"/>
      <c r="Y18" s="1105"/>
      <c r="Z18" s="1105"/>
      <c r="AA18" s="987" t="e">
        <f t="shared" si="2"/>
        <v>#DIV/0!</v>
      </c>
      <c r="AC18" s="1060" t="b">
        <f t="shared" si="3"/>
        <v>1</v>
      </c>
    </row>
    <row r="19" spans="1:29" s="36" customFormat="1" ht="33" customHeight="1">
      <c r="A19" s="18"/>
      <c r="B19" s="602"/>
      <c r="C19" s="680" t="s">
        <v>375</v>
      </c>
      <c r="D19" s="1099" t="s">
        <v>376</v>
      </c>
      <c r="E19" s="1100" t="s">
        <v>371</v>
      </c>
      <c r="F19" s="1101" t="s">
        <v>372</v>
      </c>
      <c r="G19" s="1102">
        <v>7810218</v>
      </c>
      <c r="H19" s="1102">
        <v>115200</v>
      </c>
      <c r="I19" s="1102">
        <f aca="true" t="shared" si="5" ref="I19:I50">J19+K19+L19</f>
        <v>7043798</v>
      </c>
      <c r="J19" s="1103">
        <v>1761700</v>
      </c>
      <c r="K19" s="1103">
        <v>5282098</v>
      </c>
      <c r="L19" s="1103"/>
      <c r="M19" s="1103"/>
      <c r="N19" s="1103"/>
      <c r="O19" s="1103"/>
      <c r="P19" s="1103"/>
      <c r="Q19" s="1103"/>
      <c r="R19" s="1103"/>
      <c r="S19" s="1103"/>
      <c r="T19" s="1103"/>
      <c r="U19" s="1103"/>
      <c r="V19" s="1103"/>
      <c r="W19" s="1104">
        <f aca="true" t="shared" si="6" ref="W19:W26">X19+Y19+Z19</f>
        <v>7001542.61</v>
      </c>
      <c r="X19" s="1105">
        <v>1750385.66</v>
      </c>
      <c r="Y19" s="1105">
        <v>5251156.95</v>
      </c>
      <c r="Z19" s="1105"/>
      <c r="AA19" s="987">
        <f t="shared" si="2"/>
        <v>0.9940010502856556</v>
      </c>
      <c r="AC19" s="1060" t="b">
        <f t="shared" si="3"/>
        <v>1</v>
      </c>
    </row>
    <row r="20" spans="1:29" s="36" customFormat="1" ht="31.5" customHeight="1">
      <c r="A20" s="18"/>
      <c r="B20" s="602"/>
      <c r="C20" s="680" t="s">
        <v>1207</v>
      </c>
      <c r="D20" s="1099" t="s">
        <v>377</v>
      </c>
      <c r="E20" s="1100" t="s">
        <v>371</v>
      </c>
      <c r="F20" s="1101" t="s">
        <v>372</v>
      </c>
      <c r="G20" s="1102">
        <v>20238700</v>
      </c>
      <c r="H20" s="1102">
        <v>499806</v>
      </c>
      <c r="I20" s="1102">
        <f t="shared" si="5"/>
        <v>19566330</v>
      </c>
      <c r="J20" s="1103">
        <v>4897000</v>
      </c>
      <c r="K20" s="1103">
        <v>14669330</v>
      </c>
      <c r="L20" s="1103"/>
      <c r="M20" s="1103"/>
      <c r="N20" s="1103"/>
      <c r="O20" s="1103"/>
      <c r="P20" s="1103"/>
      <c r="Q20" s="1103"/>
      <c r="R20" s="1103"/>
      <c r="S20" s="1103"/>
      <c r="T20" s="1103"/>
      <c r="U20" s="1103"/>
      <c r="V20" s="1103"/>
      <c r="W20" s="1104">
        <f t="shared" si="6"/>
        <v>19559105.939999998</v>
      </c>
      <c r="X20" s="1105">
        <v>4889776.49</v>
      </c>
      <c r="Y20" s="1105">
        <v>14669329.45</v>
      </c>
      <c r="Z20" s="1105"/>
      <c r="AA20" s="987">
        <f t="shared" si="2"/>
        <v>0.9996307912623368</v>
      </c>
      <c r="AC20" s="1060" t="b">
        <f t="shared" si="3"/>
        <v>1</v>
      </c>
    </row>
    <row r="21" spans="1:29" s="36" customFormat="1" ht="30.75" customHeight="1">
      <c r="A21" s="18"/>
      <c r="B21" s="602"/>
      <c r="C21" s="680" t="s">
        <v>1208</v>
      </c>
      <c r="D21" s="1099" t="s">
        <v>378</v>
      </c>
      <c r="E21" s="1100" t="s">
        <v>371</v>
      </c>
      <c r="F21" s="1101" t="s">
        <v>372</v>
      </c>
      <c r="G21" s="1102">
        <v>5513667</v>
      </c>
      <c r="H21" s="1102">
        <v>59474</v>
      </c>
      <c r="I21" s="1102">
        <f t="shared" si="5"/>
        <v>5312079</v>
      </c>
      <c r="J21" s="1103">
        <v>1328020</v>
      </c>
      <c r="K21" s="1103">
        <v>3984059</v>
      </c>
      <c r="L21" s="1103"/>
      <c r="M21" s="1103"/>
      <c r="N21" s="1103"/>
      <c r="O21" s="1103"/>
      <c r="P21" s="1103"/>
      <c r="Q21" s="1103"/>
      <c r="R21" s="1103"/>
      <c r="S21" s="1103"/>
      <c r="T21" s="1103"/>
      <c r="U21" s="1103"/>
      <c r="V21" s="1103"/>
      <c r="W21" s="1104">
        <f t="shared" si="6"/>
        <v>5307809.06</v>
      </c>
      <c r="X21" s="1105">
        <v>1326952.28</v>
      </c>
      <c r="Y21" s="1105">
        <v>3980856.78</v>
      </c>
      <c r="Z21" s="1105"/>
      <c r="AA21" s="987">
        <f t="shared" si="2"/>
        <v>0.9991961828880933</v>
      </c>
      <c r="AC21" s="1060" t="b">
        <f t="shared" si="3"/>
        <v>1</v>
      </c>
    </row>
    <row r="22" spans="1:29" s="36" customFormat="1" ht="33.75" customHeight="1">
      <c r="A22" s="18"/>
      <c r="B22" s="602"/>
      <c r="C22" s="681" t="s">
        <v>1209</v>
      </c>
      <c r="D22" s="1099" t="s">
        <v>379</v>
      </c>
      <c r="E22" s="1106" t="s">
        <v>371</v>
      </c>
      <c r="F22" s="1096" t="s">
        <v>372</v>
      </c>
      <c r="G22" s="1102">
        <v>3862133</v>
      </c>
      <c r="H22" s="1102">
        <v>47742</v>
      </c>
      <c r="I22" s="1102">
        <f t="shared" si="5"/>
        <v>3711221</v>
      </c>
      <c r="J22" s="1103">
        <v>931700</v>
      </c>
      <c r="K22" s="1103">
        <v>2779521</v>
      </c>
      <c r="L22" s="1103"/>
      <c r="M22" s="1103"/>
      <c r="N22" s="1103"/>
      <c r="O22" s="1103"/>
      <c r="P22" s="1103"/>
      <c r="Q22" s="1103"/>
      <c r="R22" s="1103"/>
      <c r="S22" s="1103"/>
      <c r="T22" s="1103"/>
      <c r="U22" s="1103"/>
      <c r="V22" s="1103"/>
      <c r="W22" s="1104">
        <f t="shared" si="6"/>
        <v>3693828.3200000003</v>
      </c>
      <c r="X22" s="1105">
        <v>923457.08</v>
      </c>
      <c r="Y22" s="1105">
        <v>2770371.24</v>
      </c>
      <c r="Z22" s="1105"/>
      <c r="AA22" s="987">
        <f t="shared" si="2"/>
        <v>0.9953134884718534</v>
      </c>
      <c r="AC22" s="1060" t="b">
        <f t="shared" si="3"/>
        <v>1</v>
      </c>
    </row>
    <row r="23" spans="1:29" s="36" customFormat="1" ht="33.75" customHeight="1">
      <c r="A23" s="18"/>
      <c r="B23" s="602"/>
      <c r="C23" s="681" t="s">
        <v>1201</v>
      </c>
      <c r="D23" s="1107" t="s">
        <v>374</v>
      </c>
      <c r="E23" s="520" t="s">
        <v>371</v>
      </c>
      <c r="F23" s="1108" t="s">
        <v>372</v>
      </c>
      <c r="G23" s="1102">
        <v>18602284</v>
      </c>
      <c r="H23" s="1102">
        <v>4700049</v>
      </c>
      <c r="I23" s="1102">
        <f t="shared" si="5"/>
        <v>13165000</v>
      </c>
      <c r="J23" s="1103">
        <v>4870000</v>
      </c>
      <c r="K23" s="1103">
        <v>8295000</v>
      </c>
      <c r="L23" s="1103"/>
      <c r="M23" s="1103"/>
      <c r="N23" s="1103"/>
      <c r="O23" s="1103"/>
      <c r="P23" s="1103"/>
      <c r="Q23" s="1103"/>
      <c r="R23" s="1103"/>
      <c r="S23" s="1103"/>
      <c r="T23" s="1103"/>
      <c r="U23" s="1103"/>
      <c r="V23" s="1103"/>
      <c r="W23" s="1104">
        <f t="shared" si="6"/>
        <v>12761755.78</v>
      </c>
      <c r="X23" s="1105">
        <v>4855922.51</v>
      </c>
      <c r="Y23" s="1105">
        <v>7905833.27</v>
      </c>
      <c r="Z23" s="1105"/>
      <c r="AA23" s="987">
        <f t="shared" si="2"/>
        <v>0.9693699794910747</v>
      </c>
      <c r="AC23" s="1060" t="b">
        <f t="shared" si="3"/>
        <v>1</v>
      </c>
    </row>
    <row r="24" spans="1:29" s="36" customFormat="1" ht="45" customHeight="1">
      <c r="A24" s="18"/>
      <c r="B24" s="602"/>
      <c r="C24" s="840" t="s">
        <v>1212</v>
      </c>
      <c r="D24" s="1099" t="s">
        <v>378</v>
      </c>
      <c r="E24" s="1100" t="s">
        <v>371</v>
      </c>
      <c r="F24" s="1101" t="s">
        <v>372</v>
      </c>
      <c r="G24" s="1102">
        <v>5513667</v>
      </c>
      <c r="H24" s="1102">
        <v>59474</v>
      </c>
      <c r="I24" s="1102">
        <f t="shared" si="5"/>
        <v>1221785</v>
      </c>
      <c r="J24" s="1103">
        <v>305447</v>
      </c>
      <c r="K24" s="1103">
        <v>916338</v>
      </c>
      <c r="L24" s="1103"/>
      <c r="M24" s="1103"/>
      <c r="N24" s="1103">
        <v>1066399</v>
      </c>
      <c r="O24" s="1103">
        <v>3199201</v>
      </c>
      <c r="P24" s="1103"/>
      <c r="Q24" s="1103"/>
      <c r="R24" s="1103"/>
      <c r="S24" s="1103"/>
      <c r="T24" s="1103"/>
      <c r="U24" s="1103"/>
      <c r="V24" s="1103"/>
      <c r="W24" s="1104">
        <f t="shared" si="6"/>
        <v>1218859.71</v>
      </c>
      <c r="X24" s="1105">
        <v>304714.93</v>
      </c>
      <c r="Y24" s="1105">
        <v>914144.78</v>
      </c>
      <c r="Z24" s="1105"/>
      <c r="AA24" s="987">
        <f t="shared" si="2"/>
        <v>0.9976057244114144</v>
      </c>
      <c r="AC24" s="1060" t="b">
        <f t="shared" si="3"/>
        <v>1</v>
      </c>
    </row>
    <row r="25" spans="1:29" s="36" customFormat="1" ht="45" customHeight="1">
      <c r="A25" s="18"/>
      <c r="B25" s="602"/>
      <c r="C25" s="680" t="s">
        <v>380</v>
      </c>
      <c r="D25" s="1099" t="s">
        <v>379</v>
      </c>
      <c r="E25" s="1106" t="s">
        <v>371</v>
      </c>
      <c r="F25" s="1096" t="s">
        <v>372</v>
      </c>
      <c r="G25" s="1102">
        <v>3862133</v>
      </c>
      <c r="H25" s="1102">
        <v>47742</v>
      </c>
      <c r="I25" s="1102">
        <f t="shared" si="5"/>
        <v>642200</v>
      </c>
      <c r="J25" s="1103">
        <v>160550</v>
      </c>
      <c r="K25" s="1103">
        <v>481650</v>
      </c>
      <c r="L25" s="1103"/>
      <c r="M25" s="1103"/>
      <c r="N25" s="1103">
        <v>1163252</v>
      </c>
      <c r="O25" s="1103">
        <v>3489755</v>
      </c>
      <c r="P25" s="1103"/>
      <c r="Q25" s="1103"/>
      <c r="R25" s="1103"/>
      <c r="S25" s="1103"/>
      <c r="T25" s="1103"/>
      <c r="U25" s="1103"/>
      <c r="V25" s="1103"/>
      <c r="W25" s="1104">
        <f t="shared" si="6"/>
        <v>642191.4</v>
      </c>
      <c r="X25" s="1105">
        <v>160547.85</v>
      </c>
      <c r="Y25" s="1105">
        <v>481643.55</v>
      </c>
      <c r="Z25" s="1105"/>
      <c r="AA25" s="987">
        <f t="shared" si="2"/>
        <v>0.9999866085331672</v>
      </c>
      <c r="AC25" s="1060" t="b">
        <f t="shared" si="3"/>
        <v>1</v>
      </c>
    </row>
    <row r="26" spans="1:29" s="36" customFormat="1" ht="53.25" customHeight="1">
      <c r="A26" s="18"/>
      <c r="B26" s="602"/>
      <c r="C26" s="680" t="s">
        <v>381</v>
      </c>
      <c r="D26" s="1107" t="s">
        <v>374</v>
      </c>
      <c r="E26" s="520" t="s">
        <v>371</v>
      </c>
      <c r="F26" s="1108" t="s">
        <v>372</v>
      </c>
      <c r="G26" s="1102">
        <v>18602284</v>
      </c>
      <c r="H26" s="1102">
        <v>4700049</v>
      </c>
      <c r="I26" s="1102">
        <f t="shared" si="5"/>
        <v>964600</v>
      </c>
      <c r="J26" s="1103">
        <v>241200</v>
      </c>
      <c r="K26" s="1103">
        <v>723400</v>
      </c>
      <c r="L26" s="1103"/>
      <c r="M26" s="1103"/>
      <c r="N26" s="1103">
        <v>1458949</v>
      </c>
      <c r="O26" s="1103">
        <v>4376847</v>
      </c>
      <c r="P26" s="1103"/>
      <c r="Q26" s="1103"/>
      <c r="R26" s="1103"/>
      <c r="S26" s="1103"/>
      <c r="T26" s="1103"/>
      <c r="U26" s="1103"/>
      <c r="V26" s="1103"/>
      <c r="W26" s="1104">
        <f t="shared" si="6"/>
        <v>293689.46</v>
      </c>
      <c r="X26" s="1105">
        <v>73422.36</v>
      </c>
      <c r="Y26" s="1105">
        <v>220267.1</v>
      </c>
      <c r="Z26" s="1105"/>
      <c r="AA26" s="987">
        <f t="shared" si="2"/>
        <v>0.30446761351855695</v>
      </c>
      <c r="AC26" s="1060" t="b">
        <f t="shared" si="3"/>
        <v>1</v>
      </c>
    </row>
    <row r="27" spans="1:29" ht="24" customHeight="1" thickBot="1">
      <c r="A27" s="1109">
        <v>630</v>
      </c>
      <c r="B27" s="1110"/>
      <c r="C27" s="1111" t="s">
        <v>25</v>
      </c>
      <c r="D27" s="1111"/>
      <c r="E27" s="1111"/>
      <c r="F27" s="1112"/>
      <c r="G27" s="1113">
        <f>G28</f>
        <v>727645</v>
      </c>
      <c r="H27" s="1113">
        <f>H28</f>
        <v>49182</v>
      </c>
      <c r="I27" s="1113">
        <f t="shared" si="5"/>
        <v>678463</v>
      </c>
      <c r="J27" s="1113">
        <f>J28</f>
        <v>169616</v>
      </c>
      <c r="K27" s="1113">
        <f>K28</f>
        <v>508847</v>
      </c>
      <c r="L27" s="1113"/>
      <c r="M27" s="1113"/>
      <c r="N27" s="1113"/>
      <c r="O27" s="1113"/>
      <c r="P27" s="1113"/>
      <c r="Q27" s="1114"/>
      <c r="R27" s="1114"/>
      <c r="S27" s="1114"/>
      <c r="T27" s="1113"/>
      <c r="U27" s="1113"/>
      <c r="V27" s="1113"/>
      <c r="W27" s="1115">
        <f>X27+Y27</f>
        <v>544728.12</v>
      </c>
      <c r="X27" s="1115">
        <f>X28</f>
        <v>136181.99</v>
      </c>
      <c r="Y27" s="1115">
        <f>Y28</f>
        <v>408546.13</v>
      </c>
      <c r="Z27" s="1115"/>
      <c r="AA27" s="1116">
        <f t="shared" si="2"/>
        <v>0.8028855221286938</v>
      </c>
      <c r="AC27" s="1060" t="b">
        <f t="shared" si="3"/>
        <v>1</v>
      </c>
    </row>
    <row r="28" spans="1:29" s="36" customFormat="1" ht="34.5" customHeight="1">
      <c r="A28" s="18"/>
      <c r="B28" s="886">
        <v>63003</v>
      </c>
      <c r="C28" s="501" t="s">
        <v>26</v>
      </c>
      <c r="D28" s="501"/>
      <c r="E28" s="501"/>
      <c r="F28" s="1076"/>
      <c r="G28" s="1077">
        <f>G29</f>
        <v>727645</v>
      </c>
      <c r="H28" s="1077">
        <f>H29</f>
        <v>49182</v>
      </c>
      <c r="I28" s="1077">
        <f t="shared" si="5"/>
        <v>678463</v>
      </c>
      <c r="J28" s="1077">
        <f>J29</f>
        <v>169616</v>
      </c>
      <c r="K28" s="1077">
        <f>K29</f>
        <v>508847</v>
      </c>
      <c r="L28" s="1077"/>
      <c r="M28" s="1077"/>
      <c r="N28" s="1077"/>
      <c r="O28" s="1077"/>
      <c r="P28" s="1077"/>
      <c r="Q28" s="514"/>
      <c r="R28" s="514"/>
      <c r="S28" s="514"/>
      <c r="T28" s="1077"/>
      <c r="U28" s="1077"/>
      <c r="V28" s="1077"/>
      <c r="W28" s="1078">
        <f>X28+Y28</f>
        <v>544728.12</v>
      </c>
      <c r="X28" s="1078">
        <f>X29</f>
        <v>136181.99</v>
      </c>
      <c r="Y28" s="1078">
        <f>Y29</f>
        <v>408546.13</v>
      </c>
      <c r="Z28" s="1078"/>
      <c r="AA28" s="1079">
        <f t="shared" si="2"/>
        <v>0.8028855221286938</v>
      </c>
      <c r="AC28" s="1060" t="b">
        <f t="shared" si="3"/>
        <v>1</v>
      </c>
    </row>
    <row r="29" spans="1:29" ht="33.75" customHeight="1">
      <c r="A29" s="1117"/>
      <c r="B29" s="695"/>
      <c r="C29" s="868" t="s">
        <v>163</v>
      </c>
      <c r="D29" s="1118" t="s">
        <v>370</v>
      </c>
      <c r="E29" s="868" t="s">
        <v>371</v>
      </c>
      <c r="F29" s="1119" t="s">
        <v>372</v>
      </c>
      <c r="G29" s="1120">
        <v>727645</v>
      </c>
      <c r="H29" s="1120">
        <v>49182</v>
      </c>
      <c r="I29" s="1120">
        <f t="shared" si="5"/>
        <v>678463</v>
      </c>
      <c r="J29" s="521">
        <v>169616</v>
      </c>
      <c r="K29" s="521">
        <v>508847</v>
      </c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1121">
        <f>X29+Y29</f>
        <v>544728.12</v>
      </c>
      <c r="X29" s="522">
        <v>136181.99</v>
      </c>
      <c r="Y29" s="522">
        <v>408546.13</v>
      </c>
      <c r="Z29" s="522"/>
      <c r="AA29" s="951">
        <f t="shared" si="2"/>
        <v>0.8028855221286938</v>
      </c>
      <c r="AC29" s="1060" t="b">
        <f t="shared" si="3"/>
        <v>1</v>
      </c>
    </row>
    <row r="30" spans="1:29" ht="24.75" customHeight="1" thickBot="1">
      <c r="A30" s="1109">
        <v>750</v>
      </c>
      <c r="B30" s="1110"/>
      <c r="C30" s="1111" t="s">
        <v>382</v>
      </c>
      <c r="D30" s="1111"/>
      <c r="E30" s="1111"/>
      <c r="F30" s="1112"/>
      <c r="G30" s="1113">
        <f>G31</f>
        <v>2406205</v>
      </c>
      <c r="H30" s="1113">
        <f>H31</f>
        <v>195150</v>
      </c>
      <c r="I30" s="1113">
        <f t="shared" si="5"/>
        <v>3251710</v>
      </c>
      <c r="J30" s="1113">
        <f aca="true" t="shared" si="7" ref="J30:S30">J31+J34</f>
        <v>1862315</v>
      </c>
      <c r="K30" s="1113">
        <f t="shared" si="7"/>
        <v>1283420</v>
      </c>
      <c r="L30" s="1113">
        <f t="shared" si="7"/>
        <v>105975</v>
      </c>
      <c r="M30" s="1113">
        <f t="shared" si="7"/>
        <v>0</v>
      </c>
      <c r="N30" s="1113">
        <f t="shared" si="7"/>
        <v>352094</v>
      </c>
      <c r="O30" s="1113">
        <f t="shared" si="7"/>
        <v>1412607</v>
      </c>
      <c r="P30" s="1113">
        <f t="shared" si="7"/>
        <v>118775</v>
      </c>
      <c r="Q30" s="1113">
        <f t="shared" si="7"/>
        <v>0</v>
      </c>
      <c r="R30" s="1113">
        <f t="shared" si="7"/>
        <v>0</v>
      </c>
      <c r="S30" s="1113">
        <f t="shared" si="7"/>
        <v>0</v>
      </c>
      <c r="T30" s="1113"/>
      <c r="U30" s="1113"/>
      <c r="V30" s="1113"/>
      <c r="W30" s="1115">
        <f>X30+Y30+Z30</f>
        <v>2454985.3100000005</v>
      </c>
      <c r="X30" s="1115">
        <f>X31+X34</f>
        <v>1850967.6800000002</v>
      </c>
      <c r="Y30" s="1115">
        <f>Y31+Y34</f>
        <v>589037.4700000001</v>
      </c>
      <c r="Z30" s="1115">
        <f>Z31+Z34</f>
        <v>14980.16</v>
      </c>
      <c r="AA30" s="1116">
        <f t="shared" si="2"/>
        <v>0.7549828582499671</v>
      </c>
      <c r="AC30" s="1060" t="b">
        <f t="shared" si="3"/>
        <v>1</v>
      </c>
    </row>
    <row r="31" spans="1:29" s="36" customFormat="1" ht="25.5" customHeight="1">
      <c r="A31" s="18"/>
      <c r="B31" s="886">
        <v>75023</v>
      </c>
      <c r="C31" s="501" t="s">
        <v>189</v>
      </c>
      <c r="D31" s="501"/>
      <c r="E31" s="501"/>
      <c r="F31" s="1076"/>
      <c r="G31" s="1077">
        <f>G32</f>
        <v>2406205</v>
      </c>
      <c r="H31" s="1077">
        <f>H32</f>
        <v>195150</v>
      </c>
      <c r="I31" s="1077">
        <f t="shared" si="5"/>
        <v>2827810</v>
      </c>
      <c r="J31" s="1077">
        <f>J32+J33</f>
        <v>1862315</v>
      </c>
      <c r="K31" s="1077">
        <f>K32+K33</f>
        <v>965495</v>
      </c>
      <c r="L31" s="1077"/>
      <c r="M31" s="1077">
        <f>M32+M33</f>
        <v>0</v>
      </c>
      <c r="N31" s="1077">
        <f>N32+N33</f>
        <v>352094</v>
      </c>
      <c r="O31" s="1077">
        <f>O32+O33</f>
        <v>1056282</v>
      </c>
      <c r="P31" s="1077"/>
      <c r="Q31" s="514"/>
      <c r="R31" s="514"/>
      <c r="S31" s="514"/>
      <c r="T31" s="1077"/>
      <c r="U31" s="1077"/>
      <c r="V31" s="1077"/>
      <c r="W31" s="1078">
        <f>X31+Y31</f>
        <v>2395064.6</v>
      </c>
      <c r="X31" s="1078">
        <f>X32+X33</f>
        <v>1850967.6800000002</v>
      </c>
      <c r="Y31" s="1078">
        <f>Y32</f>
        <v>544096.92</v>
      </c>
      <c r="Z31" s="1078"/>
      <c r="AA31" s="1079">
        <f t="shared" si="2"/>
        <v>0.8469680070443205</v>
      </c>
      <c r="AC31" s="1060" t="b">
        <f t="shared" si="3"/>
        <v>1</v>
      </c>
    </row>
    <row r="32" spans="1:29" ht="56.25" customHeight="1">
      <c r="A32" s="108"/>
      <c r="B32" s="602"/>
      <c r="C32" s="1082" t="s">
        <v>383</v>
      </c>
      <c r="D32" s="1122" t="s">
        <v>384</v>
      </c>
      <c r="E32" s="1082" t="s">
        <v>371</v>
      </c>
      <c r="F32" s="1083" t="s">
        <v>385</v>
      </c>
      <c r="G32" s="1084">
        <v>2406205</v>
      </c>
      <c r="H32" s="1084">
        <v>195150</v>
      </c>
      <c r="I32" s="1084">
        <f t="shared" si="5"/>
        <v>802679</v>
      </c>
      <c r="J32" s="1085">
        <v>200669</v>
      </c>
      <c r="K32" s="1085">
        <v>602010</v>
      </c>
      <c r="L32" s="1085"/>
      <c r="M32" s="1085"/>
      <c r="N32" s="1085">
        <v>352094</v>
      </c>
      <c r="O32" s="1085">
        <v>1056282</v>
      </c>
      <c r="P32" s="1085"/>
      <c r="Q32" s="1085"/>
      <c r="R32" s="1085"/>
      <c r="S32" s="1085"/>
      <c r="T32" s="1085"/>
      <c r="U32" s="1085"/>
      <c r="V32" s="1085"/>
      <c r="W32" s="1086">
        <f>X32+Y32</f>
        <v>733418.48</v>
      </c>
      <c r="X32" s="1087">
        <f>111391.56+77930</f>
        <v>189321.56</v>
      </c>
      <c r="Y32" s="1087">
        <f>358247+185849.92</f>
        <v>544096.92</v>
      </c>
      <c r="Z32" s="1087"/>
      <c r="AA32" s="1088">
        <f t="shared" si="2"/>
        <v>0.9137133025779919</v>
      </c>
      <c r="AC32" s="1060" t="b">
        <f t="shared" si="3"/>
        <v>1</v>
      </c>
    </row>
    <row r="33" spans="1:29" ht="43.5" customHeight="1">
      <c r="A33" s="108"/>
      <c r="B33" s="602"/>
      <c r="C33" s="868" t="s">
        <v>386</v>
      </c>
      <c r="D33" s="1081" t="s">
        <v>370</v>
      </c>
      <c r="E33" s="1082" t="s">
        <v>371</v>
      </c>
      <c r="F33" s="1083" t="s">
        <v>372</v>
      </c>
      <c r="G33" s="1084">
        <v>727645</v>
      </c>
      <c r="H33" s="1084">
        <v>49182</v>
      </c>
      <c r="I33" s="1120">
        <f t="shared" si="5"/>
        <v>2025131</v>
      </c>
      <c r="J33" s="521">
        <v>1661646</v>
      </c>
      <c r="K33" s="521">
        <v>363485</v>
      </c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1121">
        <f>X33</f>
        <v>1661646.12</v>
      </c>
      <c r="X33" s="522">
        <f>511091.12+1150555</f>
        <v>1661646.12</v>
      </c>
      <c r="Y33" s="522"/>
      <c r="Z33" s="522"/>
      <c r="AA33" s="951">
        <f t="shared" si="2"/>
        <v>0.8205129050910781</v>
      </c>
      <c r="AC33" s="1060" t="b">
        <f t="shared" si="3"/>
        <v>1</v>
      </c>
    </row>
    <row r="34" spans="1:29" s="36" customFormat="1" ht="30">
      <c r="A34" s="18"/>
      <c r="B34" s="851">
        <v>75075</v>
      </c>
      <c r="C34" s="501" t="s">
        <v>195</v>
      </c>
      <c r="D34" s="501"/>
      <c r="E34" s="501"/>
      <c r="F34" s="1076"/>
      <c r="G34" s="1077">
        <f>G35</f>
        <v>339052</v>
      </c>
      <c r="H34" s="1077">
        <f>H35</f>
        <v>21127</v>
      </c>
      <c r="I34" s="1077">
        <f t="shared" si="5"/>
        <v>423900</v>
      </c>
      <c r="J34" s="1077"/>
      <c r="K34" s="1077">
        <f>K35</f>
        <v>317925</v>
      </c>
      <c r="L34" s="1077">
        <f>L35</f>
        <v>105975</v>
      </c>
      <c r="M34" s="1077">
        <f>M35</f>
        <v>0</v>
      </c>
      <c r="N34" s="1077"/>
      <c r="O34" s="1077">
        <f>O35</f>
        <v>356325</v>
      </c>
      <c r="P34" s="1077">
        <f>P35</f>
        <v>118775</v>
      </c>
      <c r="Q34" s="1077">
        <f>Q35</f>
        <v>0</v>
      </c>
      <c r="R34" s="1077">
        <f>R35</f>
        <v>0</v>
      </c>
      <c r="S34" s="1077">
        <f>S35</f>
        <v>0</v>
      </c>
      <c r="T34" s="1077"/>
      <c r="U34" s="1077"/>
      <c r="V34" s="1077"/>
      <c r="W34" s="1078">
        <f>X34+Y34+Z34</f>
        <v>59920.70999999999</v>
      </c>
      <c r="X34" s="1078"/>
      <c r="Y34" s="1078">
        <f>Y35</f>
        <v>44940.549999999996</v>
      </c>
      <c r="Z34" s="1078">
        <f>Z35</f>
        <v>14980.16</v>
      </c>
      <c r="AA34" s="1079">
        <f t="shared" si="2"/>
        <v>0.1413557678697806</v>
      </c>
      <c r="AC34" s="1060" t="b">
        <f t="shared" si="3"/>
        <v>1</v>
      </c>
    </row>
    <row r="35" spans="1:29" ht="32.25" customHeight="1">
      <c r="A35" s="108"/>
      <c r="B35" s="639"/>
      <c r="C35" s="507" t="s">
        <v>197</v>
      </c>
      <c r="D35" s="1123" t="s">
        <v>387</v>
      </c>
      <c r="E35" s="859" t="s">
        <v>388</v>
      </c>
      <c r="F35" s="1124" t="s">
        <v>372</v>
      </c>
      <c r="G35" s="1125">
        <f>H35+K35</f>
        <v>339052</v>
      </c>
      <c r="H35" s="1125">
        <f>10583+10544</f>
        <v>21127</v>
      </c>
      <c r="I35" s="1125">
        <f t="shared" si="5"/>
        <v>423900</v>
      </c>
      <c r="J35" s="705"/>
      <c r="K35" s="705">
        <v>317925</v>
      </c>
      <c r="L35" s="705">
        <v>105975</v>
      </c>
      <c r="M35" s="705"/>
      <c r="N35" s="705"/>
      <c r="O35" s="705">
        <v>356325</v>
      </c>
      <c r="P35" s="705">
        <v>118775</v>
      </c>
      <c r="Q35" s="705"/>
      <c r="R35" s="705"/>
      <c r="S35" s="705"/>
      <c r="T35" s="705"/>
      <c r="U35" s="705"/>
      <c r="V35" s="705"/>
      <c r="W35" s="1126">
        <f>X35+Y35+Z35</f>
        <v>59920.70999999999</v>
      </c>
      <c r="X35" s="708"/>
      <c r="Y35" s="708">
        <f>6431.53+38509.02</f>
        <v>44940.549999999996</v>
      </c>
      <c r="Z35" s="708">
        <f>2143.85+12836.31</f>
        <v>14980.16</v>
      </c>
      <c r="AA35" s="986">
        <f t="shared" si="2"/>
        <v>0.1413557678697806</v>
      </c>
      <c r="AC35" s="1060" t="b">
        <f t="shared" si="3"/>
        <v>1</v>
      </c>
    </row>
    <row r="36" spans="1:29" ht="30.75" customHeight="1" thickBot="1">
      <c r="A36" s="1109">
        <v>754</v>
      </c>
      <c r="B36" s="1110"/>
      <c r="C36" s="1127" t="s">
        <v>389</v>
      </c>
      <c r="D36" s="1111"/>
      <c r="E36" s="1111"/>
      <c r="F36" s="1112"/>
      <c r="G36" s="1113">
        <f>G37</f>
        <v>727645</v>
      </c>
      <c r="H36" s="1113">
        <f>H37</f>
        <v>49182</v>
      </c>
      <c r="I36" s="1113">
        <f t="shared" si="5"/>
        <v>125328</v>
      </c>
      <c r="J36" s="1113">
        <f>J37</f>
        <v>18000</v>
      </c>
      <c r="K36" s="1113"/>
      <c r="L36" s="1113">
        <f aca="true" t="shared" si="8" ref="L36:N37">L37</f>
        <v>107328</v>
      </c>
      <c r="M36" s="1113">
        <f t="shared" si="8"/>
        <v>0</v>
      </c>
      <c r="N36" s="1113">
        <f t="shared" si="8"/>
        <v>7740</v>
      </c>
      <c r="O36" s="1113"/>
      <c r="P36" s="1113">
        <f>P37</f>
        <v>126932</v>
      </c>
      <c r="Q36" s="1114"/>
      <c r="R36" s="1114"/>
      <c r="S36" s="1114"/>
      <c r="T36" s="1113"/>
      <c r="U36" s="1113"/>
      <c r="V36" s="1113"/>
      <c r="W36" s="1115">
        <f>X36+Z36</f>
        <v>110151</v>
      </c>
      <c r="X36" s="1115">
        <f>X37</f>
        <v>18000</v>
      </c>
      <c r="Y36" s="1115"/>
      <c r="Z36" s="1115">
        <f>Z37</f>
        <v>92151</v>
      </c>
      <c r="AA36" s="1116">
        <f t="shared" si="2"/>
        <v>0.8789017617770969</v>
      </c>
      <c r="AC36" s="1060" t="b">
        <f t="shared" si="3"/>
        <v>1</v>
      </c>
    </row>
    <row r="37" spans="1:29" s="36" customFormat="1" ht="23.25" customHeight="1">
      <c r="A37" s="18"/>
      <c r="B37" s="886">
        <v>75495</v>
      </c>
      <c r="C37" s="1128" t="s">
        <v>13</v>
      </c>
      <c r="D37" s="501"/>
      <c r="E37" s="501"/>
      <c r="F37" s="1076"/>
      <c r="G37" s="1077">
        <f>G38</f>
        <v>727645</v>
      </c>
      <c r="H37" s="1077">
        <f>H38</f>
        <v>49182</v>
      </c>
      <c r="I37" s="1077">
        <f t="shared" si="5"/>
        <v>125328</v>
      </c>
      <c r="J37" s="1077">
        <f>J38</f>
        <v>18000</v>
      </c>
      <c r="K37" s="1077"/>
      <c r="L37" s="1077">
        <f t="shared" si="8"/>
        <v>107328</v>
      </c>
      <c r="M37" s="1077">
        <f t="shared" si="8"/>
        <v>0</v>
      </c>
      <c r="N37" s="1077">
        <f t="shared" si="8"/>
        <v>7740</v>
      </c>
      <c r="O37" s="1077"/>
      <c r="P37" s="1077">
        <f>P38</f>
        <v>126932</v>
      </c>
      <c r="Q37" s="514"/>
      <c r="R37" s="514"/>
      <c r="S37" s="514"/>
      <c r="T37" s="1077"/>
      <c r="U37" s="1077"/>
      <c r="V37" s="1077"/>
      <c r="W37" s="1078">
        <f>X37+Z37</f>
        <v>110151</v>
      </c>
      <c r="X37" s="1078">
        <f>X38</f>
        <v>18000</v>
      </c>
      <c r="Y37" s="1078"/>
      <c r="Z37" s="1078">
        <f>Z38</f>
        <v>92151</v>
      </c>
      <c r="AA37" s="1079">
        <f t="shared" si="2"/>
        <v>0.8789017617770969</v>
      </c>
      <c r="AC37" s="1060" t="b">
        <f t="shared" si="3"/>
        <v>1</v>
      </c>
    </row>
    <row r="38" spans="1:29" ht="30" customHeight="1">
      <c r="A38" s="108"/>
      <c r="B38" s="602"/>
      <c r="C38" s="1129" t="s">
        <v>390</v>
      </c>
      <c r="D38" s="1081" t="s">
        <v>370</v>
      </c>
      <c r="E38" s="1082" t="s">
        <v>371</v>
      </c>
      <c r="F38" s="1083" t="s">
        <v>372</v>
      </c>
      <c r="G38" s="1084">
        <v>727645</v>
      </c>
      <c r="H38" s="1084">
        <v>49182</v>
      </c>
      <c r="I38" s="1084">
        <f t="shared" si="5"/>
        <v>125328</v>
      </c>
      <c r="J38" s="1085">
        <v>18000</v>
      </c>
      <c r="K38" s="1085"/>
      <c r="L38" s="1085">
        <v>107328</v>
      </c>
      <c r="M38" s="1085"/>
      <c r="N38" s="1085">
        <v>7740</v>
      </c>
      <c r="O38" s="1085"/>
      <c r="P38" s="1085">
        <v>126932</v>
      </c>
      <c r="Q38" s="1085"/>
      <c r="R38" s="1085"/>
      <c r="S38" s="1085"/>
      <c r="T38" s="1085"/>
      <c r="U38" s="1085"/>
      <c r="V38" s="1085"/>
      <c r="W38" s="1086">
        <f>X38+Z38</f>
        <v>110151</v>
      </c>
      <c r="X38" s="1087">
        <v>18000</v>
      </c>
      <c r="Y38" s="1087"/>
      <c r="Z38" s="1087">
        <f>110151-X38</f>
        <v>92151</v>
      </c>
      <c r="AA38" s="1088">
        <f t="shared" si="2"/>
        <v>0.8789017617770969</v>
      </c>
      <c r="AC38" s="1060" t="b">
        <f t="shared" si="3"/>
        <v>1</v>
      </c>
    </row>
    <row r="39" spans="1:29" ht="21.75" customHeight="1" thickBot="1">
      <c r="A39" s="1109">
        <v>758</v>
      </c>
      <c r="B39" s="1110"/>
      <c r="C39" s="1111" t="s">
        <v>225</v>
      </c>
      <c r="D39" s="1111"/>
      <c r="E39" s="1111"/>
      <c r="F39" s="1112"/>
      <c r="G39" s="1113">
        <f>G40</f>
        <v>555584</v>
      </c>
      <c r="H39" s="1113">
        <f>H40</f>
        <v>91405</v>
      </c>
      <c r="I39" s="1113">
        <f t="shared" si="5"/>
        <v>389214</v>
      </c>
      <c r="J39" s="1113">
        <f aca="true" t="shared" si="9" ref="J39:P39">J40</f>
        <v>91509</v>
      </c>
      <c r="K39" s="1113">
        <f t="shared" si="9"/>
        <v>297107</v>
      </c>
      <c r="L39" s="1113">
        <f t="shared" si="9"/>
        <v>598</v>
      </c>
      <c r="M39" s="1113">
        <f t="shared" si="9"/>
        <v>0</v>
      </c>
      <c r="N39" s="1113">
        <f t="shared" si="9"/>
        <v>40943</v>
      </c>
      <c r="O39" s="1113">
        <f t="shared" si="9"/>
        <v>164242</v>
      </c>
      <c r="P39" s="1113">
        <f t="shared" si="9"/>
        <v>13805</v>
      </c>
      <c r="Q39" s="1114"/>
      <c r="R39" s="1114"/>
      <c r="S39" s="1114"/>
      <c r="T39" s="1113"/>
      <c r="U39" s="1113"/>
      <c r="V39" s="1113"/>
      <c r="W39" s="1115">
        <f aca="true" t="shared" si="10" ref="W39:W64">X39+Y39+Z39</f>
        <v>336665.85</v>
      </c>
      <c r="X39" s="1115">
        <f>X40</f>
        <v>80123.02999999998</v>
      </c>
      <c r="Y39" s="1115">
        <f>Y40</f>
        <v>256012.83000000002</v>
      </c>
      <c r="Z39" s="1115">
        <f>Z40</f>
        <v>529.99</v>
      </c>
      <c r="AA39" s="1116">
        <f t="shared" si="2"/>
        <v>0.864989054864419</v>
      </c>
      <c r="AC39" s="1060" t="b">
        <f t="shared" si="3"/>
        <v>1</v>
      </c>
    </row>
    <row r="40" spans="1:29" s="36" customFormat="1" ht="23.25" customHeight="1">
      <c r="A40" s="18"/>
      <c r="B40" s="886">
        <v>75860</v>
      </c>
      <c r="C40" s="501" t="s">
        <v>233</v>
      </c>
      <c r="D40" s="501"/>
      <c r="E40" s="501"/>
      <c r="F40" s="1076"/>
      <c r="G40" s="1077">
        <f>G41+G42+G43+G44</f>
        <v>555584</v>
      </c>
      <c r="H40" s="1077">
        <f>H42+H41+H43+H44</f>
        <v>91405</v>
      </c>
      <c r="I40" s="1077">
        <f t="shared" si="5"/>
        <v>389214</v>
      </c>
      <c r="J40" s="1077">
        <f aca="true" t="shared" si="11" ref="J40:P40">J42+J41+J43+J44+J45</f>
        <v>91509</v>
      </c>
      <c r="K40" s="1077">
        <f t="shared" si="11"/>
        <v>297107</v>
      </c>
      <c r="L40" s="1077">
        <f t="shared" si="11"/>
        <v>598</v>
      </c>
      <c r="M40" s="1077">
        <f t="shared" si="11"/>
        <v>0</v>
      </c>
      <c r="N40" s="1077">
        <f t="shared" si="11"/>
        <v>40943</v>
      </c>
      <c r="O40" s="1077">
        <f t="shared" si="11"/>
        <v>164242</v>
      </c>
      <c r="P40" s="1077">
        <f t="shared" si="11"/>
        <v>13805</v>
      </c>
      <c r="Q40" s="514"/>
      <c r="R40" s="514"/>
      <c r="S40" s="514"/>
      <c r="T40" s="1077"/>
      <c r="U40" s="1077"/>
      <c r="V40" s="1077"/>
      <c r="W40" s="1078">
        <f t="shared" si="10"/>
        <v>336665.85</v>
      </c>
      <c r="X40" s="1078">
        <f>X42+X41+X43+X44+X45</f>
        <v>80123.02999999998</v>
      </c>
      <c r="Y40" s="1078">
        <f>Y42+Y41+Y43+Y44+Y45</f>
        <v>256012.83000000002</v>
      </c>
      <c r="Z40" s="1078">
        <f>Z45</f>
        <v>529.99</v>
      </c>
      <c r="AA40" s="1079">
        <f t="shared" si="2"/>
        <v>0.864989054864419</v>
      </c>
      <c r="AC40" s="1060" t="b">
        <f t="shared" si="3"/>
        <v>1</v>
      </c>
    </row>
    <row r="41" spans="1:29" ht="48.75" customHeight="1">
      <c r="A41" s="108"/>
      <c r="B41" s="602"/>
      <c r="C41" s="1082" t="s">
        <v>235</v>
      </c>
      <c r="D41" s="1081" t="s">
        <v>391</v>
      </c>
      <c r="E41" s="1082" t="s">
        <v>371</v>
      </c>
      <c r="F41" s="1083" t="s">
        <v>372</v>
      </c>
      <c r="G41" s="1084">
        <v>111471</v>
      </c>
      <c r="H41" s="1084">
        <v>73877</v>
      </c>
      <c r="I41" s="1084">
        <f t="shared" si="5"/>
        <v>37594</v>
      </c>
      <c r="J41" s="1085">
        <v>10596</v>
      </c>
      <c r="K41" s="1085">
        <v>26998</v>
      </c>
      <c r="L41" s="1085"/>
      <c r="M41" s="1085"/>
      <c r="N41" s="1085"/>
      <c r="O41" s="1085"/>
      <c r="P41" s="1085"/>
      <c r="Q41" s="1085"/>
      <c r="R41" s="1085"/>
      <c r="S41" s="1085"/>
      <c r="T41" s="1085"/>
      <c r="U41" s="1085"/>
      <c r="V41" s="1085"/>
      <c r="W41" s="1086">
        <f t="shared" si="10"/>
        <v>37093.92</v>
      </c>
      <c r="X41" s="1087">
        <f>1400+241.22+34.3+5689.4+3181</f>
        <v>10545.92</v>
      </c>
      <c r="Y41" s="1087">
        <v>26548</v>
      </c>
      <c r="Z41" s="1087"/>
      <c r="AA41" s="1088">
        <f t="shared" si="2"/>
        <v>0.986697877320849</v>
      </c>
      <c r="AC41" s="1060" t="b">
        <f t="shared" si="3"/>
        <v>1</v>
      </c>
    </row>
    <row r="42" spans="1:29" ht="32.25" customHeight="1">
      <c r="A42" s="108"/>
      <c r="B42" s="602"/>
      <c r="C42" s="1082" t="s">
        <v>236</v>
      </c>
      <c r="D42" s="1094" t="s">
        <v>392</v>
      </c>
      <c r="E42" s="1082" t="s">
        <v>371</v>
      </c>
      <c r="F42" s="1083" t="s">
        <v>372</v>
      </c>
      <c r="G42" s="1084">
        <v>152528</v>
      </c>
      <c r="H42" s="1084">
        <v>17528</v>
      </c>
      <c r="I42" s="1084">
        <f t="shared" si="5"/>
        <v>135000</v>
      </c>
      <c r="J42" s="1085">
        <v>27356</v>
      </c>
      <c r="K42" s="1085">
        <v>107644</v>
      </c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6">
        <f t="shared" si="10"/>
        <v>111966.20999999999</v>
      </c>
      <c r="X42" s="1087">
        <f>4025+743.19+105.88+13322+4135.8+873.76</f>
        <v>23205.629999999997</v>
      </c>
      <c r="Y42" s="1087">
        <f>14359+73058.99+1342.59</f>
        <v>88760.58</v>
      </c>
      <c r="Z42" s="1087"/>
      <c r="AA42" s="1088">
        <f t="shared" si="2"/>
        <v>0.8293793333333332</v>
      </c>
      <c r="AC42" s="1060" t="b">
        <f t="shared" si="3"/>
        <v>1</v>
      </c>
    </row>
    <row r="43" spans="1:29" ht="48.75" customHeight="1">
      <c r="A43" s="108"/>
      <c r="B43" s="602"/>
      <c r="C43" s="1130" t="s">
        <v>393</v>
      </c>
      <c r="D43" s="1131" t="s">
        <v>394</v>
      </c>
      <c r="E43" s="1130" t="s">
        <v>371</v>
      </c>
      <c r="F43" s="1132" t="s">
        <v>395</v>
      </c>
      <c r="G43" s="1133">
        <v>134885</v>
      </c>
      <c r="H43" s="1133"/>
      <c r="I43" s="1133">
        <f t="shared" si="5"/>
        <v>53945</v>
      </c>
      <c r="J43" s="1103">
        <v>13486</v>
      </c>
      <c r="K43" s="1103">
        <v>40459</v>
      </c>
      <c r="L43" s="1103"/>
      <c r="M43" s="1103"/>
      <c r="N43" s="1103">
        <v>20235</v>
      </c>
      <c r="O43" s="1103">
        <v>60705</v>
      </c>
      <c r="P43" s="1103"/>
      <c r="Q43" s="1103"/>
      <c r="R43" s="1103"/>
      <c r="S43" s="1103"/>
      <c r="T43" s="1103"/>
      <c r="U43" s="1103"/>
      <c r="V43" s="1103"/>
      <c r="W43" s="1086">
        <f t="shared" si="10"/>
        <v>40223.11</v>
      </c>
      <c r="X43" s="1105">
        <f>950+3085.75+845.26+4875+299.76</f>
        <v>10055.77</v>
      </c>
      <c r="Y43" s="1105">
        <f>2850+9257.25+2535.78+14625+899.31</f>
        <v>30167.34</v>
      </c>
      <c r="Z43" s="1105"/>
      <c r="AA43" s="1088">
        <f aca="true" t="shared" si="12" ref="AA43:AA65">W43/I43</f>
        <v>0.7456318472518306</v>
      </c>
      <c r="AC43" s="1060" t="b">
        <f aca="true" t="shared" si="13" ref="AC43:AC74">W43=X43+Y43+Z43</f>
        <v>1</v>
      </c>
    </row>
    <row r="44" spans="1:29" ht="45.75" customHeight="1">
      <c r="A44" s="108"/>
      <c r="B44" s="602"/>
      <c r="C44" s="1082" t="s">
        <v>396</v>
      </c>
      <c r="D44" s="1094" t="s">
        <v>397</v>
      </c>
      <c r="E44" s="1082" t="s">
        <v>371</v>
      </c>
      <c r="F44" s="1083" t="s">
        <v>395</v>
      </c>
      <c r="G44" s="1084">
        <v>156700</v>
      </c>
      <c r="H44" s="1084"/>
      <c r="I44" s="1084">
        <f t="shared" si="5"/>
        <v>156700</v>
      </c>
      <c r="J44" s="1085">
        <v>39175</v>
      </c>
      <c r="K44" s="1085">
        <v>117525</v>
      </c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6">
        <f t="shared" si="10"/>
        <v>142082.78</v>
      </c>
      <c r="X44" s="1087">
        <f>14822.5+20698.23</f>
        <v>35520.729999999996</v>
      </c>
      <c r="Y44" s="1087">
        <f>44467.5+62094.55</f>
        <v>106562.05</v>
      </c>
      <c r="Z44" s="1087"/>
      <c r="AA44" s="1088">
        <f t="shared" si="12"/>
        <v>0.9067184428844927</v>
      </c>
      <c r="AC44" s="1060" t="b">
        <f t="shared" si="13"/>
        <v>1</v>
      </c>
    </row>
    <row r="45" spans="1:29" ht="45.75" customHeight="1">
      <c r="A45" s="1117"/>
      <c r="B45" s="695"/>
      <c r="C45" s="681" t="s">
        <v>239</v>
      </c>
      <c r="D45" s="1107" t="s">
        <v>397</v>
      </c>
      <c r="E45" s="868" t="s">
        <v>371</v>
      </c>
      <c r="F45" s="1119" t="s">
        <v>395</v>
      </c>
      <c r="G45" s="1120">
        <v>156700</v>
      </c>
      <c r="H45" s="1120"/>
      <c r="I45" s="1120">
        <f t="shared" si="5"/>
        <v>5975</v>
      </c>
      <c r="J45" s="521">
        <v>896</v>
      </c>
      <c r="K45" s="521">
        <v>4481</v>
      </c>
      <c r="L45" s="521">
        <v>598</v>
      </c>
      <c r="M45" s="521"/>
      <c r="N45" s="521">
        <v>20708</v>
      </c>
      <c r="O45" s="521">
        <v>103537</v>
      </c>
      <c r="P45" s="521">
        <v>13805</v>
      </c>
      <c r="Q45" s="521"/>
      <c r="R45" s="521"/>
      <c r="S45" s="521"/>
      <c r="T45" s="521"/>
      <c r="U45" s="521"/>
      <c r="V45" s="521"/>
      <c r="W45" s="1121">
        <f t="shared" si="10"/>
        <v>5299.83</v>
      </c>
      <c r="X45" s="522">
        <v>794.98</v>
      </c>
      <c r="Y45" s="522">
        <f>1177.5+2377.12+420.24</f>
        <v>3974.8599999999997</v>
      </c>
      <c r="Z45" s="522">
        <v>529.99</v>
      </c>
      <c r="AA45" s="951">
        <f t="shared" si="12"/>
        <v>0.8870008368200837</v>
      </c>
      <c r="AC45" s="1060" t="b">
        <f t="shared" si="13"/>
        <v>1</v>
      </c>
    </row>
    <row r="46" spans="1:29" ht="25.5" customHeight="1" thickBot="1">
      <c r="A46" s="1109">
        <v>801</v>
      </c>
      <c r="B46" s="1110"/>
      <c r="C46" s="1111" t="s">
        <v>42</v>
      </c>
      <c r="D46" s="1111"/>
      <c r="E46" s="1111"/>
      <c r="F46" s="1112"/>
      <c r="G46" s="1114">
        <f>G47+G49+G53+G51+G58+G56</f>
        <v>217582</v>
      </c>
      <c r="H46" s="1114">
        <f>H47+H49+H53+H51+H58+H56</f>
        <v>52813</v>
      </c>
      <c r="I46" s="1114">
        <f t="shared" si="5"/>
        <v>223269</v>
      </c>
      <c r="J46" s="1114">
        <f>J47+J49+J53+J51+J58+J56</f>
        <v>9700</v>
      </c>
      <c r="K46" s="1114">
        <f>K47+K49+K53+K51+K58+K56</f>
        <v>213569</v>
      </c>
      <c r="L46" s="1114"/>
      <c r="M46" s="1114"/>
      <c r="N46" s="1114"/>
      <c r="O46" s="1114">
        <f>O47+O49+O53+O51+O58+O56</f>
        <v>15947</v>
      </c>
      <c r="P46" s="1114"/>
      <c r="Q46" s="1114"/>
      <c r="R46" s="1114"/>
      <c r="S46" s="1114"/>
      <c r="T46" s="1114"/>
      <c r="U46" s="1114"/>
      <c r="V46" s="1114"/>
      <c r="W46" s="1134">
        <f t="shared" si="10"/>
        <v>177714.58999999997</v>
      </c>
      <c r="X46" s="1134">
        <f>X47+X49+X53+X51+X58+X56</f>
        <v>8150.15</v>
      </c>
      <c r="Y46" s="1134">
        <f>Y47+Y49+Y53+Y51+Y58+Y56</f>
        <v>169564.43999999997</v>
      </c>
      <c r="Z46" s="1134"/>
      <c r="AA46" s="1135">
        <f t="shared" si="12"/>
        <v>0.7959662559513411</v>
      </c>
      <c r="AC46" s="1060" t="b">
        <f t="shared" si="13"/>
        <v>1</v>
      </c>
    </row>
    <row r="47" spans="1:29" s="36" customFormat="1" ht="24" customHeight="1">
      <c r="A47" s="18"/>
      <c r="B47" s="886">
        <v>80101</v>
      </c>
      <c r="C47" s="501" t="s">
        <v>43</v>
      </c>
      <c r="D47" s="501"/>
      <c r="E47" s="501"/>
      <c r="F47" s="1076"/>
      <c r="G47" s="1077">
        <f>G48</f>
        <v>52119</v>
      </c>
      <c r="H47" s="1077">
        <f>H48</f>
        <v>21127</v>
      </c>
      <c r="I47" s="1077">
        <f t="shared" si="5"/>
        <v>30992</v>
      </c>
      <c r="J47" s="1077"/>
      <c r="K47" s="1077">
        <f>K48</f>
        <v>30992</v>
      </c>
      <c r="L47" s="1077"/>
      <c r="M47" s="1077"/>
      <c r="N47" s="1077"/>
      <c r="O47" s="1077"/>
      <c r="P47" s="1077"/>
      <c r="Q47" s="514"/>
      <c r="R47" s="514"/>
      <c r="S47" s="514"/>
      <c r="T47" s="1077"/>
      <c r="U47" s="1077"/>
      <c r="V47" s="1077"/>
      <c r="W47" s="1078">
        <f t="shared" si="10"/>
        <v>28675.69</v>
      </c>
      <c r="X47" s="1078"/>
      <c r="Y47" s="1078">
        <f>Y48</f>
        <v>28675.69</v>
      </c>
      <c r="Z47" s="1078"/>
      <c r="AA47" s="1079">
        <f t="shared" si="12"/>
        <v>0.9252610351058337</v>
      </c>
      <c r="AC47" s="1060" t="b">
        <f t="shared" si="13"/>
        <v>1</v>
      </c>
    </row>
    <row r="48" spans="1:29" ht="32.25" customHeight="1">
      <c r="A48" s="108"/>
      <c r="B48" s="639"/>
      <c r="C48" s="956" t="s">
        <v>241</v>
      </c>
      <c r="D48" s="1123" t="s">
        <v>387</v>
      </c>
      <c r="E48" s="859" t="s">
        <v>388</v>
      </c>
      <c r="F48" s="1124" t="s">
        <v>372</v>
      </c>
      <c r="G48" s="1125">
        <f>H48+K48</f>
        <v>52119</v>
      </c>
      <c r="H48" s="1125">
        <f>10583+10544</f>
        <v>21127</v>
      </c>
      <c r="I48" s="1125">
        <f t="shared" si="5"/>
        <v>30992</v>
      </c>
      <c r="J48" s="705"/>
      <c r="K48" s="705">
        <v>30992</v>
      </c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1126">
        <f t="shared" si="10"/>
        <v>28675.69</v>
      </c>
      <c r="X48" s="708"/>
      <c r="Y48" s="708">
        <v>28675.69</v>
      </c>
      <c r="Z48" s="708"/>
      <c r="AA48" s="986">
        <f t="shared" si="12"/>
        <v>0.9252610351058337</v>
      </c>
      <c r="AC48" s="1060" t="b">
        <f t="shared" si="13"/>
        <v>1</v>
      </c>
    </row>
    <row r="49" spans="1:29" s="36" customFormat="1" ht="24.75" customHeight="1">
      <c r="A49" s="18"/>
      <c r="B49" s="851">
        <v>80110</v>
      </c>
      <c r="C49" s="512" t="s">
        <v>46</v>
      </c>
      <c r="D49" s="512"/>
      <c r="E49" s="512"/>
      <c r="F49" s="1136"/>
      <c r="G49" s="1091">
        <f>G50</f>
        <v>46960</v>
      </c>
      <c r="H49" s="1091">
        <f>H50</f>
        <v>9976</v>
      </c>
      <c r="I49" s="1091">
        <f t="shared" si="5"/>
        <v>36984</v>
      </c>
      <c r="J49" s="1091"/>
      <c r="K49" s="1091">
        <f>K50</f>
        <v>36984</v>
      </c>
      <c r="L49" s="1091"/>
      <c r="M49" s="1091"/>
      <c r="N49" s="1091"/>
      <c r="O49" s="1091">
        <f>O50</f>
        <v>6380</v>
      </c>
      <c r="P49" s="1091"/>
      <c r="Q49" s="852"/>
      <c r="R49" s="852"/>
      <c r="S49" s="852"/>
      <c r="T49" s="1091"/>
      <c r="U49" s="1091"/>
      <c r="V49" s="1091"/>
      <c r="W49" s="1092">
        <f t="shared" si="10"/>
        <v>17209.05</v>
      </c>
      <c r="X49" s="1092"/>
      <c r="Y49" s="1092">
        <f>Y50</f>
        <v>17209.05</v>
      </c>
      <c r="Z49" s="1092"/>
      <c r="AA49" s="1093">
        <f t="shared" si="12"/>
        <v>0.46531067488643735</v>
      </c>
      <c r="AC49" s="1060" t="b">
        <f t="shared" si="13"/>
        <v>1</v>
      </c>
    </row>
    <row r="50" spans="1:29" ht="29.25" customHeight="1">
      <c r="A50" s="108"/>
      <c r="B50" s="639"/>
      <c r="C50" s="956" t="s">
        <v>241</v>
      </c>
      <c r="D50" s="1123" t="s">
        <v>387</v>
      </c>
      <c r="E50" s="859" t="s">
        <v>398</v>
      </c>
      <c r="F50" s="1124" t="s">
        <v>372</v>
      </c>
      <c r="G50" s="1125">
        <f>H50+K50</f>
        <v>46960</v>
      </c>
      <c r="H50" s="1125">
        <v>9976</v>
      </c>
      <c r="I50" s="1125">
        <f t="shared" si="5"/>
        <v>36984</v>
      </c>
      <c r="J50" s="705"/>
      <c r="K50" s="705">
        <v>36984</v>
      </c>
      <c r="L50" s="705"/>
      <c r="M50" s="705"/>
      <c r="N50" s="705"/>
      <c r="O50" s="705">
        <v>6380</v>
      </c>
      <c r="P50" s="705"/>
      <c r="Q50" s="705"/>
      <c r="R50" s="705"/>
      <c r="S50" s="705"/>
      <c r="T50" s="705"/>
      <c r="U50" s="705"/>
      <c r="V50" s="705"/>
      <c r="W50" s="1126">
        <f t="shared" si="10"/>
        <v>17209.05</v>
      </c>
      <c r="X50" s="708"/>
      <c r="Y50" s="708">
        <v>17209.05</v>
      </c>
      <c r="Z50" s="708"/>
      <c r="AA50" s="986">
        <f t="shared" si="12"/>
        <v>0.46531067488643735</v>
      </c>
      <c r="AC50" s="1060" t="b">
        <f t="shared" si="13"/>
        <v>1</v>
      </c>
    </row>
    <row r="51" spans="1:29" s="36" customFormat="1" ht="24.75" customHeight="1">
      <c r="A51" s="18"/>
      <c r="B51" s="851">
        <v>80120</v>
      </c>
      <c r="C51" s="512" t="s">
        <v>47</v>
      </c>
      <c r="D51" s="512"/>
      <c r="E51" s="512"/>
      <c r="F51" s="1136"/>
      <c r="G51" s="1091">
        <f>G52</f>
        <v>24582</v>
      </c>
      <c r="H51" s="1091"/>
      <c r="I51" s="1091">
        <f aca="true" t="shared" si="14" ref="I51:I68">J51+K51+L51</f>
        <v>24582</v>
      </c>
      <c r="J51" s="1091"/>
      <c r="K51" s="1091">
        <f>K52</f>
        <v>24582</v>
      </c>
      <c r="L51" s="1091"/>
      <c r="M51" s="1091"/>
      <c r="N51" s="1091"/>
      <c r="O51" s="1091">
        <f>O52</f>
        <v>5278</v>
      </c>
      <c r="P51" s="1091"/>
      <c r="Q51" s="852"/>
      <c r="R51" s="852"/>
      <c r="S51" s="852"/>
      <c r="T51" s="1091"/>
      <c r="U51" s="1091"/>
      <c r="V51" s="1091"/>
      <c r="W51" s="1092">
        <f t="shared" si="10"/>
        <v>19034.61</v>
      </c>
      <c r="X51" s="1092"/>
      <c r="Y51" s="1092">
        <f>Y52</f>
        <v>19034.61</v>
      </c>
      <c r="Z51" s="1092"/>
      <c r="AA51" s="1093">
        <f t="shared" si="12"/>
        <v>0.7743312179643642</v>
      </c>
      <c r="AC51" s="1060" t="b">
        <f t="shared" si="13"/>
        <v>1</v>
      </c>
    </row>
    <row r="52" spans="1:29" ht="30.75" customHeight="1">
      <c r="A52" s="1117"/>
      <c r="B52" s="750"/>
      <c r="C52" s="1026" t="s">
        <v>241</v>
      </c>
      <c r="D52" s="1137" t="s">
        <v>387</v>
      </c>
      <c r="E52" s="507" t="s">
        <v>399</v>
      </c>
      <c r="F52" s="1138">
        <v>2006</v>
      </c>
      <c r="G52" s="1139">
        <f>K52</f>
        <v>24582</v>
      </c>
      <c r="H52" s="1139"/>
      <c r="I52" s="1139">
        <f t="shared" si="14"/>
        <v>24582</v>
      </c>
      <c r="J52" s="529"/>
      <c r="K52" s="529">
        <v>24582</v>
      </c>
      <c r="L52" s="529"/>
      <c r="M52" s="529"/>
      <c r="N52" s="529"/>
      <c r="O52" s="529">
        <v>5278</v>
      </c>
      <c r="P52" s="529"/>
      <c r="Q52" s="529"/>
      <c r="R52" s="529"/>
      <c r="S52" s="529"/>
      <c r="T52" s="529"/>
      <c r="U52" s="529"/>
      <c r="V52" s="529"/>
      <c r="W52" s="1140">
        <f t="shared" si="10"/>
        <v>19034.61</v>
      </c>
      <c r="X52" s="530"/>
      <c r="Y52" s="530">
        <v>19034.61</v>
      </c>
      <c r="Z52" s="530"/>
      <c r="AA52" s="1141">
        <f t="shared" si="12"/>
        <v>0.7743312179643642</v>
      </c>
      <c r="AC52" s="1060" t="b">
        <f t="shared" si="13"/>
        <v>1</v>
      </c>
    </row>
    <row r="53" spans="1:29" s="36" customFormat="1" ht="24.75" customHeight="1">
      <c r="A53" s="18"/>
      <c r="B53" s="851">
        <v>80130</v>
      </c>
      <c r="C53" s="512" t="s">
        <v>51</v>
      </c>
      <c r="D53" s="512"/>
      <c r="E53" s="512"/>
      <c r="F53" s="1136"/>
      <c r="G53" s="1091">
        <f>G54</f>
        <v>34451</v>
      </c>
      <c r="H53" s="1091">
        <f>H54</f>
        <v>14660</v>
      </c>
      <c r="I53" s="1091">
        <f t="shared" si="14"/>
        <v>78291</v>
      </c>
      <c r="J53" s="1091"/>
      <c r="K53" s="1091">
        <f>K54+K55</f>
        <v>78291</v>
      </c>
      <c r="L53" s="1091"/>
      <c r="M53" s="1091"/>
      <c r="N53" s="1091"/>
      <c r="O53" s="1091">
        <f>O54+O55</f>
        <v>4289</v>
      </c>
      <c r="P53" s="1091"/>
      <c r="Q53" s="852"/>
      <c r="R53" s="852"/>
      <c r="S53" s="852"/>
      <c r="T53" s="1091"/>
      <c r="U53" s="1091"/>
      <c r="V53" s="1091"/>
      <c r="W53" s="1092">
        <f t="shared" si="10"/>
        <v>69043.57</v>
      </c>
      <c r="X53" s="1092"/>
      <c r="Y53" s="1092">
        <f>Y54+Y55</f>
        <v>69043.57</v>
      </c>
      <c r="Z53" s="1092"/>
      <c r="AA53" s="1093">
        <f t="shared" si="12"/>
        <v>0.88188386915482</v>
      </c>
      <c r="AC53" s="1060" t="b">
        <f t="shared" si="13"/>
        <v>1</v>
      </c>
    </row>
    <row r="54" spans="1:29" ht="33" customHeight="1">
      <c r="A54" s="108"/>
      <c r="B54" s="639"/>
      <c r="C54" s="956" t="s">
        <v>241</v>
      </c>
      <c r="D54" s="1123" t="s">
        <v>387</v>
      </c>
      <c r="E54" s="859" t="s">
        <v>400</v>
      </c>
      <c r="F54" s="1124" t="s">
        <v>372</v>
      </c>
      <c r="G54" s="1125">
        <f>H54+K54</f>
        <v>34451</v>
      </c>
      <c r="H54" s="1125">
        <v>14660</v>
      </c>
      <c r="I54" s="1125">
        <f t="shared" si="14"/>
        <v>19791</v>
      </c>
      <c r="J54" s="705"/>
      <c r="K54" s="705">
        <v>19791</v>
      </c>
      <c r="L54" s="705"/>
      <c r="M54" s="705"/>
      <c r="N54" s="705"/>
      <c r="O54" s="705">
        <v>4289</v>
      </c>
      <c r="P54" s="705"/>
      <c r="Q54" s="705"/>
      <c r="R54" s="705"/>
      <c r="S54" s="705"/>
      <c r="T54" s="705"/>
      <c r="U54" s="705"/>
      <c r="V54" s="705"/>
      <c r="W54" s="1126">
        <f t="shared" si="10"/>
        <v>11896.84</v>
      </c>
      <c r="X54" s="708"/>
      <c r="Y54" s="708">
        <v>11896.84</v>
      </c>
      <c r="Z54" s="708"/>
      <c r="AA54" s="986">
        <f t="shared" si="12"/>
        <v>0.6011237431155576</v>
      </c>
      <c r="AC54" s="1060" t="b">
        <f t="shared" si="13"/>
        <v>1</v>
      </c>
    </row>
    <row r="55" spans="1:29" ht="32.25" customHeight="1">
      <c r="A55" s="108"/>
      <c r="B55" s="695"/>
      <c r="C55" s="1142" t="s">
        <v>258</v>
      </c>
      <c r="D55" s="1107" t="s">
        <v>392</v>
      </c>
      <c r="E55" s="868" t="s">
        <v>371</v>
      </c>
      <c r="F55" s="1119" t="s">
        <v>372</v>
      </c>
      <c r="G55" s="1120">
        <v>152528</v>
      </c>
      <c r="H55" s="1120">
        <v>17528</v>
      </c>
      <c r="I55" s="1120">
        <f t="shared" si="14"/>
        <v>58500</v>
      </c>
      <c r="J55" s="521"/>
      <c r="K55" s="521">
        <v>58500</v>
      </c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1121">
        <f t="shared" si="10"/>
        <v>57146.73</v>
      </c>
      <c r="X55" s="522"/>
      <c r="Y55" s="522">
        <v>57146.73</v>
      </c>
      <c r="Z55" s="522"/>
      <c r="AA55" s="951">
        <f t="shared" si="12"/>
        <v>0.9768671794871795</v>
      </c>
      <c r="AC55" s="1060" t="b">
        <f t="shared" si="13"/>
        <v>1</v>
      </c>
    </row>
    <row r="56" spans="1:29" s="36" customFormat="1" ht="25.5" customHeight="1">
      <c r="A56" s="18"/>
      <c r="B56" s="886">
        <v>80132</v>
      </c>
      <c r="C56" s="501" t="s">
        <v>259</v>
      </c>
      <c r="D56" s="501"/>
      <c r="E56" s="501"/>
      <c r="F56" s="1076"/>
      <c r="G56" s="1077">
        <f>G57</f>
        <v>38800</v>
      </c>
      <c r="H56" s="1077"/>
      <c r="I56" s="1077">
        <f t="shared" si="14"/>
        <v>38800</v>
      </c>
      <c r="J56" s="1077">
        <f>J57</f>
        <v>9700</v>
      </c>
      <c r="K56" s="1077">
        <f>K57</f>
        <v>29100</v>
      </c>
      <c r="L56" s="1077"/>
      <c r="M56" s="1077"/>
      <c r="N56" s="1077"/>
      <c r="O56" s="1077"/>
      <c r="P56" s="1077"/>
      <c r="Q56" s="514"/>
      <c r="R56" s="514"/>
      <c r="S56" s="514"/>
      <c r="T56" s="1077"/>
      <c r="U56" s="1077"/>
      <c r="V56" s="1077"/>
      <c r="W56" s="1078">
        <f t="shared" si="10"/>
        <v>32600.58</v>
      </c>
      <c r="X56" s="1078">
        <f>X57</f>
        <v>8150.15</v>
      </c>
      <c r="Y56" s="1078">
        <f>Y57</f>
        <v>24450.43</v>
      </c>
      <c r="Z56" s="1078"/>
      <c r="AA56" s="1079">
        <f t="shared" si="12"/>
        <v>0.8402211340206186</v>
      </c>
      <c r="AC56" s="1060" t="b">
        <f t="shared" si="13"/>
        <v>1</v>
      </c>
    </row>
    <row r="57" spans="1:29" ht="42" customHeight="1">
      <c r="A57" s="108"/>
      <c r="B57" s="639"/>
      <c r="C57" s="956" t="s">
        <v>401</v>
      </c>
      <c r="D57" s="1123" t="s">
        <v>402</v>
      </c>
      <c r="E57" s="859" t="s">
        <v>403</v>
      </c>
      <c r="F57" s="1124">
        <v>2006</v>
      </c>
      <c r="G57" s="1125">
        <v>38800</v>
      </c>
      <c r="H57" s="1125"/>
      <c r="I57" s="1125">
        <f t="shared" si="14"/>
        <v>38800</v>
      </c>
      <c r="J57" s="705">
        <v>9700</v>
      </c>
      <c r="K57" s="705">
        <v>29100</v>
      </c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1126">
        <f t="shared" si="10"/>
        <v>32600.58</v>
      </c>
      <c r="X57" s="708">
        <v>8150.15</v>
      </c>
      <c r="Y57" s="708">
        <v>24450.43</v>
      </c>
      <c r="Z57" s="708"/>
      <c r="AA57" s="986">
        <f t="shared" si="12"/>
        <v>0.8402211340206186</v>
      </c>
      <c r="AC57" s="1060" t="b">
        <f t="shared" si="13"/>
        <v>1</v>
      </c>
    </row>
    <row r="58" spans="1:29" s="36" customFormat="1" ht="45" customHeight="1">
      <c r="A58" s="18"/>
      <c r="B58" s="851">
        <v>80140</v>
      </c>
      <c r="C58" s="512" t="s">
        <v>404</v>
      </c>
      <c r="D58" s="512"/>
      <c r="E58" s="512"/>
      <c r="F58" s="1136"/>
      <c r="G58" s="1091">
        <f>G59</f>
        <v>20670</v>
      </c>
      <c r="H58" s="1091">
        <f>H59</f>
        <v>7050</v>
      </c>
      <c r="I58" s="1091">
        <f t="shared" si="14"/>
        <v>13620</v>
      </c>
      <c r="J58" s="1091"/>
      <c r="K58" s="1091">
        <f>K59</f>
        <v>13620</v>
      </c>
      <c r="L58" s="1091"/>
      <c r="M58" s="1091"/>
      <c r="N58" s="1091"/>
      <c r="O58" s="1091"/>
      <c r="P58" s="1091"/>
      <c r="Q58" s="852"/>
      <c r="R58" s="852"/>
      <c r="S58" s="852"/>
      <c r="T58" s="1091"/>
      <c r="U58" s="1091"/>
      <c r="V58" s="1091"/>
      <c r="W58" s="1092">
        <f t="shared" si="10"/>
        <v>11151.09</v>
      </c>
      <c r="X58" s="1092"/>
      <c r="Y58" s="1092">
        <f>Y59</f>
        <v>11151.09</v>
      </c>
      <c r="Z58" s="1092"/>
      <c r="AA58" s="1093">
        <f t="shared" si="12"/>
        <v>0.8187290748898679</v>
      </c>
      <c r="AC58" s="1060" t="b">
        <f t="shared" si="13"/>
        <v>1</v>
      </c>
    </row>
    <row r="59" spans="1:29" ht="28.5" customHeight="1">
      <c r="A59" s="108"/>
      <c r="B59" s="639"/>
      <c r="C59" s="956" t="s">
        <v>241</v>
      </c>
      <c r="D59" s="1123" t="s">
        <v>387</v>
      </c>
      <c r="E59" s="859" t="s">
        <v>405</v>
      </c>
      <c r="F59" s="1124" t="s">
        <v>372</v>
      </c>
      <c r="G59" s="1125">
        <f>H59+K59</f>
        <v>20670</v>
      </c>
      <c r="H59" s="1125">
        <v>7050</v>
      </c>
      <c r="I59" s="1125">
        <f t="shared" si="14"/>
        <v>13620</v>
      </c>
      <c r="J59" s="705"/>
      <c r="K59" s="705">
        <v>13620</v>
      </c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1126">
        <f t="shared" si="10"/>
        <v>11151.09</v>
      </c>
      <c r="X59" s="708"/>
      <c r="Y59" s="708">
        <v>11151.09</v>
      </c>
      <c r="Z59" s="708"/>
      <c r="AA59" s="986">
        <f t="shared" si="12"/>
        <v>0.8187290748898679</v>
      </c>
      <c r="AC59" s="1060" t="b">
        <f t="shared" si="13"/>
        <v>1</v>
      </c>
    </row>
    <row r="60" spans="1:29" ht="24" customHeight="1" thickBot="1">
      <c r="A60" s="1109">
        <v>852</v>
      </c>
      <c r="B60" s="1110"/>
      <c r="C60" s="1111" t="s">
        <v>54</v>
      </c>
      <c r="D60" s="1111"/>
      <c r="E60" s="1111"/>
      <c r="F60" s="1143"/>
      <c r="G60" s="1114">
        <f>G61+G65</f>
        <v>2410411</v>
      </c>
      <c r="H60" s="1114">
        <f>H61+H65</f>
        <v>11844</v>
      </c>
      <c r="I60" s="1114">
        <f t="shared" si="14"/>
        <v>1116687</v>
      </c>
      <c r="J60" s="1114">
        <f>J61+J65</f>
        <v>158521</v>
      </c>
      <c r="K60" s="1114">
        <f>K61+K65</f>
        <v>958166</v>
      </c>
      <c r="L60" s="1114"/>
      <c r="M60" s="1114">
        <f>M61+M65</f>
        <v>0</v>
      </c>
      <c r="N60" s="1114">
        <f>N61+N65</f>
        <v>298432</v>
      </c>
      <c r="O60" s="1114">
        <f>O61+O65</f>
        <v>941441</v>
      </c>
      <c r="P60" s="1114"/>
      <c r="Q60" s="1114">
        <f>Q61+Q65</f>
        <v>0</v>
      </c>
      <c r="R60" s="1114">
        <f>R61+R65</f>
        <v>0</v>
      </c>
      <c r="S60" s="1114">
        <f>S61+S65</f>
        <v>0</v>
      </c>
      <c r="T60" s="1114">
        <f>T61+T65</f>
        <v>5066</v>
      </c>
      <c r="U60" s="1114">
        <f>U61+U65</f>
        <v>62891</v>
      </c>
      <c r="V60" s="1114"/>
      <c r="W60" s="1134">
        <f t="shared" si="10"/>
        <v>862172.92</v>
      </c>
      <c r="X60" s="1134">
        <f>X61+X65</f>
        <v>112224.39</v>
      </c>
      <c r="Y60" s="1134">
        <f>Y61+Y65</f>
        <v>749948.53</v>
      </c>
      <c r="Z60" s="1134"/>
      <c r="AA60" s="1135">
        <f t="shared" si="12"/>
        <v>0.7720810934487462</v>
      </c>
      <c r="AC60" s="1060" t="b">
        <f t="shared" si="13"/>
        <v>1</v>
      </c>
    </row>
    <row r="61" spans="1:29" s="36" customFormat="1" ht="24.75" customHeight="1">
      <c r="A61" s="18"/>
      <c r="B61" s="886">
        <v>85219</v>
      </c>
      <c r="C61" s="501" t="s">
        <v>646</v>
      </c>
      <c r="D61" s="501"/>
      <c r="E61" s="501"/>
      <c r="F61" s="1144"/>
      <c r="G61" s="514">
        <f>SUM(G62:G64)</f>
        <v>516136</v>
      </c>
      <c r="H61" s="514">
        <f>SUM(H62:H64)</f>
        <v>11844</v>
      </c>
      <c r="I61" s="514">
        <f t="shared" si="14"/>
        <v>442233</v>
      </c>
      <c r="J61" s="514">
        <f>SUM(J62:J64)</f>
        <v>62633</v>
      </c>
      <c r="K61" s="514">
        <f>SUM(K62:K64)</f>
        <v>379600</v>
      </c>
      <c r="L61" s="514"/>
      <c r="M61" s="514">
        <f>SUM(M62:M64)</f>
        <v>0</v>
      </c>
      <c r="N61" s="514">
        <f>SUM(N62:N64)</f>
        <v>19992</v>
      </c>
      <c r="O61" s="514">
        <f>SUM(O62:O64)</f>
        <v>68017</v>
      </c>
      <c r="P61" s="514"/>
      <c r="Q61" s="514"/>
      <c r="R61" s="514"/>
      <c r="S61" s="514"/>
      <c r="T61" s="514"/>
      <c r="U61" s="514"/>
      <c r="V61" s="514"/>
      <c r="W61" s="515">
        <f t="shared" si="10"/>
        <v>418400.51</v>
      </c>
      <c r="X61" s="515">
        <f>SUM(X62:X64)</f>
        <v>62633</v>
      </c>
      <c r="Y61" s="515">
        <f>SUM(Y62:Y64)</f>
        <v>355767.51</v>
      </c>
      <c r="Z61" s="515"/>
      <c r="AA61" s="1145">
        <f t="shared" si="12"/>
        <v>0.9461087481033754</v>
      </c>
      <c r="AC61" s="1060" t="b">
        <f t="shared" si="13"/>
        <v>1</v>
      </c>
    </row>
    <row r="62" spans="1:29" s="36" customFormat="1" ht="33" customHeight="1">
      <c r="A62" s="18"/>
      <c r="B62" s="602"/>
      <c r="C62" s="681" t="s">
        <v>648</v>
      </c>
      <c r="D62" s="1099" t="s">
        <v>406</v>
      </c>
      <c r="E62" s="1146" t="s">
        <v>407</v>
      </c>
      <c r="F62" s="1147" t="s">
        <v>372</v>
      </c>
      <c r="G62" s="1148">
        <v>107438</v>
      </c>
      <c r="H62" s="1148">
        <v>6685</v>
      </c>
      <c r="I62" s="1148">
        <f t="shared" si="14"/>
        <v>100753</v>
      </c>
      <c r="J62" s="1149"/>
      <c r="K62" s="1149">
        <v>100753</v>
      </c>
      <c r="L62" s="1149"/>
      <c r="M62" s="1149"/>
      <c r="N62" s="1149"/>
      <c r="O62" s="1149"/>
      <c r="P62" s="1149"/>
      <c r="Q62" s="1149"/>
      <c r="R62" s="1149"/>
      <c r="S62" s="1149"/>
      <c r="T62" s="1149"/>
      <c r="U62" s="1149"/>
      <c r="V62" s="1149"/>
      <c r="W62" s="1150">
        <f t="shared" si="10"/>
        <v>88552.49</v>
      </c>
      <c r="X62" s="1151"/>
      <c r="Y62" s="1151">
        <v>88552.49</v>
      </c>
      <c r="Z62" s="1151"/>
      <c r="AA62" s="829">
        <f t="shared" si="12"/>
        <v>0.8789067323057378</v>
      </c>
      <c r="AC62" s="1060" t="b">
        <f t="shared" si="13"/>
        <v>1</v>
      </c>
    </row>
    <row r="63" spans="1:29" s="36" customFormat="1" ht="45.75" customHeight="1">
      <c r="A63" s="18"/>
      <c r="B63" s="602"/>
      <c r="C63" s="681" t="s">
        <v>408</v>
      </c>
      <c r="D63" s="1099" t="s">
        <v>409</v>
      </c>
      <c r="E63" s="1146" t="s">
        <v>407</v>
      </c>
      <c r="F63" s="1147" t="s">
        <v>372</v>
      </c>
      <c r="G63" s="1148">
        <f>H63+K63</f>
        <v>56816</v>
      </c>
      <c r="H63" s="1148">
        <v>5159</v>
      </c>
      <c r="I63" s="1148">
        <f t="shared" si="14"/>
        <v>51657</v>
      </c>
      <c r="J63" s="1149"/>
      <c r="K63" s="1149">
        <v>51657</v>
      </c>
      <c r="L63" s="1149"/>
      <c r="M63" s="1149"/>
      <c r="N63" s="1149"/>
      <c r="O63" s="1149">
        <v>25950</v>
      </c>
      <c r="P63" s="1149"/>
      <c r="Q63" s="1149"/>
      <c r="R63" s="1149"/>
      <c r="S63" s="1149"/>
      <c r="T63" s="1149"/>
      <c r="U63" s="1149"/>
      <c r="V63" s="1149"/>
      <c r="W63" s="1150">
        <f t="shared" si="10"/>
        <v>47324.29</v>
      </c>
      <c r="X63" s="1151"/>
      <c r="Y63" s="1151">
        <v>47324.29</v>
      </c>
      <c r="Z63" s="1151"/>
      <c r="AA63" s="829">
        <f t="shared" si="12"/>
        <v>0.9161254041078654</v>
      </c>
      <c r="AC63" s="1060" t="b">
        <f t="shared" si="13"/>
        <v>1</v>
      </c>
    </row>
    <row r="64" spans="1:29" s="36" customFormat="1" ht="45" customHeight="1">
      <c r="A64" s="18"/>
      <c r="B64" s="695"/>
      <c r="C64" s="1152" t="s">
        <v>410</v>
      </c>
      <c r="D64" s="1107" t="s">
        <v>411</v>
      </c>
      <c r="E64" s="1153" t="s">
        <v>407</v>
      </c>
      <c r="F64" s="1154" t="s">
        <v>395</v>
      </c>
      <c r="G64" s="1155">
        <f>J64+K64+N64+O64</f>
        <v>351882</v>
      </c>
      <c r="H64" s="1155"/>
      <c r="I64" s="1155">
        <f t="shared" si="14"/>
        <v>289823</v>
      </c>
      <c r="J64" s="1156">
        <v>62633</v>
      </c>
      <c r="K64" s="1156">
        <v>227190</v>
      </c>
      <c r="L64" s="1156"/>
      <c r="M64" s="1156"/>
      <c r="N64" s="1156">
        <v>19992</v>
      </c>
      <c r="O64" s="1156">
        <v>42067</v>
      </c>
      <c r="P64" s="1156"/>
      <c r="Q64" s="1156"/>
      <c r="R64" s="1156"/>
      <c r="S64" s="1156"/>
      <c r="T64" s="1156"/>
      <c r="U64" s="1156"/>
      <c r="V64" s="1156"/>
      <c r="W64" s="1157">
        <f t="shared" si="10"/>
        <v>282523.73</v>
      </c>
      <c r="X64" s="1158">
        <v>62633</v>
      </c>
      <c r="Y64" s="1158">
        <v>219890.73</v>
      </c>
      <c r="Z64" s="1158"/>
      <c r="AA64" s="914">
        <f t="shared" si="12"/>
        <v>0.974814731750068</v>
      </c>
      <c r="AC64" s="1060" t="b">
        <f t="shared" si="13"/>
        <v>1</v>
      </c>
    </row>
    <row r="65" spans="1:29" s="36" customFormat="1" ht="25.5" customHeight="1">
      <c r="A65" s="18"/>
      <c r="B65" s="886">
        <v>85232</v>
      </c>
      <c r="C65" s="501" t="s">
        <v>655</v>
      </c>
      <c r="D65" s="501"/>
      <c r="E65" s="501"/>
      <c r="F65" s="1076"/>
      <c r="G65" s="1077">
        <f>G66</f>
        <v>1894275</v>
      </c>
      <c r="H65" s="1077"/>
      <c r="I65" s="1077">
        <f t="shared" si="14"/>
        <v>674454</v>
      </c>
      <c r="J65" s="1077">
        <f>J66</f>
        <v>95888</v>
      </c>
      <c r="K65" s="1077">
        <f>K66</f>
        <v>578566</v>
      </c>
      <c r="L65" s="1077"/>
      <c r="M65" s="1077"/>
      <c r="N65" s="1077">
        <f>N66</f>
        <v>278440</v>
      </c>
      <c r="O65" s="1077">
        <f>O66</f>
        <v>873424</v>
      </c>
      <c r="P65" s="1077"/>
      <c r="Q65" s="1077">
        <f>Q66</f>
        <v>0</v>
      </c>
      <c r="R65" s="1077">
        <f>R66</f>
        <v>0</v>
      </c>
      <c r="S65" s="1077">
        <f>S66</f>
        <v>0</v>
      </c>
      <c r="T65" s="1077">
        <f>T66</f>
        <v>5066</v>
      </c>
      <c r="U65" s="1077">
        <f>U66</f>
        <v>62891</v>
      </c>
      <c r="V65" s="1077"/>
      <c r="W65" s="1078">
        <f>X65+Y65</f>
        <v>443772.41000000003</v>
      </c>
      <c r="X65" s="1078">
        <f>X66</f>
        <v>49591.39</v>
      </c>
      <c r="Y65" s="1078">
        <f>Y66</f>
        <v>394181.02</v>
      </c>
      <c r="Z65" s="1078"/>
      <c r="AA65" s="1079">
        <f t="shared" si="12"/>
        <v>0.6579728343222815</v>
      </c>
      <c r="AC65" s="1060" t="b">
        <f t="shared" si="13"/>
        <v>1</v>
      </c>
    </row>
    <row r="66" spans="1:29" ht="23.25" customHeight="1">
      <c r="A66" s="108"/>
      <c r="B66" s="639"/>
      <c r="C66" s="956" t="s">
        <v>412</v>
      </c>
      <c r="D66" s="1099" t="s">
        <v>413</v>
      </c>
      <c r="E66" s="1146" t="s">
        <v>414</v>
      </c>
      <c r="F66" s="1124" t="s">
        <v>415</v>
      </c>
      <c r="G66" s="1125">
        <v>1894275</v>
      </c>
      <c r="H66" s="1125"/>
      <c r="I66" s="1125">
        <f t="shared" si="14"/>
        <v>674454</v>
      </c>
      <c r="J66" s="705">
        <v>95888</v>
      </c>
      <c r="K66" s="705">
        <v>578566</v>
      </c>
      <c r="L66" s="705"/>
      <c r="M66" s="705"/>
      <c r="N66" s="705">
        <v>278440</v>
      </c>
      <c r="O66" s="705">
        <v>873424</v>
      </c>
      <c r="P66" s="705"/>
      <c r="Q66" s="705"/>
      <c r="R66" s="705"/>
      <c r="S66" s="705"/>
      <c r="T66" s="705">
        <v>5066</v>
      </c>
      <c r="U66" s="705">
        <v>62891</v>
      </c>
      <c r="V66" s="705"/>
      <c r="W66" s="1126">
        <f>X66+Y66</f>
        <v>443772.41000000003</v>
      </c>
      <c r="X66" s="708">
        <v>49591.39</v>
      </c>
      <c r="Y66" s="708">
        <v>394181.02</v>
      </c>
      <c r="Z66" s="708"/>
      <c r="AA66" s="986"/>
      <c r="AC66" s="1060" t="b">
        <f t="shared" si="13"/>
        <v>1</v>
      </c>
    </row>
    <row r="67" spans="1:29" ht="33" customHeight="1" thickBot="1">
      <c r="A67" s="1109">
        <v>853</v>
      </c>
      <c r="B67" s="1110"/>
      <c r="C67" s="1111" t="s">
        <v>737</v>
      </c>
      <c r="D67" s="1111"/>
      <c r="E67" s="1111"/>
      <c r="F67" s="1143"/>
      <c r="G67" s="1114">
        <f>G68</f>
        <v>6486004</v>
      </c>
      <c r="H67" s="1114">
        <f>H68</f>
        <v>1990292</v>
      </c>
      <c r="I67" s="1114">
        <f t="shared" si="14"/>
        <v>4369505</v>
      </c>
      <c r="J67" s="1114">
        <f>J68</f>
        <v>4629</v>
      </c>
      <c r="K67" s="1114">
        <f>K68</f>
        <v>214088</v>
      </c>
      <c r="L67" s="1114">
        <f>L68</f>
        <v>4150788</v>
      </c>
      <c r="M67" s="1114">
        <f>M68</f>
        <v>0</v>
      </c>
      <c r="N67" s="1114"/>
      <c r="O67" s="1114">
        <f>O68</f>
        <v>126207</v>
      </c>
      <c r="P67" s="1114"/>
      <c r="Q67" s="1114"/>
      <c r="R67" s="1114"/>
      <c r="S67" s="1114"/>
      <c r="T67" s="1114"/>
      <c r="U67" s="1114"/>
      <c r="V67" s="1114"/>
      <c r="W67" s="1134">
        <f aca="true" t="shared" si="15" ref="W67:W73">X67+Y67+Z67</f>
        <v>4176273.5100000002</v>
      </c>
      <c r="X67" s="1134">
        <f>X68</f>
        <v>4590.47</v>
      </c>
      <c r="Y67" s="1134">
        <f>Y68</f>
        <v>165204.76</v>
      </c>
      <c r="Z67" s="1134">
        <f>Z68</f>
        <v>4006478.2800000003</v>
      </c>
      <c r="AA67" s="1135">
        <f aca="true" t="shared" si="16" ref="AA67:AA98">W67/I67</f>
        <v>0.9557772585224185</v>
      </c>
      <c r="AC67" s="1060" t="b">
        <f t="shared" si="13"/>
        <v>1</v>
      </c>
    </row>
    <row r="68" spans="1:29" s="36" customFormat="1" ht="21.75" customHeight="1">
      <c r="A68" s="18"/>
      <c r="B68" s="886">
        <v>85333</v>
      </c>
      <c r="C68" s="501" t="s">
        <v>667</v>
      </c>
      <c r="D68" s="501"/>
      <c r="E68" s="501"/>
      <c r="F68" s="1144"/>
      <c r="G68" s="514">
        <f>G69+G70+G71+G72+G73+G74+G75</f>
        <v>6486004</v>
      </c>
      <c r="H68" s="514">
        <f>H69+H70+H71+H72+H73+H74+H75</f>
        <v>1990292</v>
      </c>
      <c r="I68" s="514">
        <f t="shared" si="14"/>
        <v>4369505</v>
      </c>
      <c r="J68" s="514">
        <f>J69+J70+J71+J72+J73+J74+J75</f>
        <v>4629</v>
      </c>
      <c r="K68" s="514">
        <f>K69+K70+K71+K72+K73+K74+K75</f>
        <v>214088</v>
      </c>
      <c r="L68" s="514">
        <f>L69+L70+L71+L72+L73+L74+L75</f>
        <v>4150788</v>
      </c>
      <c r="M68" s="514">
        <f>M69+M70+M71+M72+M73+M74+M75</f>
        <v>0</v>
      </c>
      <c r="N68" s="514"/>
      <c r="O68" s="514">
        <f>O69+O70+O71+O72+O73+O74+O75</f>
        <v>126207</v>
      </c>
      <c r="P68" s="514"/>
      <c r="Q68" s="514"/>
      <c r="R68" s="514"/>
      <c r="S68" s="514"/>
      <c r="T68" s="514"/>
      <c r="U68" s="514"/>
      <c r="V68" s="514"/>
      <c r="W68" s="515">
        <f t="shared" si="15"/>
        <v>4176273.5100000002</v>
      </c>
      <c r="X68" s="515">
        <f>X69+X70+X71+X72+X73+X74+X75</f>
        <v>4590.47</v>
      </c>
      <c r="Y68" s="515">
        <f>Y69+Y70+Y71+Y72+Y73+Y74+Y75</f>
        <v>165204.76</v>
      </c>
      <c r="Z68" s="515">
        <f>Z69+Z70+Z71+Z72+Z73+Z74+Z75</f>
        <v>4006478.2800000003</v>
      </c>
      <c r="AA68" s="1145">
        <f t="shared" si="16"/>
        <v>0.9557772585224185</v>
      </c>
      <c r="AC68" s="1060" t="b">
        <f t="shared" si="13"/>
        <v>1</v>
      </c>
    </row>
    <row r="69" spans="1:29" s="36" customFormat="1" ht="21.75" customHeight="1">
      <c r="A69" s="18"/>
      <c r="B69" s="602"/>
      <c r="C69" s="681" t="s">
        <v>668</v>
      </c>
      <c r="D69" s="1099" t="s">
        <v>416</v>
      </c>
      <c r="E69" s="1146" t="s">
        <v>417</v>
      </c>
      <c r="F69" s="1147" t="s">
        <v>372</v>
      </c>
      <c r="G69" s="1148">
        <f>H69+I69</f>
        <v>1676603</v>
      </c>
      <c r="H69" s="1148">
        <v>970461</v>
      </c>
      <c r="I69" s="1148">
        <f>J69+K69+500753+166767</f>
        <v>706142</v>
      </c>
      <c r="J69" s="1149">
        <v>2365</v>
      </c>
      <c r="K69" s="1149">
        <v>36257</v>
      </c>
      <c r="L69" s="1148">
        <f>500753+166767</f>
        <v>667520</v>
      </c>
      <c r="M69" s="1149"/>
      <c r="N69" s="1149"/>
      <c r="O69" s="1149"/>
      <c r="P69" s="1149"/>
      <c r="Q69" s="1149"/>
      <c r="R69" s="1149"/>
      <c r="S69" s="1149"/>
      <c r="T69" s="1149"/>
      <c r="U69" s="1149"/>
      <c r="V69" s="1149"/>
      <c r="W69" s="1150">
        <f t="shared" si="15"/>
        <v>652216.68</v>
      </c>
      <c r="X69" s="1151">
        <v>2328.03</v>
      </c>
      <c r="Y69" s="1151">
        <v>9453.14</v>
      </c>
      <c r="Z69" s="1150">
        <v>640435.51</v>
      </c>
      <c r="AA69" s="1159">
        <f t="shared" si="16"/>
        <v>0.9236338866686871</v>
      </c>
      <c r="AC69" s="1060" t="b">
        <f t="shared" si="13"/>
        <v>1</v>
      </c>
    </row>
    <row r="70" spans="1:29" s="36" customFormat="1" ht="21.75" customHeight="1">
      <c r="A70" s="18"/>
      <c r="B70" s="602"/>
      <c r="C70" s="680" t="s">
        <v>669</v>
      </c>
      <c r="D70" s="1099" t="s">
        <v>418</v>
      </c>
      <c r="E70" s="1146" t="s">
        <v>417</v>
      </c>
      <c r="F70" s="1147" t="s">
        <v>372</v>
      </c>
      <c r="G70" s="1148">
        <f>H70+I70</f>
        <v>1434653</v>
      </c>
      <c r="H70" s="1148">
        <v>1019831</v>
      </c>
      <c r="I70" s="1148">
        <f>J70+K70+269463+111737</f>
        <v>414822</v>
      </c>
      <c r="J70" s="1149">
        <v>2264</v>
      </c>
      <c r="K70" s="1149">
        <v>31358</v>
      </c>
      <c r="L70" s="1148">
        <f>269463+111737</f>
        <v>381200</v>
      </c>
      <c r="M70" s="1149"/>
      <c r="N70" s="1149"/>
      <c r="O70" s="1149"/>
      <c r="P70" s="1149"/>
      <c r="Q70" s="1149"/>
      <c r="R70" s="1149"/>
      <c r="S70" s="1149"/>
      <c r="T70" s="1149"/>
      <c r="U70" s="1149"/>
      <c r="V70" s="1149"/>
      <c r="W70" s="1150">
        <f t="shared" si="15"/>
        <v>327108.67000000004</v>
      </c>
      <c r="X70" s="1151">
        <v>2262.44</v>
      </c>
      <c r="Y70" s="1151">
        <v>9647.08</v>
      </c>
      <c r="Z70" s="1150">
        <v>315199.15</v>
      </c>
      <c r="AA70" s="1159">
        <f t="shared" si="16"/>
        <v>0.7885518849048508</v>
      </c>
      <c r="AC70" s="1060" t="b">
        <f t="shared" si="13"/>
        <v>1</v>
      </c>
    </row>
    <row r="71" spans="1:29" s="36" customFormat="1" ht="21.75" customHeight="1">
      <c r="A71" s="18"/>
      <c r="B71" s="602"/>
      <c r="C71" s="680" t="s">
        <v>670</v>
      </c>
      <c r="D71" s="1099" t="s">
        <v>419</v>
      </c>
      <c r="E71" s="1146" t="s">
        <v>417</v>
      </c>
      <c r="F71" s="1147" t="s">
        <v>395</v>
      </c>
      <c r="G71" s="1148">
        <v>99640</v>
      </c>
      <c r="H71" s="1148"/>
      <c r="I71" s="1148">
        <f>J71+K71+L71</f>
        <v>77552</v>
      </c>
      <c r="J71" s="1149"/>
      <c r="K71" s="1149">
        <v>55631</v>
      </c>
      <c r="L71" s="1149">
        <v>21921</v>
      </c>
      <c r="M71" s="1149"/>
      <c r="N71" s="1149"/>
      <c r="O71" s="1149">
        <v>22088</v>
      </c>
      <c r="P71" s="1149"/>
      <c r="Q71" s="1149"/>
      <c r="R71" s="1149"/>
      <c r="S71" s="1149"/>
      <c r="T71" s="1149"/>
      <c r="U71" s="1149"/>
      <c r="V71" s="1149"/>
      <c r="W71" s="1150">
        <f t="shared" si="15"/>
        <v>77251.8</v>
      </c>
      <c r="X71" s="1151"/>
      <c r="Y71" s="1151">
        <v>55330.8</v>
      </c>
      <c r="Z71" s="1151">
        <v>21921</v>
      </c>
      <c r="AA71" s="829">
        <f t="shared" si="16"/>
        <v>0.9961290488962246</v>
      </c>
      <c r="AC71" s="1060" t="b">
        <f t="shared" si="13"/>
        <v>1</v>
      </c>
    </row>
    <row r="72" spans="1:29" s="36" customFormat="1" ht="21.75" customHeight="1">
      <c r="A72" s="18"/>
      <c r="B72" s="602"/>
      <c r="C72" s="1160" t="s">
        <v>420</v>
      </c>
      <c r="D72" s="1094" t="s">
        <v>421</v>
      </c>
      <c r="E72" s="1161" t="s">
        <v>417</v>
      </c>
      <c r="F72" s="1162">
        <v>2006</v>
      </c>
      <c r="G72" s="1163">
        <f>H72+I72</f>
        <v>1528494</v>
      </c>
      <c r="H72" s="1163"/>
      <c r="I72" s="1163">
        <f>1126500+401994</f>
        <v>1528494</v>
      </c>
      <c r="J72" s="1164"/>
      <c r="K72" s="1164"/>
      <c r="L72" s="1163">
        <f>1126500+401994</f>
        <v>1528494</v>
      </c>
      <c r="M72" s="1164"/>
      <c r="N72" s="1164"/>
      <c r="O72" s="1164"/>
      <c r="P72" s="1164"/>
      <c r="Q72" s="1164"/>
      <c r="R72" s="1164"/>
      <c r="S72" s="1164"/>
      <c r="T72" s="1164"/>
      <c r="U72" s="1164"/>
      <c r="V72" s="1164"/>
      <c r="W72" s="1165">
        <f t="shared" si="15"/>
        <v>1521641.35</v>
      </c>
      <c r="X72" s="1166"/>
      <c r="Y72" s="1166"/>
      <c r="Z72" s="1165">
        <v>1521641.35</v>
      </c>
      <c r="AA72" s="1167">
        <f t="shared" si="16"/>
        <v>0.9955167308474878</v>
      </c>
      <c r="AC72" s="1060" t="b">
        <f t="shared" si="13"/>
        <v>1</v>
      </c>
    </row>
    <row r="73" spans="1:29" s="36" customFormat="1" ht="21.75" customHeight="1">
      <c r="A73" s="18"/>
      <c r="B73" s="602"/>
      <c r="C73" s="680" t="s">
        <v>422</v>
      </c>
      <c r="D73" s="1099" t="s">
        <v>423</v>
      </c>
      <c r="E73" s="1146" t="s">
        <v>417</v>
      </c>
      <c r="F73" s="1147">
        <v>2006</v>
      </c>
      <c r="G73" s="1148">
        <f>H73+I73</f>
        <v>1551653</v>
      </c>
      <c r="H73" s="1148"/>
      <c r="I73" s="1148">
        <f>1126500+425153</f>
        <v>1551653</v>
      </c>
      <c r="J73" s="1149"/>
      <c r="K73" s="1149"/>
      <c r="L73" s="1148">
        <f>1126500+425153</f>
        <v>1551653</v>
      </c>
      <c r="M73" s="1149"/>
      <c r="N73" s="1149"/>
      <c r="O73" s="1149"/>
      <c r="P73" s="1149"/>
      <c r="Q73" s="1149"/>
      <c r="R73" s="1149"/>
      <c r="S73" s="1149"/>
      <c r="T73" s="1149"/>
      <c r="U73" s="1149"/>
      <c r="V73" s="1149"/>
      <c r="W73" s="1150">
        <f t="shared" si="15"/>
        <v>1507281.27</v>
      </c>
      <c r="X73" s="1151"/>
      <c r="Y73" s="1151"/>
      <c r="Z73" s="1150">
        <v>1507281.27</v>
      </c>
      <c r="AA73" s="1159">
        <f t="shared" si="16"/>
        <v>0.9714035741238537</v>
      </c>
      <c r="AC73" s="1060" t="b">
        <f t="shared" si="13"/>
        <v>1</v>
      </c>
    </row>
    <row r="74" spans="1:29" s="36" customFormat="1" ht="21.75" customHeight="1">
      <c r="A74" s="18"/>
      <c r="B74" s="602"/>
      <c r="C74" s="681" t="s">
        <v>671</v>
      </c>
      <c r="D74" s="1099" t="s">
        <v>424</v>
      </c>
      <c r="E74" s="1146" t="s">
        <v>417</v>
      </c>
      <c r="F74" s="1147" t="s">
        <v>395</v>
      </c>
      <c r="G74" s="1148">
        <v>85452</v>
      </c>
      <c r="H74" s="1148"/>
      <c r="I74" s="1148">
        <f aca="true" t="shared" si="17" ref="I74:I85">J74+K74+L74</f>
        <v>39384</v>
      </c>
      <c r="J74" s="1149"/>
      <c r="K74" s="1149">
        <v>39384</v>
      </c>
      <c r="L74" s="1148"/>
      <c r="M74" s="1149"/>
      <c r="N74" s="1149"/>
      <c r="O74" s="1149">
        <v>46068</v>
      </c>
      <c r="P74" s="1149"/>
      <c r="Q74" s="1149"/>
      <c r="R74" s="1149"/>
      <c r="S74" s="1149"/>
      <c r="T74" s="1149"/>
      <c r="U74" s="1149"/>
      <c r="V74" s="1149"/>
      <c r="W74" s="1150">
        <f>Y74</f>
        <v>39377.88</v>
      </c>
      <c r="X74" s="1151"/>
      <c r="Y74" s="1151">
        <v>39377.88</v>
      </c>
      <c r="Z74" s="1150"/>
      <c r="AA74" s="1159">
        <f t="shared" si="16"/>
        <v>0.9998446069469835</v>
      </c>
      <c r="AC74" s="1060" t="b">
        <f t="shared" si="13"/>
        <v>1</v>
      </c>
    </row>
    <row r="75" spans="1:29" s="36" customFormat="1" ht="31.5" customHeight="1">
      <c r="A75" s="18"/>
      <c r="B75" s="602"/>
      <c r="C75" s="696" t="s">
        <v>425</v>
      </c>
      <c r="D75" s="1107" t="s">
        <v>426</v>
      </c>
      <c r="E75" s="1153" t="s">
        <v>417</v>
      </c>
      <c r="F75" s="1154" t="s">
        <v>395</v>
      </c>
      <c r="G75" s="1148">
        <v>109509</v>
      </c>
      <c r="H75" s="1148"/>
      <c r="I75" s="1148">
        <f t="shared" si="17"/>
        <v>51458</v>
      </c>
      <c r="J75" s="1149"/>
      <c r="K75" s="1149">
        <v>51458</v>
      </c>
      <c r="L75" s="1148"/>
      <c r="M75" s="1149"/>
      <c r="N75" s="1149"/>
      <c r="O75" s="1149">
        <v>58051</v>
      </c>
      <c r="P75" s="1149"/>
      <c r="Q75" s="1149"/>
      <c r="R75" s="1149"/>
      <c r="S75" s="1149"/>
      <c r="T75" s="1149"/>
      <c r="U75" s="1149"/>
      <c r="V75" s="1149"/>
      <c r="W75" s="1150">
        <f>Y75</f>
        <v>51395.86</v>
      </c>
      <c r="X75" s="1151"/>
      <c r="Y75" s="1151">
        <v>51395.86</v>
      </c>
      <c r="Z75" s="1150"/>
      <c r="AA75" s="1159">
        <f t="shared" si="16"/>
        <v>0.9987924132302072</v>
      </c>
      <c r="AC75" s="1060" t="b">
        <f aca="true" t="shared" si="18" ref="AC75:AC98">W75=X75+Y75+Z75</f>
        <v>1</v>
      </c>
    </row>
    <row r="76" spans="1:29" ht="22.5" customHeight="1" thickBot="1">
      <c r="A76" s="1109">
        <v>854</v>
      </c>
      <c r="B76" s="1110"/>
      <c r="C76" s="1111" t="s">
        <v>27</v>
      </c>
      <c r="D76" s="1111"/>
      <c r="E76" s="1111"/>
      <c r="F76" s="1143"/>
      <c r="G76" s="1114">
        <f>G77</f>
        <v>25630</v>
      </c>
      <c r="H76" s="1114">
        <f>H77</f>
        <v>2574</v>
      </c>
      <c r="I76" s="1114">
        <f t="shared" si="17"/>
        <v>27956</v>
      </c>
      <c r="J76" s="1114"/>
      <c r="K76" s="1114">
        <f>K77</f>
        <v>27956</v>
      </c>
      <c r="L76" s="1114"/>
      <c r="M76" s="1114"/>
      <c r="N76" s="1114"/>
      <c r="O76" s="1114">
        <f>O77</f>
        <v>2800</v>
      </c>
      <c r="P76" s="1114"/>
      <c r="Q76" s="1114"/>
      <c r="R76" s="1114"/>
      <c r="S76" s="1114"/>
      <c r="T76" s="1114"/>
      <c r="U76" s="1114"/>
      <c r="V76" s="1114"/>
      <c r="W76" s="1134">
        <f aca="true" t="shared" si="19" ref="W76:W82">X76+Y76+Z76</f>
        <v>27287.93</v>
      </c>
      <c r="X76" s="1134"/>
      <c r="Y76" s="1134">
        <f>Y77</f>
        <v>27287.93</v>
      </c>
      <c r="Z76" s="1134"/>
      <c r="AA76" s="1135">
        <f t="shared" si="16"/>
        <v>0.9761028044069252</v>
      </c>
      <c r="AC76" s="1060" t="b">
        <f t="shared" si="18"/>
        <v>1</v>
      </c>
    </row>
    <row r="77" spans="1:29" s="36" customFormat="1" ht="23.25" customHeight="1">
      <c r="A77" s="18"/>
      <c r="B77" s="886">
        <v>85403</v>
      </c>
      <c r="C77" s="501" t="s">
        <v>676</v>
      </c>
      <c r="D77" s="501"/>
      <c r="E77" s="501"/>
      <c r="F77" s="1076"/>
      <c r="G77" s="1077">
        <f>G78</f>
        <v>25630</v>
      </c>
      <c r="H77" s="1077">
        <f>H78</f>
        <v>2574</v>
      </c>
      <c r="I77" s="1077">
        <f t="shared" si="17"/>
        <v>27956</v>
      </c>
      <c r="J77" s="1077"/>
      <c r="K77" s="1077">
        <f>K78+K79</f>
        <v>27956</v>
      </c>
      <c r="L77" s="1077"/>
      <c r="M77" s="1077"/>
      <c r="N77" s="1077"/>
      <c r="O77" s="1077">
        <f>O78+O79</f>
        <v>2800</v>
      </c>
      <c r="P77" s="1077"/>
      <c r="Q77" s="514"/>
      <c r="R77" s="514"/>
      <c r="S77" s="514"/>
      <c r="T77" s="1077"/>
      <c r="U77" s="1077"/>
      <c r="V77" s="1077"/>
      <c r="W77" s="1078">
        <f t="shared" si="19"/>
        <v>27287.93</v>
      </c>
      <c r="X77" s="1078"/>
      <c r="Y77" s="1078">
        <f>Y78+Y79</f>
        <v>27287.93</v>
      </c>
      <c r="Z77" s="1078"/>
      <c r="AA77" s="1079">
        <f t="shared" si="16"/>
        <v>0.9761028044069252</v>
      </c>
      <c r="AC77" s="1060" t="b">
        <f t="shared" si="18"/>
        <v>1</v>
      </c>
    </row>
    <row r="78" spans="1:29" ht="33.75" customHeight="1">
      <c r="A78" s="1117"/>
      <c r="B78" s="750"/>
      <c r="C78" s="507" t="s">
        <v>241</v>
      </c>
      <c r="D78" s="1122" t="s">
        <v>387</v>
      </c>
      <c r="E78" s="507" t="s">
        <v>427</v>
      </c>
      <c r="F78" s="1138" t="s">
        <v>372</v>
      </c>
      <c r="G78" s="1139">
        <f>H78+K78</f>
        <v>25630</v>
      </c>
      <c r="H78" s="1139">
        <v>2574</v>
      </c>
      <c r="I78" s="1139">
        <f t="shared" si="17"/>
        <v>23056</v>
      </c>
      <c r="J78" s="529"/>
      <c r="K78" s="529">
        <v>23056</v>
      </c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1140">
        <f t="shared" si="19"/>
        <v>22387.93</v>
      </c>
      <c r="X78" s="530"/>
      <c r="Y78" s="530">
        <v>22387.93</v>
      </c>
      <c r="Z78" s="530"/>
      <c r="AA78" s="1141">
        <f t="shared" si="16"/>
        <v>0.9710240284524636</v>
      </c>
      <c r="AC78" s="1060" t="b">
        <f t="shared" si="18"/>
        <v>1</v>
      </c>
    </row>
    <row r="79" spans="1:29" s="36" customFormat="1" ht="26.25" customHeight="1">
      <c r="A79" s="18"/>
      <c r="B79" s="602"/>
      <c r="C79" s="710" t="s">
        <v>678</v>
      </c>
      <c r="D79" s="1168" t="s">
        <v>409</v>
      </c>
      <c r="E79" s="1169" t="s">
        <v>407</v>
      </c>
      <c r="F79" s="1170" t="s">
        <v>372</v>
      </c>
      <c r="G79" s="1171">
        <f>H79+K79</f>
        <v>10059</v>
      </c>
      <c r="H79" s="1171">
        <v>5159</v>
      </c>
      <c r="I79" s="1171">
        <f t="shared" si="17"/>
        <v>4900</v>
      </c>
      <c r="J79" s="1172"/>
      <c r="K79" s="1172">
        <v>4900</v>
      </c>
      <c r="L79" s="1172"/>
      <c r="M79" s="1172"/>
      <c r="N79" s="1172"/>
      <c r="O79" s="1172">
        <v>2800</v>
      </c>
      <c r="P79" s="1172"/>
      <c r="Q79" s="1172"/>
      <c r="R79" s="1172"/>
      <c r="S79" s="1172"/>
      <c r="T79" s="1172"/>
      <c r="U79" s="1172"/>
      <c r="V79" s="1172"/>
      <c r="W79" s="1173">
        <f t="shared" si="19"/>
        <v>4900</v>
      </c>
      <c r="X79" s="1174"/>
      <c r="Y79" s="1174">
        <v>4900</v>
      </c>
      <c r="Z79" s="1174"/>
      <c r="AA79" s="1175">
        <f t="shared" si="16"/>
        <v>1</v>
      </c>
      <c r="AC79" s="1060" t="b">
        <f t="shared" si="18"/>
        <v>1</v>
      </c>
    </row>
    <row r="80" spans="1:29" ht="32.25" customHeight="1" thickBot="1">
      <c r="A80" s="1109">
        <v>900</v>
      </c>
      <c r="B80" s="1110"/>
      <c r="C80" s="1111" t="s">
        <v>1287</v>
      </c>
      <c r="D80" s="1111"/>
      <c r="E80" s="1111"/>
      <c r="F80" s="1143"/>
      <c r="G80" s="1114">
        <f>G81</f>
        <v>31051672</v>
      </c>
      <c r="H80" s="1114">
        <f>H81</f>
        <v>21935450</v>
      </c>
      <c r="I80" s="1114">
        <f t="shared" si="17"/>
        <v>8527979</v>
      </c>
      <c r="J80" s="1114">
        <f>J81</f>
        <v>3285369</v>
      </c>
      <c r="K80" s="1114">
        <f>K81</f>
        <v>5242610</v>
      </c>
      <c r="L80" s="1114"/>
      <c r="M80" s="1114"/>
      <c r="N80" s="1114"/>
      <c r="O80" s="1114"/>
      <c r="P80" s="1114"/>
      <c r="Q80" s="1114"/>
      <c r="R80" s="1114"/>
      <c r="S80" s="1114"/>
      <c r="T80" s="1114"/>
      <c r="U80" s="1114"/>
      <c r="V80" s="1114"/>
      <c r="W80" s="1134">
        <f t="shared" si="19"/>
        <v>6966320.4799999995</v>
      </c>
      <c r="X80" s="1134">
        <f>X81</f>
        <v>1741580.14</v>
      </c>
      <c r="Y80" s="1134">
        <f>Y81</f>
        <v>5224740.34</v>
      </c>
      <c r="Z80" s="1134"/>
      <c r="AA80" s="1135">
        <f t="shared" si="16"/>
        <v>0.8168782404365676</v>
      </c>
      <c r="AC80" s="1060" t="b">
        <f t="shared" si="18"/>
        <v>1</v>
      </c>
    </row>
    <row r="81" spans="1:29" s="36" customFormat="1" ht="22.5" customHeight="1">
      <c r="A81" s="18"/>
      <c r="B81" s="886">
        <v>90002</v>
      </c>
      <c r="C81" s="501" t="s">
        <v>699</v>
      </c>
      <c r="D81" s="501"/>
      <c r="E81" s="501"/>
      <c r="F81" s="1144"/>
      <c r="G81" s="514">
        <f>G82</f>
        <v>31051672</v>
      </c>
      <c r="H81" s="514">
        <f>H82</f>
        <v>21935450</v>
      </c>
      <c r="I81" s="514">
        <f t="shared" si="17"/>
        <v>8527979</v>
      </c>
      <c r="J81" s="514">
        <f>J82</f>
        <v>3285369</v>
      </c>
      <c r="K81" s="514">
        <f>K82</f>
        <v>5242610</v>
      </c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5">
        <f t="shared" si="19"/>
        <v>6966320.4799999995</v>
      </c>
      <c r="X81" s="515">
        <f>X82</f>
        <v>1741580.14</v>
      </c>
      <c r="Y81" s="515">
        <f>Y82</f>
        <v>5224740.34</v>
      </c>
      <c r="Z81" s="515"/>
      <c r="AA81" s="1145">
        <f t="shared" si="16"/>
        <v>0.8168782404365676</v>
      </c>
      <c r="AC81" s="1060" t="b">
        <f t="shared" si="18"/>
        <v>1</v>
      </c>
    </row>
    <row r="82" spans="1:29" ht="32.25" customHeight="1">
      <c r="A82" s="1117"/>
      <c r="B82" s="695"/>
      <c r="C82" s="1026" t="s">
        <v>428</v>
      </c>
      <c r="D82" s="1176" t="s">
        <v>429</v>
      </c>
      <c r="E82" s="868" t="s">
        <v>371</v>
      </c>
      <c r="F82" s="1177" t="s">
        <v>372</v>
      </c>
      <c r="G82" s="1178">
        <v>31051672</v>
      </c>
      <c r="H82" s="1178">
        <v>21935450</v>
      </c>
      <c r="I82" s="1178">
        <f t="shared" si="17"/>
        <v>8527979</v>
      </c>
      <c r="J82" s="521">
        <v>3285369</v>
      </c>
      <c r="K82" s="521">
        <v>5242610</v>
      </c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1179">
        <f t="shared" si="19"/>
        <v>6966320.4799999995</v>
      </c>
      <c r="X82" s="522">
        <v>1741580.14</v>
      </c>
      <c r="Y82" s="522">
        <v>5224740.34</v>
      </c>
      <c r="Z82" s="522"/>
      <c r="AA82" s="951">
        <f t="shared" si="16"/>
        <v>0.8168782404365676</v>
      </c>
      <c r="AC82" s="1060" t="b">
        <f t="shared" si="18"/>
        <v>1</v>
      </c>
    </row>
    <row r="83" spans="1:29" ht="30.75" customHeight="1" thickBot="1">
      <c r="A83" s="1109">
        <v>921</v>
      </c>
      <c r="B83" s="1110"/>
      <c r="C83" s="1111" t="s">
        <v>16</v>
      </c>
      <c r="D83" s="1111"/>
      <c r="E83" s="1111"/>
      <c r="F83" s="1143"/>
      <c r="G83" s="1114">
        <f>G84+G89</f>
        <v>140613</v>
      </c>
      <c r="H83" s="1114"/>
      <c r="I83" s="1114">
        <f t="shared" si="17"/>
        <v>173539</v>
      </c>
      <c r="J83" s="1114">
        <f>J84+J89+J87</f>
        <v>32065</v>
      </c>
      <c r="K83" s="1114">
        <f>K84+K89+K87</f>
        <v>141474</v>
      </c>
      <c r="L83" s="1114"/>
      <c r="M83" s="1114"/>
      <c r="N83" s="1114"/>
      <c r="O83" s="1114">
        <f>O84+O89+O87</f>
        <v>4542</v>
      </c>
      <c r="P83" s="1114"/>
      <c r="Q83" s="1114"/>
      <c r="R83" s="1114"/>
      <c r="S83" s="1114"/>
      <c r="T83" s="1114"/>
      <c r="U83" s="1114"/>
      <c r="V83" s="1114"/>
      <c r="W83" s="1134">
        <f>Y83+X83</f>
        <v>160191.3</v>
      </c>
      <c r="X83" s="1134">
        <f>X84+X87+X89</f>
        <v>32065</v>
      </c>
      <c r="Y83" s="1134">
        <f>Y84+Y87+Y89</f>
        <v>128126.3</v>
      </c>
      <c r="Z83" s="1134"/>
      <c r="AA83" s="1180">
        <f t="shared" si="16"/>
        <v>0.9230853007105031</v>
      </c>
      <c r="AC83" s="1060" t="b">
        <f t="shared" si="18"/>
        <v>1</v>
      </c>
    </row>
    <row r="84" spans="1:29" s="36" customFormat="1" ht="24" customHeight="1">
      <c r="A84" s="18"/>
      <c r="B84" s="886">
        <v>92105</v>
      </c>
      <c r="C84" s="501" t="s">
        <v>17</v>
      </c>
      <c r="D84" s="501"/>
      <c r="E84" s="501"/>
      <c r="F84" s="1144"/>
      <c r="G84" s="514">
        <f>G85</f>
        <v>12353</v>
      </c>
      <c r="H84" s="514"/>
      <c r="I84" s="514">
        <f t="shared" si="17"/>
        <v>31653</v>
      </c>
      <c r="J84" s="514"/>
      <c r="K84" s="514">
        <f>K85+K86</f>
        <v>31653</v>
      </c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514"/>
      <c r="W84" s="515">
        <f>Y84</f>
        <v>18303.1</v>
      </c>
      <c r="X84" s="515"/>
      <c r="Y84" s="515">
        <f>Y85+Y86</f>
        <v>18303.1</v>
      </c>
      <c r="Z84" s="515"/>
      <c r="AA84" s="1181">
        <f t="shared" si="16"/>
        <v>0.5782421887340852</v>
      </c>
      <c r="AC84" s="1060" t="b">
        <f t="shared" si="18"/>
        <v>1</v>
      </c>
    </row>
    <row r="85" spans="1:29" ht="28.5" customHeight="1">
      <c r="A85" s="108"/>
      <c r="B85" s="602"/>
      <c r="C85" s="1082" t="s">
        <v>430</v>
      </c>
      <c r="D85" s="1182" t="s">
        <v>431</v>
      </c>
      <c r="E85" s="1082" t="s">
        <v>371</v>
      </c>
      <c r="F85" s="1183">
        <v>2006</v>
      </c>
      <c r="G85" s="1184">
        <v>12353</v>
      </c>
      <c r="H85" s="1184"/>
      <c r="I85" s="1184">
        <f t="shared" si="17"/>
        <v>12353</v>
      </c>
      <c r="J85" s="1085"/>
      <c r="K85" s="1085">
        <v>12353</v>
      </c>
      <c r="L85" s="1085"/>
      <c r="M85" s="1085"/>
      <c r="N85" s="1085"/>
      <c r="O85" s="1085"/>
      <c r="P85" s="1085"/>
      <c r="Q85" s="1085"/>
      <c r="R85" s="1085"/>
      <c r="S85" s="1085"/>
      <c r="T85" s="1085"/>
      <c r="U85" s="1085"/>
      <c r="V85" s="1085"/>
      <c r="W85" s="1185">
        <f>Y85</f>
        <v>6622.5</v>
      </c>
      <c r="X85" s="1087"/>
      <c r="Y85" s="1087">
        <v>6622.5</v>
      </c>
      <c r="Z85" s="1087"/>
      <c r="AA85" s="1088">
        <f t="shared" si="16"/>
        <v>0.5361045899781429</v>
      </c>
      <c r="AC85" s="1060" t="b">
        <f t="shared" si="18"/>
        <v>1</v>
      </c>
    </row>
    <row r="86" spans="1:29" s="36" customFormat="1" ht="32.25" customHeight="1">
      <c r="A86" s="18"/>
      <c r="B86" s="695"/>
      <c r="C86" s="1142" t="s">
        <v>749</v>
      </c>
      <c r="D86" s="1107" t="s">
        <v>423</v>
      </c>
      <c r="E86" s="1153" t="s">
        <v>417</v>
      </c>
      <c r="F86" s="1154">
        <v>2006</v>
      </c>
      <c r="G86" s="1155">
        <f>H86+I86</f>
        <v>19300</v>
      </c>
      <c r="H86" s="1155"/>
      <c r="I86" s="1155">
        <f>K86</f>
        <v>19300</v>
      </c>
      <c r="J86" s="1156"/>
      <c r="K86" s="1156">
        <v>19300</v>
      </c>
      <c r="L86" s="1155"/>
      <c r="M86" s="1156"/>
      <c r="N86" s="1156"/>
      <c r="O86" s="1156"/>
      <c r="P86" s="1156"/>
      <c r="Q86" s="1156"/>
      <c r="R86" s="1156"/>
      <c r="S86" s="1156"/>
      <c r="T86" s="1156"/>
      <c r="U86" s="1156"/>
      <c r="V86" s="1156"/>
      <c r="W86" s="1157">
        <f>Y86</f>
        <v>11680.6</v>
      </c>
      <c r="X86" s="1158"/>
      <c r="Y86" s="1158">
        <v>11680.6</v>
      </c>
      <c r="Z86" s="1157"/>
      <c r="AA86" s="951">
        <f t="shared" si="16"/>
        <v>0.6052124352331606</v>
      </c>
      <c r="AC86" s="1060" t="b">
        <f t="shared" si="18"/>
        <v>1</v>
      </c>
    </row>
    <row r="87" spans="1:29" s="36" customFormat="1" ht="30">
      <c r="A87" s="18"/>
      <c r="B87" s="851">
        <v>92109</v>
      </c>
      <c r="C87" s="1186" t="s">
        <v>432</v>
      </c>
      <c r="D87" s="512"/>
      <c r="E87" s="512"/>
      <c r="F87" s="1090"/>
      <c r="G87" s="852">
        <f>G88</f>
        <v>128260</v>
      </c>
      <c r="H87" s="852"/>
      <c r="I87" s="852">
        <f aca="true" t="shared" si="20" ref="I87:I98">J87+K87+L87</f>
        <v>13626</v>
      </c>
      <c r="J87" s="852"/>
      <c r="K87" s="852">
        <f>K88</f>
        <v>13626</v>
      </c>
      <c r="L87" s="852"/>
      <c r="M87" s="852"/>
      <c r="N87" s="852"/>
      <c r="O87" s="852">
        <f>O88</f>
        <v>4542</v>
      </c>
      <c r="P87" s="852"/>
      <c r="Q87" s="852"/>
      <c r="R87" s="852"/>
      <c r="S87" s="852"/>
      <c r="T87" s="852"/>
      <c r="U87" s="852"/>
      <c r="V87" s="852"/>
      <c r="W87" s="1187">
        <f>Y87</f>
        <v>13628.2</v>
      </c>
      <c r="X87" s="1187"/>
      <c r="Y87" s="1187">
        <f>Y88</f>
        <v>13628.2</v>
      </c>
      <c r="Z87" s="1187"/>
      <c r="AA87" s="1188">
        <f t="shared" si="16"/>
        <v>1.0001614560399237</v>
      </c>
      <c r="AC87" s="1060" t="b">
        <f t="shared" si="18"/>
        <v>1</v>
      </c>
    </row>
    <row r="88" spans="1:29" ht="24" customHeight="1">
      <c r="A88" s="108"/>
      <c r="B88" s="695"/>
      <c r="C88" s="1129" t="s">
        <v>433</v>
      </c>
      <c r="D88" s="1189" t="s">
        <v>434</v>
      </c>
      <c r="E88" s="868" t="s">
        <v>435</v>
      </c>
      <c r="F88" s="1177">
        <v>2006</v>
      </c>
      <c r="G88" s="1178">
        <v>128260</v>
      </c>
      <c r="H88" s="1178"/>
      <c r="I88" s="1178">
        <f t="shared" si="20"/>
        <v>13626</v>
      </c>
      <c r="J88" s="521"/>
      <c r="K88" s="521">
        <v>13626</v>
      </c>
      <c r="L88" s="521"/>
      <c r="M88" s="521"/>
      <c r="N88" s="521"/>
      <c r="O88" s="521">
        <v>4542</v>
      </c>
      <c r="P88" s="521"/>
      <c r="Q88" s="521"/>
      <c r="R88" s="521"/>
      <c r="S88" s="521"/>
      <c r="T88" s="521"/>
      <c r="U88" s="521"/>
      <c r="V88" s="521"/>
      <c r="W88" s="1179">
        <f>Y88</f>
        <v>13628.2</v>
      </c>
      <c r="X88" s="522"/>
      <c r="Y88" s="522">
        <v>13628.2</v>
      </c>
      <c r="Z88" s="522"/>
      <c r="AA88" s="951">
        <f t="shared" si="16"/>
        <v>1.0001614560399237</v>
      </c>
      <c r="AC88" s="1060" t="b">
        <f t="shared" si="18"/>
        <v>1</v>
      </c>
    </row>
    <row r="89" spans="1:29" s="36" customFormat="1" ht="24" customHeight="1">
      <c r="A89" s="18"/>
      <c r="B89" s="851">
        <v>92113</v>
      </c>
      <c r="C89" s="512" t="s">
        <v>761</v>
      </c>
      <c r="D89" s="512"/>
      <c r="E89" s="512"/>
      <c r="F89" s="1090"/>
      <c r="G89" s="852">
        <f>G90</f>
        <v>128260</v>
      </c>
      <c r="H89" s="852"/>
      <c r="I89" s="852">
        <f t="shared" si="20"/>
        <v>128260</v>
      </c>
      <c r="J89" s="852">
        <f>J90</f>
        <v>32065</v>
      </c>
      <c r="K89" s="852">
        <f>K90</f>
        <v>96195</v>
      </c>
      <c r="L89" s="852"/>
      <c r="M89" s="852"/>
      <c r="N89" s="852"/>
      <c r="O89" s="852"/>
      <c r="P89" s="852"/>
      <c r="Q89" s="852"/>
      <c r="R89" s="852"/>
      <c r="S89" s="852"/>
      <c r="T89" s="852"/>
      <c r="U89" s="852"/>
      <c r="V89" s="852"/>
      <c r="W89" s="1187">
        <f>X89+Y89</f>
        <v>128260</v>
      </c>
      <c r="X89" s="1187">
        <f>X90</f>
        <v>32065</v>
      </c>
      <c r="Y89" s="1187">
        <f>Y90</f>
        <v>96195</v>
      </c>
      <c r="Z89" s="1187"/>
      <c r="AA89" s="1190">
        <f t="shared" si="16"/>
        <v>1</v>
      </c>
      <c r="AC89" s="1060" t="b">
        <f t="shared" si="18"/>
        <v>1</v>
      </c>
    </row>
    <row r="90" spans="1:29" ht="32.25" customHeight="1">
      <c r="A90" s="1117"/>
      <c r="B90" s="695"/>
      <c r="C90" s="702" t="s">
        <v>436</v>
      </c>
      <c r="D90" s="1189" t="s">
        <v>434</v>
      </c>
      <c r="E90" s="868" t="s">
        <v>435</v>
      </c>
      <c r="F90" s="1177">
        <v>2006</v>
      </c>
      <c r="G90" s="1178">
        <v>128260</v>
      </c>
      <c r="H90" s="1178"/>
      <c r="I90" s="1178">
        <f t="shared" si="20"/>
        <v>128260</v>
      </c>
      <c r="J90" s="521">
        <v>32065</v>
      </c>
      <c r="K90" s="521">
        <v>96195</v>
      </c>
      <c r="L90" s="521"/>
      <c r="M90" s="521"/>
      <c r="N90" s="521"/>
      <c r="O90" s="521"/>
      <c r="P90" s="521"/>
      <c r="Q90" s="521"/>
      <c r="R90" s="521"/>
      <c r="S90" s="521"/>
      <c r="T90" s="521"/>
      <c r="U90" s="521"/>
      <c r="V90" s="521"/>
      <c r="W90" s="1179">
        <f>X90+Y90</f>
        <v>128260</v>
      </c>
      <c r="X90" s="522">
        <v>32065</v>
      </c>
      <c r="Y90" s="522">
        <v>96195</v>
      </c>
      <c r="Z90" s="522"/>
      <c r="AA90" s="951">
        <f t="shared" si="16"/>
        <v>1</v>
      </c>
      <c r="AC90" s="1060" t="b">
        <f t="shared" si="18"/>
        <v>1</v>
      </c>
    </row>
    <row r="91" spans="1:29" ht="27" customHeight="1" thickBot="1">
      <c r="A91" s="1109">
        <v>926</v>
      </c>
      <c r="B91" s="1110"/>
      <c r="C91" s="1111" t="s">
        <v>22</v>
      </c>
      <c r="D91" s="1111"/>
      <c r="E91" s="1111"/>
      <c r="F91" s="1143"/>
      <c r="G91" s="1114">
        <f>G92</f>
        <v>8332152</v>
      </c>
      <c r="H91" s="1114">
        <f>H92</f>
        <v>164090</v>
      </c>
      <c r="I91" s="1114">
        <f t="shared" si="20"/>
        <v>8168062</v>
      </c>
      <c r="J91" s="1114">
        <f>J92</f>
        <v>2042015</v>
      </c>
      <c r="K91" s="1114">
        <f>K92</f>
        <v>6126047</v>
      </c>
      <c r="L91" s="1114"/>
      <c r="M91" s="1114"/>
      <c r="N91" s="1114"/>
      <c r="O91" s="1114"/>
      <c r="P91" s="1114"/>
      <c r="Q91" s="1114"/>
      <c r="R91" s="1114"/>
      <c r="S91" s="1114"/>
      <c r="T91" s="1114"/>
      <c r="U91" s="1114"/>
      <c r="V91" s="1114"/>
      <c r="W91" s="1134">
        <f>X91+Y91</f>
        <v>7392325.46</v>
      </c>
      <c r="X91" s="1134">
        <f>X92</f>
        <v>1848081.34</v>
      </c>
      <c r="Y91" s="1134">
        <f>Y92</f>
        <v>5544244.12</v>
      </c>
      <c r="Z91" s="1134"/>
      <c r="AA91" s="1135">
        <f t="shared" si="16"/>
        <v>0.9050280788759929</v>
      </c>
      <c r="AC91" s="1060" t="b">
        <f t="shared" si="18"/>
        <v>1</v>
      </c>
    </row>
    <row r="92" spans="1:29" s="36" customFormat="1" ht="22.5" customHeight="1">
      <c r="A92" s="18"/>
      <c r="B92" s="886">
        <v>92604</v>
      </c>
      <c r="C92" s="501" t="s">
        <v>770</v>
      </c>
      <c r="D92" s="501"/>
      <c r="E92" s="501"/>
      <c r="F92" s="1144"/>
      <c r="G92" s="514">
        <f>G93</f>
        <v>8332152</v>
      </c>
      <c r="H92" s="514">
        <f>H93</f>
        <v>164090</v>
      </c>
      <c r="I92" s="514">
        <f t="shared" si="20"/>
        <v>8168062</v>
      </c>
      <c r="J92" s="514">
        <f>J93</f>
        <v>2042015</v>
      </c>
      <c r="K92" s="514">
        <f>K93</f>
        <v>6126047</v>
      </c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4"/>
      <c r="W92" s="515">
        <f>X92+Y92</f>
        <v>7392325.46</v>
      </c>
      <c r="X92" s="515">
        <f>X93</f>
        <v>1848081.34</v>
      </c>
      <c r="Y92" s="515">
        <f>Y93</f>
        <v>5544244.12</v>
      </c>
      <c r="Z92" s="515"/>
      <c r="AA92" s="1145">
        <f t="shared" si="16"/>
        <v>0.9050280788759929</v>
      </c>
      <c r="AC92" s="1060" t="b">
        <f t="shared" si="18"/>
        <v>1</v>
      </c>
    </row>
    <row r="93" spans="1:29" ht="44.25" customHeight="1">
      <c r="A93" s="108"/>
      <c r="B93" s="602"/>
      <c r="C93" s="751" t="s">
        <v>437</v>
      </c>
      <c r="D93" s="1176" t="s">
        <v>438</v>
      </c>
      <c r="E93" s="868" t="s">
        <v>439</v>
      </c>
      <c r="F93" s="1177" t="s">
        <v>372</v>
      </c>
      <c r="G93" s="1178">
        <v>8332152</v>
      </c>
      <c r="H93" s="1178">
        <v>164090</v>
      </c>
      <c r="I93" s="1178">
        <f t="shared" si="20"/>
        <v>8168062</v>
      </c>
      <c r="J93" s="521">
        <v>2042015</v>
      </c>
      <c r="K93" s="521">
        <v>6126047</v>
      </c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1179">
        <f>X93+Y93</f>
        <v>7392325.46</v>
      </c>
      <c r="X93" s="522">
        <v>1848081.34</v>
      </c>
      <c r="Y93" s="522">
        <v>5544244.12</v>
      </c>
      <c r="Z93" s="522"/>
      <c r="AA93" s="951">
        <f t="shared" si="16"/>
        <v>0.9050280788759929</v>
      </c>
      <c r="AC93" s="1060" t="b">
        <f t="shared" si="18"/>
        <v>1</v>
      </c>
    </row>
    <row r="94" spans="1:29" s="1068" customFormat="1" ht="33.75" customHeight="1" thickBot="1">
      <c r="A94" s="1061"/>
      <c r="B94" s="1061"/>
      <c r="C94" s="1191" t="s">
        <v>776</v>
      </c>
      <c r="D94" s="1192"/>
      <c r="E94" s="1192"/>
      <c r="F94" s="1193"/>
      <c r="G94" s="1194">
        <f aca="true" t="shared" si="21" ref="G94:H96">G95</f>
        <v>2006662</v>
      </c>
      <c r="H94" s="1194">
        <f t="shared" si="21"/>
        <v>767637</v>
      </c>
      <c r="I94" s="1194">
        <f t="shared" si="20"/>
        <v>1777298</v>
      </c>
      <c r="J94" s="1194"/>
      <c r="K94" s="1194">
        <f aca="true" t="shared" si="22" ref="K94:M95">K95</f>
        <v>1209451</v>
      </c>
      <c r="L94" s="1194">
        <f t="shared" si="22"/>
        <v>567847</v>
      </c>
      <c r="M94" s="1194">
        <f t="shared" si="22"/>
        <v>0</v>
      </c>
      <c r="N94" s="1194"/>
      <c r="O94" s="1194">
        <f>O95</f>
        <v>561528</v>
      </c>
      <c r="P94" s="1194">
        <f>P95</f>
        <v>263642</v>
      </c>
      <c r="Q94" s="1194"/>
      <c r="R94" s="1194"/>
      <c r="S94" s="1194"/>
      <c r="T94" s="1194"/>
      <c r="U94" s="1194"/>
      <c r="V94" s="1194"/>
      <c r="W94" s="1195">
        <f>Y94+Z94</f>
        <v>1691659.87</v>
      </c>
      <c r="X94" s="1195"/>
      <c r="Y94" s="1195">
        <f>Y95</f>
        <v>1151174.5</v>
      </c>
      <c r="Z94" s="1195">
        <f>Z95</f>
        <v>540485.37</v>
      </c>
      <c r="AA94" s="1196">
        <f t="shared" si="16"/>
        <v>0.9518155480960425</v>
      </c>
      <c r="AC94" s="1060" t="b">
        <f t="shared" si="18"/>
        <v>1</v>
      </c>
    </row>
    <row r="95" spans="1:29" ht="21" customHeight="1" thickBot="1">
      <c r="A95" s="1069">
        <v>854</v>
      </c>
      <c r="B95" s="1197"/>
      <c r="C95" s="1198" t="s">
        <v>27</v>
      </c>
      <c r="D95" s="1198"/>
      <c r="E95" s="1198"/>
      <c r="F95" s="1199"/>
      <c r="G95" s="1073">
        <f t="shared" si="21"/>
        <v>2006662</v>
      </c>
      <c r="H95" s="1073">
        <f t="shared" si="21"/>
        <v>767637</v>
      </c>
      <c r="I95" s="1073">
        <f t="shared" si="20"/>
        <v>1777298</v>
      </c>
      <c r="J95" s="1073"/>
      <c r="K95" s="1073">
        <f t="shared" si="22"/>
        <v>1209451</v>
      </c>
      <c r="L95" s="1073">
        <f t="shared" si="22"/>
        <v>567847</v>
      </c>
      <c r="M95" s="1073">
        <f t="shared" si="22"/>
        <v>0</v>
      </c>
      <c r="N95" s="1073"/>
      <c r="O95" s="1073">
        <f>O96</f>
        <v>561528</v>
      </c>
      <c r="P95" s="1073">
        <f>P96</f>
        <v>263642</v>
      </c>
      <c r="Q95" s="1073"/>
      <c r="R95" s="1073"/>
      <c r="S95" s="1073"/>
      <c r="T95" s="1073"/>
      <c r="U95" s="1073"/>
      <c r="V95" s="1073"/>
      <c r="W95" s="1200">
        <f>Y95+Z95</f>
        <v>1691659.87</v>
      </c>
      <c r="X95" s="1200"/>
      <c r="Y95" s="1200">
        <f>Y96</f>
        <v>1151174.5</v>
      </c>
      <c r="Z95" s="1200">
        <f>Z96</f>
        <v>540485.37</v>
      </c>
      <c r="AA95" s="1201">
        <f t="shared" si="16"/>
        <v>0.9518155480960425</v>
      </c>
      <c r="AC95" s="1060" t="b">
        <f t="shared" si="18"/>
        <v>1</v>
      </c>
    </row>
    <row r="96" spans="1:29" s="36" customFormat="1" ht="21" customHeight="1">
      <c r="A96" s="18"/>
      <c r="B96" s="886">
        <v>85415</v>
      </c>
      <c r="C96" s="501" t="s">
        <v>114</v>
      </c>
      <c r="D96" s="501"/>
      <c r="E96" s="501"/>
      <c r="F96" s="1144"/>
      <c r="G96" s="514">
        <f t="shared" si="21"/>
        <v>2006662</v>
      </c>
      <c r="H96" s="514">
        <f t="shared" si="21"/>
        <v>767637</v>
      </c>
      <c r="I96" s="514">
        <f t="shared" si="20"/>
        <v>1777298</v>
      </c>
      <c r="J96" s="514"/>
      <c r="K96" s="514">
        <f>K97+K98</f>
        <v>1209451</v>
      </c>
      <c r="L96" s="514">
        <f>L97+L98</f>
        <v>567847</v>
      </c>
      <c r="M96" s="514">
        <f>M97+M98</f>
        <v>0</v>
      </c>
      <c r="N96" s="514"/>
      <c r="O96" s="514">
        <f>O97+O98</f>
        <v>561528</v>
      </c>
      <c r="P96" s="514">
        <f>P97+P98</f>
        <v>263642</v>
      </c>
      <c r="Q96" s="514"/>
      <c r="R96" s="514"/>
      <c r="S96" s="514"/>
      <c r="T96" s="514"/>
      <c r="U96" s="514"/>
      <c r="V96" s="514"/>
      <c r="W96" s="515">
        <f>Y96+Z96</f>
        <v>1691659.87</v>
      </c>
      <c r="X96" s="515"/>
      <c r="Y96" s="515">
        <f>Y97+Y98</f>
        <v>1151174.5</v>
      </c>
      <c r="Z96" s="515">
        <f>Z97+Z98</f>
        <v>540485.37</v>
      </c>
      <c r="AA96" s="1145">
        <f t="shared" si="16"/>
        <v>0.9518155480960425</v>
      </c>
      <c r="AC96" s="1060" t="b">
        <f t="shared" si="18"/>
        <v>1</v>
      </c>
    </row>
    <row r="97" spans="1:29" ht="45" customHeight="1">
      <c r="A97" s="108"/>
      <c r="B97" s="639"/>
      <c r="C97" s="702" t="s">
        <v>440</v>
      </c>
      <c r="D97" s="1202" t="s">
        <v>441</v>
      </c>
      <c r="E97" s="1203" t="s">
        <v>371</v>
      </c>
      <c r="F97" s="1204" t="s">
        <v>372</v>
      </c>
      <c r="G97" s="1125">
        <v>2006662</v>
      </c>
      <c r="H97" s="1125">
        <v>767637</v>
      </c>
      <c r="I97" s="1125">
        <f t="shared" si="20"/>
        <v>1239025</v>
      </c>
      <c r="J97" s="705"/>
      <c r="K97" s="705">
        <v>843156</v>
      </c>
      <c r="L97" s="705">
        <v>395869</v>
      </c>
      <c r="M97" s="705"/>
      <c r="N97" s="705"/>
      <c r="O97" s="705"/>
      <c r="P97" s="705"/>
      <c r="Q97" s="705"/>
      <c r="R97" s="705"/>
      <c r="S97" s="705"/>
      <c r="T97" s="705"/>
      <c r="U97" s="705"/>
      <c r="V97" s="705"/>
      <c r="W97" s="1126">
        <f>Y97+Z97</f>
        <v>1166856.3199999998</v>
      </c>
      <c r="X97" s="708"/>
      <c r="Y97" s="708">
        <v>794045.72</v>
      </c>
      <c r="Z97" s="708">
        <v>372810.6</v>
      </c>
      <c r="AA97" s="986">
        <f t="shared" si="16"/>
        <v>0.9417536530739895</v>
      </c>
      <c r="AC97" s="1060" t="b">
        <f t="shared" si="18"/>
        <v>1</v>
      </c>
    </row>
    <row r="98" spans="1:29" s="36" customFormat="1" ht="42.75">
      <c r="A98" s="22"/>
      <c r="B98" s="695"/>
      <c r="C98" s="1142" t="s">
        <v>442</v>
      </c>
      <c r="D98" s="1107" t="s">
        <v>426</v>
      </c>
      <c r="E98" s="1153" t="s">
        <v>417</v>
      </c>
      <c r="F98" s="1154" t="s">
        <v>395</v>
      </c>
      <c r="G98" s="1155">
        <v>109509</v>
      </c>
      <c r="H98" s="1155"/>
      <c r="I98" s="1155">
        <f t="shared" si="20"/>
        <v>538273</v>
      </c>
      <c r="J98" s="1156"/>
      <c r="K98" s="1156">
        <v>366295</v>
      </c>
      <c r="L98" s="1155">
        <v>171978</v>
      </c>
      <c r="M98" s="1156"/>
      <c r="N98" s="1156"/>
      <c r="O98" s="1156">
        <v>561528</v>
      </c>
      <c r="P98" s="1156">
        <v>263642</v>
      </c>
      <c r="Q98" s="1156"/>
      <c r="R98" s="1156"/>
      <c r="S98" s="1156"/>
      <c r="T98" s="1156"/>
      <c r="U98" s="1156"/>
      <c r="V98" s="1156"/>
      <c r="W98" s="1157">
        <f>Y98+Z98</f>
        <v>524803.55</v>
      </c>
      <c r="X98" s="1158"/>
      <c r="Y98" s="1158">
        <v>357128.78</v>
      </c>
      <c r="Z98" s="1157">
        <v>167674.77</v>
      </c>
      <c r="AA98" s="1205">
        <f t="shared" si="16"/>
        <v>0.9749765453589536</v>
      </c>
      <c r="AC98" s="1060" t="b">
        <f t="shared" si="18"/>
        <v>1</v>
      </c>
    </row>
    <row r="101" spans="3:16" ht="12.75">
      <c r="C101" s="417" t="s">
        <v>287</v>
      </c>
      <c r="P101" t="s">
        <v>289</v>
      </c>
    </row>
    <row r="102" spans="3:16" ht="12.75">
      <c r="C102" s="417" t="s">
        <v>288</v>
      </c>
      <c r="P102" t="s">
        <v>290</v>
      </c>
    </row>
  </sheetData>
  <mergeCells count="6">
    <mergeCell ref="C3:T3"/>
    <mergeCell ref="X8:Z8"/>
    <mergeCell ref="T8:V8"/>
    <mergeCell ref="J8:L8"/>
    <mergeCell ref="N8:P8"/>
    <mergeCell ref="Q8:S8"/>
  </mergeCells>
  <printOptions horizontalCentered="1"/>
  <pageMargins left="0.15748031496062992" right="0.15748031496062992" top="0.4724409448818898" bottom="0.5905511811023623" header="0.31496062992125984" footer="0.3937007874015748"/>
  <pageSetup firstPageNumber="60" useFirstPageNumber="1" horizontalDpi="600" verticalDpi="600" orientation="landscape" paperSize="9" scale="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63"/>
  <sheetViews>
    <sheetView zoomScale="75" zoomScaleNormal="75" workbookViewId="0" topLeftCell="A1">
      <selection activeCell="AA2" sqref="AA2:AA4"/>
    </sheetView>
  </sheetViews>
  <sheetFormatPr defaultColWidth="9.00390625" defaultRowHeight="12.75"/>
  <cols>
    <col min="1" max="1" width="6.75390625" style="0" customWidth="1"/>
    <col min="2" max="2" width="8.375" style="0" customWidth="1"/>
    <col min="3" max="3" width="44.75390625" style="116" customWidth="1"/>
    <col min="4" max="4" width="31.375" style="116" hidden="1" customWidth="1"/>
    <col min="5" max="5" width="16.00390625" style="116" hidden="1" customWidth="1"/>
    <col min="6" max="6" width="11.125" style="1206" hidden="1" customWidth="1"/>
    <col min="7" max="7" width="12.625" style="1206" hidden="1" customWidth="1"/>
    <col min="8" max="8" width="13.00390625" style="1206" hidden="1" customWidth="1"/>
    <col min="9" max="9" width="11.75390625" style="0" hidden="1" customWidth="1"/>
    <col min="10" max="10" width="10.625" style="0" customWidth="1"/>
    <col min="11" max="11" width="12.875" style="0" customWidth="1"/>
    <col min="12" max="12" width="13.625" style="0" customWidth="1"/>
    <col min="13" max="13" width="11.75390625" style="0" hidden="1" customWidth="1"/>
    <col min="14" max="14" width="11.375" style="0" customWidth="1"/>
    <col min="15" max="15" width="12.75390625" style="0" customWidth="1"/>
    <col min="16" max="16" width="13.25390625" style="0" customWidth="1"/>
    <col min="17" max="17" width="10.625" style="0" customWidth="1"/>
    <col min="18" max="18" width="12.25390625" style="0" customWidth="1"/>
    <col min="19" max="19" width="12.875" style="0" customWidth="1"/>
    <col min="20" max="20" width="12.375" style="0" customWidth="1"/>
    <col min="21" max="21" width="12.75390625" style="0" customWidth="1"/>
    <col min="22" max="22" width="13.375" style="0" customWidth="1"/>
    <col min="23" max="23" width="11.75390625" style="0" hidden="1" customWidth="1"/>
    <col min="24" max="24" width="11.125" style="0" customWidth="1"/>
    <col min="25" max="25" width="12.375" style="0" customWidth="1"/>
    <col min="26" max="26" width="13.625" style="0" customWidth="1"/>
    <col min="27" max="27" width="11.75390625" style="0" customWidth="1"/>
    <col min="28" max="28" width="12.75390625" style="0" customWidth="1"/>
    <col min="29" max="29" width="13.375" style="0" customWidth="1"/>
    <col min="30" max="30" width="13.875" style="0" customWidth="1"/>
    <col min="31" max="31" width="9.625" style="1206" customWidth="1"/>
  </cols>
  <sheetData>
    <row r="1" spans="3:31" s="6" customFormat="1" ht="19.5" customHeight="1">
      <c r="C1" s="1035"/>
      <c r="D1" s="1035"/>
      <c r="E1" s="1035"/>
      <c r="F1" s="1036"/>
      <c r="G1" s="1036"/>
      <c r="H1" s="1036"/>
      <c r="P1" s="1037"/>
      <c r="Z1" s="1037"/>
      <c r="AA1" s="35" t="s">
        <v>443</v>
      </c>
      <c r="AB1" s="75"/>
      <c r="AC1" s="75"/>
      <c r="AE1" s="1036"/>
    </row>
    <row r="2" spans="7:31" s="6" customFormat="1" ht="19.5" customHeight="1">
      <c r="G2" s="1038"/>
      <c r="H2" s="1038"/>
      <c r="P2" s="1037"/>
      <c r="Z2" s="1037"/>
      <c r="AA2" s="35" t="s">
        <v>293</v>
      </c>
      <c r="AE2" s="1038"/>
    </row>
    <row r="3" spans="3:31" s="6" customFormat="1" ht="19.5" customHeight="1">
      <c r="C3" s="2748" t="s">
        <v>444</v>
      </c>
      <c r="D3" s="2748"/>
      <c r="E3" s="2748"/>
      <c r="F3" s="2748"/>
      <c r="G3" s="2748"/>
      <c r="H3" s="2778"/>
      <c r="I3" s="2778"/>
      <c r="J3" s="2778"/>
      <c r="K3" s="2778"/>
      <c r="L3" s="2778"/>
      <c r="M3" s="2778"/>
      <c r="N3" s="2778"/>
      <c r="O3" s="2778"/>
      <c r="P3" s="2778"/>
      <c r="Q3" s="2778"/>
      <c r="R3" s="2778"/>
      <c r="S3" s="2778"/>
      <c r="T3" s="2778"/>
      <c r="U3" s="2778"/>
      <c r="V3" s="2778"/>
      <c r="Z3" s="1037"/>
      <c r="AA3" s="35" t="s">
        <v>893</v>
      </c>
      <c r="AE3" s="1040"/>
    </row>
    <row r="4" spans="3:31" s="6" customFormat="1" ht="19.5" customHeight="1">
      <c r="C4" s="1039"/>
      <c r="D4" s="1039"/>
      <c r="E4" s="1039"/>
      <c r="F4" s="1039"/>
      <c r="G4" s="1039"/>
      <c r="H4" s="1040"/>
      <c r="P4" s="35"/>
      <c r="Z4" s="35"/>
      <c r="AA4" s="35" t="s">
        <v>294</v>
      </c>
      <c r="AE4" s="1040"/>
    </row>
    <row r="5" spans="3:31" s="6" customFormat="1" ht="19.5" customHeight="1">
      <c r="C5" s="1039"/>
      <c r="D5" s="1039"/>
      <c r="E5" s="1039"/>
      <c r="F5" s="1039"/>
      <c r="G5" s="1039"/>
      <c r="H5" s="1040"/>
      <c r="P5" s="35"/>
      <c r="Z5" s="35"/>
      <c r="AE5" s="1040"/>
    </row>
    <row r="6" spans="2:31" s="6" customFormat="1" ht="21" customHeight="1" thickBot="1">
      <c r="B6" s="36"/>
      <c r="C6" s="1035"/>
      <c r="D6" s="1035"/>
      <c r="E6" s="1035"/>
      <c r="F6" s="1036"/>
      <c r="G6" s="1036"/>
      <c r="H6" s="1036"/>
      <c r="M6" s="1041"/>
      <c r="S6" s="102"/>
      <c r="W6" s="1041"/>
      <c r="AC6" s="102"/>
      <c r="AD6" s="1042" t="s">
        <v>725</v>
      </c>
      <c r="AE6" s="1036"/>
    </row>
    <row r="7" spans="1:31" s="6" customFormat="1" ht="41.25" customHeight="1" thickBot="1" thickTop="1">
      <c r="A7" s="1043"/>
      <c r="B7" s="1043"/>
      <c r="C7" s="1044"/>
      <c r="D7" s="1044"/>
      <c r="E7" s="1045" t="s">
        <v>350</v>
      </c>
      <c r="F7" s="1045"/>
      <c r="G7" s="1045"/>
      <c r="H7" s="1045"/>
      <c r="I7" s="1045"/>
      <c r="J7" s="2779" t="s">
        <v>445</v>
      </c>
      <c r="K7" s="2780"/>
      <c r="L7" s="2781"/>
      <c r="M7" s="1045"/>
      <c r="N7" s="2779" t="s">
        <v>446</v>
      </c>
      <c r="O7" s="2780"/>
      <c r="P7" s="2781"/>
      <c r="Q7" s="2779" t="s">
        <v>447</v>
      </c>
      <c r="R7" s="2780"/>
      <c r="S7" s="2780"/>
      <c r="T7" s="2749" t="s">
        <v>448</v>
      </c>
      <c r="U7" s="2780"/>
      <c r="V7" s="2781"/>
      <c r="W7" s="1045"/>
      <c r="X7" s="2779" t="s">
        <v>351</v>
      </c>
      <c r="Y7" s="2780"/>
      <c r="Z7" s="2781"/>
      <c r="AA7" s="2779" t="s">
        <v>353</v>
      </c>
      <c r="AB7" s="2780"/>
      <c r="AC7" s="2780"/>
      <c r="AD7" s="1207" t="s">
        <v>1177</v>
      </c>
      <c r="AE7" s="1045"/>
    </row>
    <row r="8" spans="1:31" s="6" customFormat="1" ht="57" customHeight="1" thickBot="1" thickTop="1">
      <c r="A8" s="1046" t="s">
        <v>11</v>
      </c>
      <c r="B8" s="1047" t="s">
        <v>354</v>
      </c>
      <c r="C8" s="1047" t="s">
        <v>355</v>
      </c>
      <c r="D8" s="1047" t="s">
        <v>356</v>
      </c>
      <c r="E8" s="1047" t="s">
        <v>357</v>
      </c>
      <c r="F8" s="1047" t="s">
        <v>358</v>
      </c>
      <c r="G8" s="1047" t="s">
        <v>449</v>
      </c>
      <c r="H8" s="1047" t="s">
        <v>450</v>
      </c>
      <c r="I8" s="1047" t="s">
        <v>451</v>
      </c>
      <c r="J8" s="1048" t="s">
        <v>362</v>
      </c>
      <c r="K8" s="1048" t="s">
        <v>363</v>
      </c>
      <c r="L8" s="1048" t="s">
        <v>364</v>
      </c>
      <c r="M8" s="1047" t="s">
        <v>365</v>
      </c>
      <c r="N8" s="1048" t="s">
        <v>362</v>
      </c>
      <c r="O8" s="1048" t="s">
        <v>363</v>
      </c>
      <c r="P8" s="1048" t="s">
        <v>364</v>
      </c>
      <c r="Q8" s="1048" t="s">
        <v>362</v>
      </c>
      <c r="R8" s="1048" t="s">
        <v>363</v>
      </c>
      <c r="S8" s="1208" t="s">
        <v>364</v>
      </c>
      <c r="T8" s="1209" t="s">
        <v>362</v>
      </c>
      <c r="U8" s="1048" t="s">
        <v>363</v>
      </c>
      <c r="V8" s="1048" t="s">
        <v>364</v>
      </c>
      <c r="W8" s="1047" t="s">
        <v>365</v>
      </c>
      <c r="X8" s="1048" t="s">
        <v>362</v>
      </c>
      <c r="Y8" s="1048" t="s">
        <v>363</v>
      </c>
      <c r="Z8" s="1048" t="s">
        <v>364</v>
      </c>
      <c r="AA8" s="1048" t="s">
        <v>362</v>
      </c>
      <c r="AB8" s="1048" t="s">
        <v>363</v>
      </c>
      <c r="AC8" s="1208" t="s">
        <v>364</v>
      </c>
      <c r="AD8" s="1209" t="s">
        <v>452</v>
      </c>
      <c r="AE8" s="1047" t="s">
        <v>453</v>
      </c>
    </row>
    <row r="9" spans="1:31" s="1052" customFormat="1" ht="14.25" customHeight="1" thickBot="1" thickTop="1">
      <c r="A9" s="39">
        <v>1</v>
      </c>
      <c r="B9" s="39">
        <v>2</v>
      </c>
      <c r="C9" s="1050">
        <v>3</v>
      </c>
      <c r="D9" s="1051">
        <v>4</v>
      </c>
      <c r="E9" s="1051">
        <v>5</v>
      </c>
      <c r="F9" s="1051">
        <v>6</v>
      </c>
      <c r="G9" s="1051">
        <v>7</v>
      </c>
      <c r="H9" s="1051">
        <v>8</v>
      </c>
      <c r="I9" s="39">
        <v>9</v>
      </c>
      <c r="J9" s="39">
        <v>4</v>
      </c>
      <c r="K9" s="39">
        <v>5</v>
      </c>
      <c r="L9" s="39">
        <v>6</v>
      </c>
      <c r="M9" s="39">
        <v>14</v>
      </c>
      <c r="N9" s="39">
        <v>7</v>
      </c>
      <c r="O9" s="39">
        <v>8</v>
      </c>
      <c r="P9" s="39">
        <v>9</v>
      </c>
      <c r="Q9" s="39">
        <v>10</v>
      </c>
      <c r="R9" s="39">
        <v>11</v>
      </c>
      <c r="S9" s="1210">
        <v>12</v>
      </c>
      <c r="T9" s="1211">
        <v>13</v>
      </c>
      <c r="U9" s="39">
        <v>14</v>
      </c>
      <c r="V9" s="39">
        <v>15</v>
      </c>
      <c r="W9" s="39">
        <v>14</v>
      </c>
      <c r="X9" s="39">
        <v>16</v>
      </c>
      <c r="Y9" s="39">
        <v>17</v>
      </c>
      <c r="Z9" s="39">
        <v>18</v>
      </c>
      <c r="AA9" s="39">
        <v>19</v>
      </c>
      <c r="AB9" s="39">
        <v>20</v>
      </c>
      <c r="AC9" s="1210">
        <v>21</v>
      </c>
      <c r="AD9" s="1211">
        <v>22</v>
      </c>
      <c r="AE9" s="1051">
        <v>23</v>
      </c>
    </row>
    <row r="10" spans="1:31" s="1060" customFormat="1" ht="20.25" customHeight="1" thickBot="1" thickTop="1">
      <c r="A10" s="1053"/>
      <c r="B10" s="1053"/>
      <c r="C10" s="1212" t="s">
        <v>368</v>
      </c>
      <c r="D10" s="1213"/>
      <c r="E10" s="1213"/>
      <c r="F10" s="1214"/>
      <c r="G10" s="1215" t="e">
        <f>G11+G27+G30+G49+G52+G45</f>
        <v>#REF!</v>
      </c>
      <c r="H10" s="1215" t="e">
        <f>H11+H27+H30+H49+H52+H45</f>
        <v>#REF!</v>
      </c>
      <c r="I10" s="1215">
        <f aca="true" t="shared" si="0" ref="I10:S10">I11+I27+I30+I49+I52</f>
        <v>0</v>
      </c>
      <c r="J10" s="1215">
        <f t="shared" si="0"/>
        <v>9547400</v>
      </c>
      <c r="K10" s="1215">
        <f t="shared" si="0"/>
        <v>16880550</v>
      </c>
      <c r="L10" s="1215">
        <f t="shared" si="0"/>
        <v>1500000</v>
      </c>
      <c r="M10" s="1215">
        <f t="shared" si="0"/>
        <v>0</v>
      </c>
      <c r="N10" s="1215">
        <f t="shared" si="0"/>
        <v>24451126</v>
      </c>
      <c r="O10" s="1215">
        <f t="shared" si="0"/>
        <v>42591738</v>
      </c>
      <c r="P10" s="1215">
        <f t="shared" si="0"/>
        <v>21980835</v>
      </c>
      <c r="Q10" s="1215">
        <f t="shared" si="0"/>
        <v>5327500</v>
      </c>
      <c r="R10" s="1215">
        <f t="shared" si="0"/>
        <v>7827500</v>
      </c>
      <c r="S10" s="1216">
        <f t="shared" si="0"/>
        <v>2500000</v>
      </c>
      <c r="T10" s="1217">
        <f aca="true" t="shared" si="1" ref="T10:AD10">T11+T27+T30+T49+T52+T45</f>
        <v>5041290</v>
      </c>
      <c r="U10" s="1218">
        <f t="shared" si="1"/>
        <v>2000000</v>
      </c>
      <c r="V10" s="1218">
        <f t="shared" si="1"/>
        <v>1500000</v>
      </c>
      <c r="W10" s="1218" t="e">
        <f t="shared" si="1"/>
        <v>#REF!</v>
      </c>
      <c r="X10" s="1218">
        <f t="shared" si="1"/>
        <v>14254775</v>
      </c>
      <c r="Y10" s="1218">
        <f t="shared" si="1"/>
        <v>18462826</v>
      </c>
      <c r="Z10" s="1218">
        <f t="shared" si="1"/>
        <v>24741079</v>
      </c>
      <c r="AA10" s="1218">
        <f t="shared" si="1"/>
        <v>7781939</v>
      </c>
      <c r="AB10" s="1218">
        <f t="shared" si="1"/>
        <v>21725220</v>
      </c>
      <c r="AC10" s="1219">
        <f t="shared" si="1"/>
        <v>2500000</v>
      </c>
      <c r="AD10" s="1220">
        <f t="shared" si="1"/>
        <v>4345468.72</v>
      </c>
      <c r="AE10" s="1221">
        <f>AD10/T10</f>
        <v>0.8619755499088526</v>
      </c>
    </row>
    <row r="11" spans="1:31" ht="21" customHeight="1" thickBot="1">
      <c r="A11" s="1222">
        <v>600</v>
      </c>
      <c r="B11" s="1222"/>
      <c r="C11" s="1070" t="s">
        <v>147</v>
      </c>
      <c r="D11" s="1070"/>
      <c r="E11" s="1070"/>
      <c r="F11" s="1071"/>
      <c r="G11" s="1072">
        <f>G12+G14+G25</f>
        <v>74812158</v>
      </c>
      <c r="H11" s="1072">
        <f>H12+H14+H25</f>
        <v>9948360</v>
      </c>
      <c r="I11" s="1072">
        <f>I12+I14+I25</f>
        <v>0</v>
      </c>
      <c r="J11" s="1072">
        <f>J12+J14+J25</f>
        <v>5194000</v>
      </c>
      <c r="K11" s="1072">
        <f>K12+K14+K25</f>
        <v>14880550</v>
      </c>
      <c r="L11" s="1072"/>
      <c r="M11" s="1072">
        <f>M12+M14+M25</f>
        <v>0</v>
      </c>
      <c r="N11" s="1072">
        <f>N12+N14+N25</f>
        <v>12488927</v>
      </c>
      <c r="O11" s="1072">
        <f>O12+O14+O25</f>
        <v>32282937</v>
      </c>
      <c r="P11" s="1073"/>
      <c r="Q11" s="1073"/>
      <c r="R11" s="1073"/>
      <c r="S11" s="1223"/>
      <c r="T11" s="1224">
        <f>T12+T14+T25</f>
        <v>4068000</v>
      </c>
      <c r="U11" s="1072"/>
      <c r="V11" s="1072"/>
      <c r="W11" s="1072">
        <f>W12+W14+W25</f>
        <v>0</v>
      </c>
      <c r="X11" s="1072">
        <f>X12+X14+X25</f>
        <v>1732710</v>
      </c>
      <c r="Y11" s="1072">
        <f>Y12+Y14+Y25</f>
        <v>8094025</v>
      </c>
      <c r="Z11" s="1072"/>
      <c r="AA11" s="1072">
        <f>AA12+AA14+AA25</f>
        <v>2454439</v>
      </c>
      <c r="AB11" s="1072">
        <f>AB12+AB14+AB25</f>
        <v>13897720</v>
      </c>
      <c r="AC11" s="1223"/>
      <c r="AD11" s="1225">
        <f>AD12+AD14+AD25</f>
        <v>4059474.8</v>
      </c>
      <c r="AE11" s="1075">
        <f>AD11/T11</f>
        <v>0.9979043264503441</v>
      </c>
    </row>
    <row r="12" spans="1:31" s="36" customFormat="1" ht="21" customHeight="1">
      <c r="A12" s="18"/>
      <c r="B12" s="632">
        <v>60004</v>
      </c>
      <c r="C12" s="633" t="s">
        <v>148</v>
      </c>
      <c r="D12" s="1226"/>
      <c r="E12" s="501"/>
      <c r="F12" s="1144"/>
      <c r="G12" s="1077">
        <f>G13</f>
        <v>5925610</v>
      </c>
      <c r="H12" s="1077"/>
      <c r="I12" s="1077">
        <f>I13</f>
        <v>0</v>
      </c>
      <c r="J12" s="1077">
        <f>J13</f>
        <v>300000</v>
      </c>
      <c r="K12" s="1077">
        <f>K13</f>
        <v>900000</v>
      </c>
      <c r="L12" s="1077"/>
      <c r="M12" s="1077">
        <f>M13</f>
        <v>0</v>
      </c>
      <c r="N12" s="1077">
        <f>N13</f>
        <v>1181403</v>
      </c>
      <c r="O12" s="1077">
        <f>O13</f>
        <v>3544207</v>
      </c>
      <c r="P12" s="514"/>
      <c r="Q12" s="514"/>
      <c r="R12" s="514"/>
      <c r="S12" s="1227"/>
      <c r="T12" s="1228"/>
      <c r="U12" s="1077"/>
      <c r="V12" s="1077"/>
      <c r="W12" s="1077">
        <f>W13</f>
        <v>0</v>
      </c>
      <c r="X12" s="1077"/>
      <c r="Y12" s="1077"/>
      <c r="Z12" s="514"/>
      <c r="AA12" s="514"/>
      <c r="AB12" s="514"/>
      <c r="AC12" s="1227"/>
      <c r="AD12" s="1229"/>
      <c r="AE12" s="1079"/>
    </row>
    <row r="13" spans="1:31" s="36" customFormat="1" ht="43.5" customHeight="1">
      <c r="A13" s="18"/>
      <c r="B13" s="639"/>
      <c r="C13" s="1080" t="s">
        <v>1195</v>
      </c>
      <c r="D13" s="1230" t="s">
        <v>454</v>
      </c>
      <c r="E13" s="1106" t="s">
        <v>371</v>
      </c>
      <c r="F13" s="1096" t="s">
        <v>395</v>
      </c>
      <c r="G13" s="1097">
        <v>5925610</v>
      </c>
      <c r="H13" s="1231"/>
      <c r="I13" s="705"/>
      <c r="J13" s="705">
        <v>300000</v>
      </c>
      <c r="K13" s="705">
        <v>900000</v>
      </c>
      <c r="L13" s="705"/>
      <c r="M13" s="705"/>
      <c r="N13" s="705">
        <v>1181403</v>
      </c>
      <c r="O13" s="705">
        <v>3544207</v>
      </c>
      <c r="P13" s="705"/>
      <c r="Q13" s="705"/>
      <c r="R13" s="705"/>
      <c r="S13" s="1232"/>
      <c r="T13" s="1233"/>
      <c r="U13" s="705"/>
      <c r="V13" s="705"/>
      <c r="W13" s="705"/>
      <c r="X13" s="705"/>
      <c r="Y13" s="705"/>
      <c r="Z13" s="705"/>
      <c r="AA13" s="705"/>
      <c r="AB13" s="705"/>
      <c r="AC13" s="1232"/>
      <c r="AD13" s="1234"/>
      <c r="AE13" s="986"/>
    </row>
    <row r="14" spans="1:31" s="36" customFormat="1" ht="32.25" customHeight="1">
      <c r="A14" s="18"/>
      <c r="B14" s="661">
        <v>60015</v>
      </c>
      <c r="C14" s="662" t="s">
        <v>153</v>
      </c>
      <c r="D14" s="1089"/>
      <c r="E14" s="512"/>
      <c r="F14" s="1090"/>
      <c r="G14" s="1091">
        <f>G16+G21+G22+G23+G24</f>
        <v>61359106</v>
      </c>
      <c r="H14" s="1091">
        <f>H16+H21+H22+H23+H24</f>
        <v>8671834</v>
      </c>
      <c r="I14" s="1091">
        <f>I16+I21+I22+I23+I24</f>
        <v>0</v>
      </c>
      <c r="J14" s="1091">
        <f>J16+J21+J22+J23+J24</f>
        <v>4253000</v>
      </c>
      <c r="K14" s="1091">
        <f>K16+K21+K22+K23+K24</f>
        <v>12756550</v>
      </c>
      <c r="L14" s="1091"/>
      <c r="M14" s="1091">
        <f>M16+M21+M22+M23+M24</f>
        <v>0</v>
      </c>
      <c r="N14" s="1091">
        <f>N16+N21+N22+N23+N24</f>
        <v>10207524</v>
      </c>
      <c r="O14" s="1091">
        <f>O16+O21+O22+O23+O24</f>
        <v>25466730</v>
      </c>
      <c r="P14" s="1091"/>
      <c r="Q14" s="1091"/>
      <c r="R14" s="1091"/>
      <c r="S14" s="1235"/>
      <c r="T14" s="1236">
        <f>T16+T21+T22+T23+T24</f>
        <v>140000</v>
      </c>
      <c r="U14" s="1091"/>
      <c r="V14" s="1091"/>
      <c r="W14" s="1091">
        <f>W16+W21+W22+W23+W24</f>
        <v>0</v>
      </c>
      <c r="X14" s="1091">
        <f>X16+X21+X22+X23+X24</f>
        <v>1085960</v>
      </c>
      <c r="Y14" s="1091">
        <f>Y16+Y21+Y22+Y23+Y24</f>
        <v>6153775</v>
      </c>
      <c r="Z14" s="1091"/>
      <c r="AA14" s="1091">
        <f>AA16+AA21+AA22+AA23+AA24</f>
        <v>2454439</v>
      </c>
      <c r="AB14" s="1237">
        <f>AB16+AB21+AB22+AB23+AB24</f>
        <v>13897720</v>
      </c>
      <c r="AC14" s="1235"/>
      <c r="AD14" s="1238">
        <f>AD16+AD21+AD22+AD23+AD24</f>
        <v>135797.2</v>
      </c>
      <c r="AE14" s="1093">
        <f aca="true" t="shared" si="2" ref="AE14:AE20">AD14/T14</f>
        <v>0.9699800000000001</v>
      </c>
    </row>
    <row r="15" spans="1:31" s="36" customFormat="1" ht="30.75" customHeight="1" hidden="1">
      <c r="A15" s="18"/>
      <c r="B15" s="639"/>
      <c r="C15" s="702" t="s">
        <v>1196</v>
      </c>
      <c r="D15" s="1094" t="s">
        <v>455</v>
      </c>
      <c r="E15" s="1106"/>
      <c r="F15" s="1096" t="s">
        <v>372</v>
      </c>
      <c r="G15" s="1097">
        <v>7680580</v>
      </c>
      <c r="H15" s="1097">
        <f>2090239+717328-923</f>
        <v>2806644</v>
      </c>
      <c r="I15" s="527"/>
      <c r="J15" s="527">
        <f>830910+998026+50000</f>
        <v>1878936</v>
      </c>
      <c r="K15" s="527">
        <v>2995000</v>
      </c>
      <c r="L15" s="527"/>
      <c r="M15" s="527"/>
      <c r="N15" s="527"/>
      <c r="O15" s="527"/>
      <c r="P15" s="527"/>
      <c r="Q15" s="527"/>
      <c r="R15" s="527"/>
      <c r="S15" s="1239"/>
      <c r="T15" s="1240">
        <f>830910+998026+50000</f>
        <v>1878936</v>
      </c>
      <c r="U15" s="527">
        <v>2995000</v>
      </c>
      <c r="V15" s="527"/>
      <c r="W15" s="527"/>
      <c r="X15" s="527"/>
      <c r="Y15" s="527"/>
      <c r="Z15" s="527"/>
      <c r="AA15" s="527"/>
      <c r="AB15" s="527"/>
      <c r="AC15" s="1239"/>
      <c r="AD15" s="1241">
        <f>830910+998026+50000</f>
        <v>1878936</v>
      </c>
      <c r="AE15" s="957">
        <f t="shared" si="2"/>
        <v>1</v>
      </c>
    </row>
    <row r="16" spans="1:31" s="36" customFormat="1" ht="30" customHeight="1">
      <c r="A16" s="18"/>
      <c r="B16" s="602"/>
      <c r="C16" s="680" t="s">
        <v>456</v>
      </c>
      <c r="D16" s="1099" t="s">
        <v>457</v>
      </c>
      <c r="E16" s="1100" t="s">
        <v>371</v>
      </c>
      <c r="F16" s="1101" t="s">
        <v>458</v>
      </c>
      <c r="G16" s="1102">
        <v>38254000</v>
      </c>
      <c r="H16" s="1102">
        <v>8265208</v>
      </c>
      <c r="I16" s="1103"/>
      <c r="J16" s="1103">
        <v>2000000</v>
      </c>
      <c r="K16" s="1103">
        <v>6000000</v>
      </c>
      <c r="L16" s="1103"/>
      <c r="M16" s="1103"/>
      <c r="N16" s="1103">
        <v>6785324</v>
      </c>
      <c r="O16" s="1103">
        <v>15200000</v>
      </c>
      <c r="P16" s="1103"/>
      <c r="Q16" s="1103"/>
      <c r="R16" s="1103"/>
      <c r="S16" s="1242"/>
      <c r="T16" s="1243">
        <v>140000</v>
      </c>
      <c r="U16" s="1103"/>
      <c r="V16" s="1103"/>
      <c r="W16" s="1103"/>
      <c r="X16" s="1103">
        <v>750000</v>
      </c>
      <c r="Y16" s="1103">
        <v>4250000</v>
      </c>
      <c r="Z16" s="1103"/>
      <c r="AA16" s="1103">
        <v>2055000</v>
      </c>
      <c r="AB16" s="1103">
        <v>11645000</v>
      </c>
      <c r="AC16" s="1242"/>
      <c r="AD16" s="1244">
        <v>135797.2</v>
      </c>
      <c r="AE16" s="987">
        <f t="shared" si="2"/>
        <v>0.9699800000000001</v>
      </c>
    </row>
    <row r="17" spans="1:31" s="36" customFormat="1" ht="30.75" customHeight="1" hidden="1">
      <c r="A17" s="18"/>
      <c r="B17" s="602"/>
      <c r="C17" s="680" t="s">
        <v>1206</v>
      </c>
      <c r="D17" s="1099" t="s">
        <v>376</v>
      </c>
      <c r="E17" s="1100"/>
      <c r="F17" s="1101"/>
      <c r="G17" s="1102"/>
      <c r="H17" s="1102"/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242"/>
      <c r="T17" s="1243"/>
      <c r="U17" s="1103"/>
      <c r="V17" s="1103"/>
      <c r="W17" s="1103"/>
      <c r="X17" s="1103"/>
      <c r="Y17" s="1103"/>
      <c r="Z17" s="1103"/>
      <c r="AA17" s="1103"/>
      <c r="AB17" s="1103"/>
      <c r="AC17" s="1242"/>
      <c r="AD17" s="1244"/>
      <c r="AE17" s="987" t="e">
        <f t="shared" si="2"/>
        <v>#DIV/0!</v>
      </c>
    </row>
    <row r="18" spans="1:31" s="36" customFormat="1" ht="30.75" customHeight="1" hidden="1">
      <c r="A18" s="18"/>
      <c r="B18" s="602"/>
      <c r="C18" s="680" t="s">
        <v>1207</v>
      </c>
      <c r="D18" s="1099" t="s">
        <v>377</v>
      </c>
      <c r="E18" s="1100"/>
      <c r="F18" s="1101"/>
      <c r="G18" s="1102"/>
      <c r="H18" s="1102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242"/>
      <c r="T18" s="1243"/>
      <c r="U18" s="1103"/>
      <c r="V18" s="1103"/>
      <c r="W18" s="1103"/>
      <c r="X18" s="1103"/>
      <c r="Y18" s="1103"/>
      <c r="Z18" s="1103"/>
      <c r="AA18" s="1103"/>
      <c r="AB18" s="1103"/>
      <c r="AC18" s="1242"/>
      <c r="AD18" s="1244"/>
      <c r="AE18" s="987" t="e">
        <f t="shared" si="2"/>
        <v>#DIV/0!</v>
      </c>
    </row>
    <row r="19" spans="1:31" s="36" customFormat="1" ht="30.75" customHeight="1" hidden="1">
      <c r="A19" s="18"/>
      <c r="B19" s="602"/>
      <c r="C19" s="680" t="s">
        <v>1208</v>
      </c>
      <c r="D19" s="1099" t="s">
        <v>378</v>
      </c>
      <c r="E19" s="1100"/>
      <c r="F19" s="1101"/>
      <c r="G19" s="1102"/>
      <c r="H19" s="1102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242"/>
      <c r="T19" s="1243"/>
      <c r="U19" s="1103"/>
      <c r="V19" s="1103"/>
      <c r="W19" s="1103"/>
      <c r="X19" s="1103"/>
      <c r="Y19" s="1103"/>
      <c r="Z19" s="1103"/>
      <c r="AA19" s="1103"/>
      <c r="AB19" s="1103"/>
      <c r="AC19" s="1242"/>
      <c r="AD19" s="1244"/>
      <c r="AE19" s="987" t="e">
        <f t="shared" si="2"/>
        <v>#DIV/0!</v>
      </c>
    </row>
    <row r="20" spans="1:31" s="36" customFormat="1" ht="30.75" customHeight="1" hidden="1">
      <c r="A20" s="18"/>
      <c r="B20" s="602"/>
      <c r="C20" s="681" t="s">
        <v>1209</v>
      </c>
      <c r="D20" s="1099" t="s">
        <v>379</v>
      </c>
      <c r="E20" s="1100"/>
      <c r="F20" s="1101"/>
      <c r="G20" s="1102"/>
      <c r="H20" s="1102"/>
      <c r="I20" s="1103"/>
      <c r="J20" s="1103"/>
      <c r="K20" s="1103"/>
      <c r="L20" s="1103"/>
      <c r="M20" s="1103"/>
      <c r="N20" s="1103"/>
      <c r="O20" s="1103"/>
      <c r="P20" s="1103"/>
      <c r="Q20" s="1103"/>
      <c r="R20" s="1103"/>
      <c r="S20" s="1242"/>
      <c r="T20" s="1243"/>
      <c r="U20" s="1103"/>
      <c r="V20" s="1103"/>
      <c r="W20" s="1103"/>
      <c r="X20" s="1103"/>
      <c r="Y20" s="1103"/>
      <c r="Z20" s="1103"/>
      <c r="AA20" s="1103"/>
      <c r="AB20" s="1103"/>
      <c r="AC20" s="1242"/>
      <c r="AD20" s="1244"/>
      <c r="AE20" s="987" t="e">
        <f t="shared" si="2"/>
        <v>#DIV/0!</v>
      </c>
    </row>
    <row r="21" spans="1:31" s="36" customFormat="1" ht="45" customHeight="1">
      <c r="A21" s="18"/>
      <c r="B21" s="602"/>
      <c r="C21" s="680" t="s">
        <v>380</v>
      </c>
      <c r="D21" s="1099" t="s">
        <v>459</v>
      </c>
      <c r="E21" s="1100" t="s">
        <v>371</v>
      </c>
      <c r="F21" s="1101" t="s">
        <v>385</v>
      </c>
      <c r="G21" s="1102">
        <v>5498000</v>
      </c>
      <c r="H21" s="1102">
        <v>103700</v>
      </c>
      <c r="I21" s="1103"/>
      <c r="J21" s="1103">
        <v>127000</v>
      </c>
      <c r="K21" s="1103">
        <v>379300</v>
      </c>
      <c r="L21" s="1103"/>
      <c r="M21" s="1103"/>
      <c r="N21" s="1103">
        <v>1222000</v>
      </c>
      <c r="O21" s="1103">
        <v>3666000</v>
      </c>
      <c r="P21" s="1103"/>
      <c r="Q21" s="1103"/>
      <c r="R21" s="1103"/>
      <c r="S21" s="1242"/>
      <c r="T21" s="1243"/>
      <c r="U21" s="1103"/>
      <c r="V21" s="1103"/>
      <c r="W21" s="1103"/>
      <c r="X21" s="1103"/>
      <c r="Y21" s="1103"/>
      <c r="Z21" s="1103"/>
      <c r="AA21" s="1103"/>
      <c r="AB21" s="1103"/>
      <c r="AC21" s="1242"/>
      <c r="AD21" s="1244"/>
      <c r="AE21" s="987"/>
    </row>
    <row r="22" spans="1:31" s="36" customFormat="1" ht="43.5" customHeight="1">
      <c r="A22" s="18"/>
      <c r="B22" s="602"/>
      <c r="C22" s="680" t="s">
        <v>460</v>
      </c>
      <c r="D22" s="1099" t="s">
        <v>461</v>
      </c>
      <c r="E22" s="1100" t="s">
        <v>371</v>
      </c>
      <c r="F22" s="1101" t="s">
        <v>385</v>
      </c>
      <c r="G22" s="1102">
        <v>7024000</v>
      </c>
      <c r="H22" s="1102">
        <v>98820</v>
      </c>
      <c r="I22" s="1103"/>
      <c r="J22" s="1103">
        <v>748000</v>
      </c>
      <c r="K22" s="1103">
        <v>2244000</v>
      </c>
      <c r="L22" s="1103"/>
      <c r="M22" s="1103"/>
      <c r="N22" s="1103">
        <v>983000</v>
      </c>
      <c r="O22" s="1103">
        <v>2950180</v>
      </c>
      <c r="P22" s="1103"/>
      <c r="Q22" s="1103"/>
      <c r="R22" s="1103"/>
      <c r="S22" s="1242"/>
      <c r="T22" s="1243"/>
      <c r="U22" s="1103"/>
      <c r="V22" s="1103"/>
      <c r="W22" s="1103"/>
      <c r="X22" s="1103"/>
      <c r="Y22" s="1103"/>
      <c r="Z22" s="1103"/>
      <c r="AA22" s="1103"/>
      <c r="AB22" s="1103"/>
      <c r="AC22" s="1242"/>
      <c r="AD22" s="1244"/>
      <c r="AE22" s="987"/>
    </row>
    <row r="23" spans="1:31" s="36" customFormat="1" ht="45" customHeight="1">
      <c r="A23" s="18"/>
      <c r="B23" s="602"/>
      <c r="C23" s="680" t="s">
        <v>462</v>
      </c>
      <c r="D23" s="1099" t="s">
        <v>463</v>
      </c>
      <c r="E23" s="1100" t="s">
        <v>371</v>
      </c>
      <c r="F23" s="1101" t="s">
        <v>385</v>
      </c>
      <c r="G23" s="1102">
        <v>5610000</v>
      </c>
      <c r="H23" s="1102">
        <v>122000</v>
      </c>
      <c r="I23" s="1103"/>
      <c r="J23" s="1103">
        <v>818000</v>
      </c>
      <c r="K23" s="1103">
        <v>2453250</v>
      </c>
      <c r="L23" s="1103"/>
      <c r="M23" s="1103"/>
      <c r="N23" s="1103">
        <v>554200</v>
      </c>
      <c r="O23" s="1103">
        <v>1662550</v>
      </c>
      <c r="P23" s="1103"/>
      <c r="Q23" s="1103"/>
      <c r="R23" s="1103"/>
      <c r="S23" s="1242"/>
      <c r="T23" s="1243"/>
      <c r="U23" s="1103"/>
      <c r="V23" s="1103"/>
      <c r="W23" s="1103"/>
      <c r="X23" s="1103"/>
      <c r="Y23" s="1103"/>
      <c r="Z23" s="1103"/>
      <c r="AA23" s="1103"/>
      <c r="AB23" s="1103"/>
      <c r="AC23" s="1242"/>
      <c r="AD23" s="1244"/>
      <c r="AE23" s="987"/>
    </row>
    <row r="24" spans="1:31" s="36" customFormat="1" ht="47.25" customHeight="1">
      <c r="A24" s="18"/>
      <c r="B24" s="602"/>
      <c r="C24" s="1160" t="s">
        <v>464</v>
      </c>
      <c r="D24" s="1094" t="s">
        <v>465</v>
      </c>
      <c r="E24" s="1245" t="s">
        <v>371</v>
      </c>
      <c r="F24" s="1246" t="s">
        <v>385</v>
      </c>
      <c r="G24" s="1184">
        <v>4973106</v>
      </c>
      <c r="H24" s="1184">
        <v>82106</v>
      </c>
      <c r="I24" s="1103"/>
      <c r="J24" s="1085">
        <v>560000</v>
      </c>
      <c r="K24" s="1085">
        <v>1680000</v>
      </c>
      <c r="L24" s="1085"/>
      <c r="M24" s="1085"/>
      <c r="N24" s="1085">
        <v>663000</v>
      </c>
      <c r="O24" s="1085">
        <v>1988000</v>
      </c>
      <c r="P24" s="1085"/>
      <c r="Q24" s="1085"/>
      <c r="R24" s="1085"/>
      <c r="S24" s="1247"/>
      <c r="T24" s="1248"/>
      <c r="U24" s="1085"/>
      <c r="V24" s="1085"/>
      <c r="W24" s="1085"/>
      <c r="X24" s="1085">
        <v>335960</v>
      </c>
      <c r="Y24" s="1085">
        <v>1903775</v>
      </c>
      <c r="Z24" s="1085"/>
      <c r="AA24" s="1085">
        <v>399439</v>
      </c>
      <c r="AB24" s="1085">
        <v>2252720</v>
      </c>
      <c r="AC24" s="1247"/>
      <c r="AD24" s="1249"/>
      <c r="AE24" s="1088"/>
    </row>
    <row r="25" spans="1:31" s="36" customFormat="1" ht="21" customHeight="1">
      <c r="A25" s="18"/>
      <c r="B25" s="721">
        <v>60016</v>
      </c>
      <c r="C25" s="664" t="s">
        <v>156</v>
      </c>
      <c r="D25" s="1122"/>
      <c r="E25" s="1250"/>
      <c r="F25" s="1251"/>
      <c r="G25" s="1252">
        <f>G26</f>
        <v>7527442</v>
      </c>
      <c r="H25" s="1252">
        <f>H26</f>
        <v>1276526</v>
      </c>
      <c r="I25" s="1252">
        <f>I26</f>
        <v>0</v>
      </c>
      <c r="J25" s="1252">
        <f>J26</f>
        <v>641000</v>
      </c>
      <c r="K25" s="1252">
        <f>K26</f>
        <v>1224000</v>
      </c>
      <c r="L25" s="1252"/>
      <c r="M25" s="1252">
        <f>M26</f>
        <v>0</v>
      </c>
      <c r="N25" s="1252">
        <f>N26</f>
        <v>1100000</v>
      </c>
      <c r="O25" s="1252">
        <f>O26</f>
        <v>3272000</v>
      </c>
      <c r="P25" s="1252"/>
      <c r="Q25" s="1252"/>
      <c r="R25" s="1252"/>
      <c r="S25" s="1253"/>
      <c r="T25" s="1254">
        <f>T26</f>
        <v>3928000</v>
      </c>
      <c r="U25" s="1252"/>
      <c r="V25" s="1252"/>
      <c r="W25" s="1252">
        <f>W26</f>
        <v>0</v>
      </c>
      <c r="X25" s="1252">
        <f>X26</f>
        <v>646750</v>
      </c>
      <c r="Y25" s="1252">
        <f>Y26</f>
        <v>1940250</v>
      </c>
      <c r="Z25" s="1252"/>
      <c r="AA25" s="1252"/>
      <c r="AB25" s="1252"/>
      <c r="AC25" s="1253"/>
      <c r="AD25" s="1255">
        <f>AD26</f>
        <v>3923677.5999999996</v>
      </c>
      <c r="AE25" s="1256">
        <f>AD25/T25</f>
        <v>0.9988995926680243</v>
      </c>
    </row>
    <row r="26" spans="1:31" s="36" customFormat="1" ht="28.5" customHeight="1">
      <c r="A26" s="18"/>
      <c r="B26" s="602"/>
      <c r="C26" s="658" t="s">
        <v>466</v>
      </c>
      <c r="D26" s="1123" t="s">
        <v>467</v>
      </c>
      <c r="E26" s="1095" t="s">
        <v>371</v>
      </c>
      <c r="F26" s="1257" t="s">
        <v>458</v>
      </c>
      <c r="G26" s="1258">
        <v>7527442</v>
      </c>
      <c r="H26" s="1258">
        <v>1276526</v>
      </c>
      <c r="I26" s="705"/>
      <c r="J26" s="705">
        <f>611000+30000</f>
        <v>641000</v>
      </c>
      <c r="K26" s="705">
        <v>1224000</v>
      </c>
      <c r="L26" s="705"/>
      <c r="M26" s="705"/>
      <c r="N26" s="705">
        <v>1100000</v>
      </c>
      <c r="O26" s="705">
        <v>3272000</v>
      </c>
      <c r="P26" s="705"/>
      <c r="Q26" s="705"/>
      <c r="R26" s="705"/>
      <c r="S26" s="1232"/>
      <c r="T26" s="1233">
        <v>3928000</v>
      </c>
      <c r="U26" s="705"/>
      <c r="V26" s="705"/>
      <c r="W26" s="705"/>
      <c r="X26" s="705">
        <v>646750</v>
      </c>
      <c r="Y26" s="705">
        <v>1940250</v>
      </c>
      <c r="Z26" s="705"/>
      <c r="AA26" s="705"/>
      <c r="AB26" s="705"/>
      <c r="AC26" s="1232"/>
      <c r="AD26" s="1234">
        <f>3927999.57-4321.97</f>
        <v>3923677.5999999996</v>
      </c>
      <c r="AE26" s="986">
        <f>AD26/T26</f>
        <v>0.9988995926680243</v>
      </c>
    </row>
    <row r="27" spans="1:31" ht="21" customHeight="1" thickBot="1">
      <c r="A27" s="1109">
        <v>750</v>
      </c>
      <c r="B27" s="1110"/>
      <c r="C27" s="1111" t="s">
        <v>184</v>
      </c>
      <c r="D27" s="1111"/>
      <c r="E27" s="1111"/>
      <c r="F27" s="1112"/>
      <c r="G27" s="1113" t="e">
        <f>G28</f>
        <v>#REF!</v>
      </c>
      <c r="H27" s="1113" t="e">
        <f>H28</f>
        <v>#REF!</v>
      </c>
      <c r="I27" s="1113">
        <f>I28</f>
        <v>0</v>
      </c>
      <c r="J27" s="1113">
        <f>J28</f>
        <v>307700</v>
      </c>
      <c r="K27" s="1113"/>
      <c r="L27" s="1113"/>
      <c r="M27" s="1113">
        <f>M28</f>
        <v>0</v>
      </c>
      <c r="N27" s="1113">
        <f>N28</f>
        <v>1000260</v>
      </c>
      <c r="O27" s="1113"/>
      <c r="P27" s="1113">
        <f>P28</f>
        <v>5668140</v>
      </c>
      <c r="Q27" s="1114"/>
      <c r="R27" s="1114"/>
      <c r="S27" s="1259"/>
      <c r="T27" s="1260"/>
      <c r="U27" s="1114"/>
      <c r="V27" s="1114"/>
      <c r="W27" s="1114" t="e">
        <f>W28</f>
        <v>#REF!</v>
      </c>
      <c r="X27" s="1114">
        <f>X28</f>
        <v>1046415</v>
      </c>
      <c r="Y27" s="1114"/>
      <c r="Z27" s="1114">
        <f>Z28</f>
        <v>5929685</v>
      </c>
      <c r="AA27" s="1261"/>
      <c r="AB27" s="1114"/>
      <c r="AC27" s="1259"/>
      <c r="AD27" s="1262"/>
      <c r="AE27" s="1135"/>
    </row>
    <row r="28" spans="1:31" s="36" customFormat="1" ht="21" customHeight="1">
      <c r="A28" s="18"/>
      <c r="B28" s="886">
        <v>75023</v>
      </c>
      <c r="C28" s="501" t="s">
        <v>189</v>
      </c>
      <c r="D28" s="501"/>
      <c r="E28" s="501"/>
      <c r="F28" s="1076"/>
      <c r="G28" s="1077" t="e">
        <f>G29+#REF!</f>
        <v>#REF!</v>
      </c>
      <c r="H28" s="1077" t="e">
        <f>H29+#REF!</f>
        <v>#REF!</v>
      </c>
      <c r="I28" s="1077">
        <f>I29</f>
        <v>0</v>
      </c>
      <c r="J28" s="1077">
        <f>J29</f>
        <v>307700</v>
      </c>
      <c r="K28" s="1077"/>
      <c r="L28" s="1077"/>
      <c r="M28" s="1077">
        <f>M29</f>
        <v>0</v>
      </c>
      <c r="N28" s="1077">
        <f>N29</f>
        <v>1000260</v>
      </c>
      <c r="O28" s="1077"/>
      <c r="P28" s="1077">
        <f>P29</f>
        <v>5668140</v>
      </c>
      <c r="Q28" s="514"/>
      <c r="R28" s="514"/>
      <c r="S28" s="1227"/>
      <c r="T28" s="1263"/>
      <c r="U28" s="514"/>
      <c r="V28" s="514"/>
      <c r="W28" s="514" t="e">
        <f>W29+#REF!+#REF!</f>
        <v>#REF!</v>
      </c>
      <c r="X28" s="514">
        <f>X29</f>
        <v>1046415</v>
      </c>
      <c r="Y28" s="514"/>
      <c r="Z28" s="514">
        <f>Z29</f>
        <v>5929685</v>
      </c>
      <c r="AA28" s="887"/>
      <c r="AB28" s="514"/>
      <c r="AC28" s="1227"/>
      <c r="AD28" s="1264"/>
      <c r="AE28" s="1145"/>
    </row>
    <row r="29" spans="1:31" ht="29.25" customHeight="1">
      <c r="A29" s="108"/>
      <c r="B29" s="639"/>
      <c r="C29" s="1265" t="s">
        <v>468</v>
      </c>
      <c r="D29" s="1266" t="s">
        <v>469</v>
      </c>
      <c r="E29" s="859" t="s">
        <v>371</v>
      </c>
      <c r="F29" s="1124" t="s">
        <v>385</v>
      </c>
      <c r="G29" s="1125">
        <v>7049910</v>
      </c>
      <c r="H29" s="1125">
        <v>73810</v>
      </c>
      <c r="I29" s="705"/>
      <c r="J29" s="705">
        <v>307700</v>
      </c>
      <c r="K29" s="705"/>
      <c r="L29" s="705"/>
      <c r="M29" s="705"/>
      <c r="N29" s="705">
        <v>1000260</v>
      </c>
      <c r="O29" s="705"/>
      <c r="P29" s="705">
        <v>5668140</v>
      </c>
      <c r="Q29" s="705"/>
      <c r="R29" s="705"/>
      <c r="S29" s="1232"/>
      <c r="T29" s="1233"/>
      <c r="U29" s="705"/>
      <c r="V29" s="705"/>
      <c r="W29" s="705"/>
      <c r="X29" s="705">
        <v>1046415</v>
      </c>
      <c r="Y29" s="705"/>
      <c r="Z29" s="705">
        <v>5929685</v>
      </c>
      <c r="AA29" s="705"/>
      <c r="AB29" s="705"/>
      <c r="AC29" s="1232"/>
      <c r="AD29" s="1234"/>
      <c r="AE29" s="986"/>
    </row>
    <row r="30" spans="1:31" ht="20.25" customHeight="1" thickBot="1">
      <c r="A30" s="1109">
        <v>801</v>
      </c>
      <c r="B30" s="1110"/>
      <c r="C30" s="1111" t="s">
        <v>42</v>
      </c>
      <c r="D30" s="1111"/>
      <c r="E30" s="1111"/>
      <c r="F30" s="1112"/>
      <c r="G30" s="1114">
        <f>G31+G34+G36</f>
        <v>21095538</v>
      </c>
      <c r="H30" s="1114">
        <f>H31+H34+H36</f>
        <v>223138</v>
      </c>
      <c r="I30" s="1114">
        <f>I31+I34+I36</f>
        <v>0</v>
      </c>
      <c r="J30" s="1114">
        <f>J31+J34+J36</f>
        <v>3445700</v>
      </c>
      <c r="K30" s="1114"/>
      <c r="L30" s="1114"/>
      <c r="M30" s="1114">
        <f>M31+M34+M36</f>
        <v>0</v>
      </c>
      <c r="N30" s="1114">
        <f>N31+N34+N36</f>
        <v>2614005</v>
      </c>
      <c r="O30" s="1114"/>
      <c r="P30" s="1114">
        <f>P31+P34+P36</f>
        <v>14812695</v>
      </c>
      <c r="Q30" s="1114"/>
      <c r="R30" s="1114"/>
      <c r="S30" s="1259"/>
      <c r="T30" s="1267">
        <f>T31+T34+T36</f>
        <v>453290</v>
      </c>
      <c r="U30" s="1114"/>
      <c r="V30" s="1114"/>
      <c r="W30" s="1114">
        <f>W31+W34+W36</f>
        <v>0</v>
      </c>
      <c r="X30" s="1114">
        <f>X31+X34+X36</f>
        <v>3107716</v>
      </c>
      <c r="Y30" s="1114"/>
      <c r="Z30" s="1114">
        <f>Z31+Z34+Z36</f>
        <v>17311394</v>
      </c>
      <c r="AA30" s="1114"/>
      <c r="AB30" s="1114"/>
      <c r="AC30" s="1259"/>
      <c r="AD30" s="1268">
        <f>AD31</f>
        <v>282900</v>
      </c>
      <c r="AE30" s="1135">
        <f>AD30/T30</f>
        <v>0.6241037746255157</v>
      </c>
    </row>
    <row r="31" spans="1:31" s="36" customFormat="1" ht="21" customHeight="1">
      <c r="A31" s="18"/>
      <c r="B31" s="886">
        <v>80101</v>
      </c>
      <c r="C31" s="501" t="s">
        <v>43</v>
      </c>
      <c r="D31" s="501"/>
      <c r="E31" s="501"/>
      <c r="F31" s="1076"/>
      <c r="G31" s="1077">
        <f>G32+G33</f>
        <v>5176595</v>
      </c>
      <c r="H31" s="1077">
        <f>SUM(H32:H33)</f>
        <v>55095</v>
      </c>
      <c r="I31" s="1077">
        <f>I32+I33</f>
        <v>0</v>
      </c>
      <c r="J31" s="1077">
        <f>J32+J33</f>
        <v>731300</v>
      </c>
      <c r="K31" s="1077"/>
      <c r="L31" s="1077"/>
      <c r="M31" s="1077">
        <f>M32+M33</f>
        <v>0</v>
      </c>
      <c r="N31" s="1077">
        <f>N32+N33</f>
        <v>658530</v>
      </c>
      <c r="O31" s="1077"/>
      <c r="P31" s="1077">
        <f>P32+P33</f>
        <v>3731670</v>
      </c>
      <c r="Q31" s="514"/>
      <c r="R31" s="514"/>
      <c r="S31" s="1227"/>
      <c r="T31" s="1228">
        <f>T32+T33</f>
        <v>282900</v>
      </c>
      <c r="U31" s="1077"/>
      <c r="V31" s="1077"/>
      <c r="W31" s="1077">
        <f>W32+W33</f>
        <v>0</v>
      </c>
      <c r="X31" s="1077">
        <f>X32+X33</f>
        <v>725790</v>
      </c>
      <c r="Y31" s="1077"/>
      <c r="Z31" s="1077">
        <f>Z32+Z33</f>
        <v>4112810</v>
      </c>
      <c r="AA31" s="514"/>
      <c r="AB31" s="514"/>
      <c r="AC31" s="1227"/>
      <c r="AD31" s="1229">
        <f>AD32</f>
        <v>282900</v>
      </c>
      <c r="AE31" s="1079">
        <f>AD31/T31</f>
        <v>1</v>
      </c>
    </row>
    <row r="32" spans="1:31" ht="30" customHeight="1">
      <c r="A32" s="108"/>
      <c r="B32" s="639"/>
      <c r="C32" s="956" t="s">
        <v>470</v>
      </c>
      <c r="D32" s="1266" t="s">
        <v>469</v>
      </c>
      <c r="E32" s="859" t="s">
        <v>371</v>
      </c>
      <c r="F32" s="1124" t="s">
        <v>385</v>
      </c>
      <c r="G32" s="1125">
        <v>2407360</v>
      </c>
      <c r="H32" s="1125">
        <v>34160</v>
      </c>
      <c r="I32" s="705"/>
      <c r="J32" s="705">
        <v>282900</v>
      </c>
      <c r="K32" s="705"/>
      <c r="L32" s="705"/>
      <c r="M32" s="705"/>
      <c r="N32" s="705">
        <v>313545</v>
      </c>
      <c r="O32" s="705"/>
      <c r="P32" s="705">
        <v>1776755</v>
      </c>
      <c r="Q32" s="705"/>
      <c r="R32" s="705"/>
      <c r="S32" s="1232"/>
      <c r="T32" s="1233">
        <v>282900</v>
      </c>
      <c r="U32" s="705"/>
      <c r="V32" s="705"/>
      <c r="W32" s="705"/>
      <c r="X32" s="705">
        <v>313545</v>
      </c>
      <c r="Y32" s="705"/>
      <c r="Z32" s="705">
        <v>1776755</v>
      </c>
      <c r="AA32" s="705"/>
      <c r="AB32" s="705"/>
      <c r="AC32" s="1232"/>
      <c r="AD32" s="1234">
        <v>282900</v>
      </c>
      <c r="AE32" s="986">
        <f>AD32/T32</f>
        <v>1</v>
      </c>
    </row>
    <row r="33" spans="1:31" ht="30.75" customHeight="1">
      <c r="A33" s="108"/>
      <c r="B33" s="695"/>
      <c r="C33" s="868" t="s">
        <v>471</v>
      </c>
      <c r="D33" s="1137" t="s">
        <v>469</v>
      </c>
      <c r="E33" s="868" t="s">
        <v>371</v>
      </c>
      <c r="F33" s="1119" t="s">
        <v>385</v>
      </c>
      <c r="G33" s="1120">
        <v>2769235</v>
      </c>
      <c r="H33" s="1120">
        <v>20935</v>
      </c>
      <c r="I33" s="521"/>
      <c r="J33" s="521">
        <v>448400</v>
      </c>
      <c r="K33" s="521"/>
      <c r="L33" s="521"/>
      <c r="M33" s="521"/>
      <c r="N33" s="521">
        <v>344985</v>
      </c>
      <c r="O33" s="521"/>
      <c r="P33" s="521">
        <v>1954915</v>
      </c>
      <c r="Q33" s="521"/>
      <c r="R33" s="521"/>
      <c r="S33" s="1269"/>
      <c r="T33" s="1270"/>
      <c r="U33" s="521"/>
      <c r="V33" s="521"/>
      <c r="W33" s="521"/>
      <c r="X33" s="521">
        <v>412245</v>
      </c>
      <c r="Y33" s="521"/>
      <c r="Z33" s="521">
        <v>2336055</v>
      </c>
      <c r="AA33" s="521"/>
      <c r="AB33" s="521"/>
      <c r="AC33" s="1269"/>
      <c r="AD33" s="1271"/>
      <c r="AE33" s="951"/>
    </row>
    <row r="34" spans="1:31" s="36" customFormat="1" ht="22.5" customHeight="1">
      <c r="A34" s="18"/>
      <c r="B34" s="886">
        <v>80110</v>
      </c>
      <c r="C34" s="501" t="s">
        <v>46</v>
      </c>
      <c r="D34" s="501"/>
      <c r="E34" s="501"/>
      <c r="F34" s="1076"/>
      <c r="G34" s="1077">
        <f>G35</f>
        <v>6473043</v>
      </c>
      <c r="H34" s="1077">
        <f>H35</f>
        <v>52143</v>
      </c>
      <c r="I34" s="1077">
        <f>I35</f>
        <v>0</v>
      </c>
      <c r="J34" s="1077">
        <f>J35</f>
        <v>1003300</v>
      </c>
      <c r="K34" s="1077"/>
      <c r="L34" s="1077"/>
      <c r="M34" s="1077">
        <f>M35</f>
        <v>0</v>
      </c>
      <c r="N34" s="1077">
        <f>N35</f>
        <v>812640</v>
      </c>
      <c r="O34" s="1077"/>
      <c r="P34" s="1077">
        <f>P35</f>
        <v>4604960</v>
      </c>
      <c r="Q34" s="514"/>
      <c r="R34" s="514"/>
      <c r="S34" s="1227"/>
      <c r="T34" s="1228"/>
      <c r="U34" s="1077"/>
      <c r="V34" s="1077"/>
      <c r="W34" s="1077">
        <f>W35</f>
        <v>0</v>
      </c>
      <c r="X34" s="1077">
        <f>X35</f>
        <v>963134</v>
      </c>
      <c r="Y34" s="1077"/>
      <c r="Z34" s="1077">
        <f>Z35</f>
        <v>5457766</v>
      </c>
      <c r="AA34" s="514"/>
      <c r="AB34" s="514"/>
      <c r="AC34" s="1227"/>
      <c r="AD34" s="1229"/>
      <c r="AE34" s="1079"/>
    </row>
    <row r="35" spans="1:31" ht="29.25" customHeight="1">
      <c r="A35" s="108"/>
      <c r="B35" s="695"/>
      <c r="C35" s="868" t="s">
        <v>472</v>
      </c>
      <c r="D35" s="1122" t="s">
        <v>473</v>
      </c>
      <c r="E35" s="868" t="s">
        <v>371</v>
      </c>
      <c r="F35" s="1119" t="s">
        <v>385</v>
      </c>
      <c r="G35" s="1120">
        <v>6473043</v>
      </c>
      <c r="H35" s="1120">
        <v>52143</v>
      </c>
      <c r="I35" s="521"/>
      <c r="J35" s="521">
        <f>605800+397500</f>
        <v>1003300</v>
      </c>
      <c r="K35" s="521"/>
      <c r="L35" s="521"/>
      <c r="M35" s="521"/>
      <c r="N35" s="521">
        <f>520155+292485</f>
        <v>812640</v>
      </c>
      <c r="O35" s="521"/>
      <c r="P35" s="521">
        <f>2947545+1657415</f>
        <v>4604960</v>
      </c>
      <c r="Q35" s="521"/>
      <c r="R35" s="521"/>
      <c r="S35" s="1269"/>
      <c r="T35" s="1270"/>
      <c r="U35" s="521"/>
      <c r="V35" s="521"/>
      <c r="W35" s="521"/>
      <c r="X35" s="521">
        <v>963134</v>
      </c>
      <c r="Y35" s="521"/>
      <c r="Z35" s="521">
        <v>5457766</v>
      </c>
      <c r="AA35" s="521"/>
      <c r="AB35" s="521"/>
      <c r="AC35" s="1269"/>
      <c r="AD35" s="1271"/>
      <c r="AE35" s="951"/>
    </row>
    <row r="36" spans="1:31" s="36" customFormat="1" ht="21" customHeight="1">
      <c r="A36" s="18"/>
      <c r="B36" s="851">
        <v>80130</v>
      </c>
      <c r="C36" s="501" t="s">
        <v>51</v>
      </c>
      <c r="D36" s="501"/>
      <c r="E36" s="501"/>
      <c r="F36" s="1076"/>
      <c r="G36" s="1077">
        <f>G37</f>
        <v>9445900</v>
      </c>
      <c r="H36" s="1077">
        <f>H37</f>
        <v>115900</v>
      </c>
      <c r="I36" s="1077">
        <f>I37</f>
        <v>0</v>
      </c>
      <c r="J36" s="1077">
        <f>J37</f>
        <v>1711100</v>
      </c>
      <c r="K36" s="1077"/>
      <c r="L36" s="1077"/>
      <c r="M36" s="1077">
        <f>M37</f>
        <v>0</v>
      </c>
      <c r="N36" s="1077">
        <f>N37</f>
        <v>1142835</v>
      </c>
      <c r="O36" s="1077"/>
      <c r="P36" s="1077">
        <f>P37</f>
        <v>6476065</v>
      </c>
      <c r="Q36" s="514"/>
      <c r="R36" s="514"/>
      <c r="S36" s="1227"/>
      <c r="T36" s="1228">
        <f>T37</f>
        <v>170390</v>
      </c>
      <c r="U36" s="1077"/>
      <c r="V36" s="1077"/>
      <c r="W36" s="1077">
        <f>W37</f>
        <v>0</v>
      </c>
      <c r="X36" s="1077">
        <f>X37</f>
        <v>1418792</v>
      </c>
      <c r="Y36" s="1077"/>
      <c r="Z36" s="1077">
        <f>Z37</f>
        <v>7740818</v>
      </c>
      <c r="AA36" s="514"/>
      <c r="AB36" s="514"/>
      <c r="AC36" s="1227"/>
      <c r="AD36" s="1229"/>
      <c r="AE36" s="1079"/>
    </row>
    <row r="37" spans="1:31" ht="29.25" customHeight="1">
      <c r="A37" s="108"/>
      <c r="B37" s="695"/>
      <c r="C37" s="696" t="s">
        <v>474</v>
      </c>
      <c r="D37" s="1122" t="s">
        <v>475</v>
      </c>
      <c r="E37" s="868" t="s">
        <v>371</v>
      </c>
      <c r="F37" s="1119" t="s">
        <v>385</v>
      </c>
      <c r="G37" s="1120">
        <v>9445900</v>
      </c>
      <c r="H37" s="1120">
        <v>115900</v>
      </c>
      <c r="I37" s="521"/>
      <c r="J37" s="521">
        <v>1711100</v>
      </c>
      <c r="K37" s="521"/>
      <c r="L37" s="521"/>
      <c r="M37" s="521"/>
      <c r="N37" s="521">
        <v>1142835</v>
      </c>
      <c r="O37" s="521"/>
      <c r="P37" s="521">
        <v>6476065</v>
      </c>
      <c r="Q37" s="521"/>
      <c r="R37" s="521"/>
      <c r="S37" s="1269"/>
      <c r="T37" s="1270">
        <v>170390</v>
      </c>
      <c r="U37" s="521"/>
      <c r="V37" s="521"/>
      <c r="W37" s="521"/>
      <c r="X37" s="521">
        <v>1418792</v>
      </c>
      <c r="Y37" s="521"/>
      <c r="Z37" s="521">
        <v>7740818</v>
      </c>
      <c r="AA37" s="521"/>
      <c r="AB37" s="521"/>
      <c r="AC37" s="1269"/>
      <c r="AD37" s="1271"/>
      <c r="AE37" s="951"/>
    </row>
    <row r="38" spans="1:31" ht="29.25" customHeight="1" hidden="1">
      <c r="A38" s="1272">
        <v>853</v>
      </c>
      <c r="B38" s="1273"/>
      <c r="C38" s="1274" t="s">
        <v>737</v>
      </c>
      <c r="D38" s="1274"/>
      <c r="E38" s="1274"/>
      <c r="F38" s="1275"/>
      <c r="G38" s="1276"/>
      <c r="H38" s="1276"/>
      <c r="I38" s="1276"/>
      <c r="J38" s="1276"/>
      <c r="K38" s="1276"/>
      <c r="L38" s="1276"/>
      <c r="M38" s="1276"/>
      <c r="N38" s="1276"/>
      <c r="O38" s="1276"/>
      <c r="P38" s="1276"/>
      <c r="Q38" s="1276"/>
      <c r="R38" s="1276"/>
      <c r="S38" s="1277"/>
      <c r="T38" s="1278"/>
      <c r="U38" s="1276"/>
      <c r="V38" s="1276"/>
      <c r="W38" s="1276"/>
      <c r="X38" s="1276"/>
      <c r="Y38" s="1276"/>
      <c r="Z38" s="1276"/>
      <c r="AA38" s="1276"/>
      <c r="AB38" s="1276"/>
      <c r="AC38" s="1277"/>
      <c r="AD38" s="1279"/>
      <c r="AE38" s="1280" t="e">
        <f aca="true" t="shared" si="3" ref="AE38:AE51">AD38/T38</f>
        <v>#DIV/0!</v>
      </c>
    </row>
    <row r="39" spans="1:31" s="36" customFormat="1" ht="23.25" customHeight="1" hidden="1">
      <c r="A39" s="18"/>
      <c r="B39" s="851">
        <v>85333</v>
      </c>
      <c r="C39" s="501" t="s">
        <v>667</v>
      </c>
      <c r="D39" s="501"/>
      <c r="E39" s="501"/>
      <c r="F39" s="1144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1281"/>
      <c r="T39" s="1282"/>
      <c r="U39" s="852"/>
      <c r="V39" s="852"/>
      <c r="W39" s="852"/>
      <c r="X39" s="852"/>
      <c r="Y39" s="852"/>
      <c r="Z39" s="852"/>
      <c r="AA39" s="852"/>
      <c r="AB39" s="852"/>
      <c r="AC39" s="1281"/>
      <c r="AD39" s="1283"/>
      <c r="AE39" s="1190" t="e">
        <f t="shared" si="3"/>
        <v>#DIV/0!</v>
      </c>
    </row>
    <row r="40" spans="1:31" s="36" customFormat="1" ht="63.75" customHeight="1" hidden="1">
      <c r="A40" s="18"/>
      <c r="B40" s="602"/>
      <c r="C40" s="681" t="s">
        <v>668</v>
      </c>
      <c r="D40" s="1099" t="s">
        <v>416</v>
      </c>
      <c r="E40" s="1284"/>
      <c r="F40" s="1285"/>
      <c r="G40" s="1286"/>
      <c r="H40" s="1287"/>
      <c r="I40" s="1288"/>
      <c r="J40" s="1288"/>
      <c r="K40" s="1288"/>
      <c r="L40" s="1288"/>
      <c r="M40" s="1288"/>
      <c r="N40" s="1288"/>
      <c r="O40" s="1288"/>
      <c r="P40" s="1288"/>
      <c r="Q40" s="1288"/>
      <c r="R40" s="1288"/>
      <c r="S40" s="1289"/>
      <c r="T40" s="1290"/>
      <c r="U40" s="1288"/>
      <c r="V40" s="1288"/>
      <c r="W40" s="1288"/>
      <c r="X40" s="1288"/>
      <c r="Y40" s="1288"/>
      <c r="Z40" s="1288"/>
      <c r="AA40" s="1288"/>
      <c r="AB40" s="1288"/>
      <c r="AC40" s="1289"/>
      <c r="AD40" s="1291"/>
      <c r="AE40" s="1292" t="e">
        <f t="shared" si="3"/>
        <v>#DIV/0!</v>
      </c>
    </row>
    <row r="41" spans="1:31" s="36" customFormat="1" ht="63.75" customHeight="1" hidden="1">
      <c r="A41" s="18"/>
      <c r="B41" s="602"/>
      <c r="C41" s="680" t="s">
        <v>476</v>
      </c>
      <c r="D41" s="1099" t="s">
        <v>418</v>
      </c>
      <c r="E41" s="1284"/>
      <c r="F41" s="1285"/>
      <c r="G41" s="1286"/>
      <c r="H41" s="1287"/>
      <c r="I41" s="1288"/>
      <c r="J41" s="1288"/>
      <c r="K41" s="1288"/>
      <c r="L41" s="1288"/>
      <c r="M41" s="1288"/>
      <c r="N41" s="1288"/>
      <c r="O41" s="1288"/>
      <c r="P41" s="1288"/>
      <c r="Q41" s="1288"/>
      <c r="R41" s="1288"/>
      <c r="S41" s="1289"/>
      <c r="T41" s="1290"/>
      <c r="U41" s="1288"/>
      <c r="V41" s="1288"/>
      <c r="W41" s="1288"/>
      <c r="X41" s="1288"/>
      <c r="Y41" s="1288"/>
      <c r="Z41" s="1288"/>
      <c r="AA41" s="1288"/>
      <c r="AB41" s="1288"/>
      <c r="AC41" s="1289"/>
      <c r="AD41" s="1291"/>
      <c r="AE41" s="1292" t="e">
        <f t="shared" si="3"/>
        <v>#DIV/0!</v>
      </c>
    </row>
    <row r="42" spans="1:31" ht="21" customHeight="1" hidden="1">
      <c r="A42" s="1272">
        <v>854</v>
      </c>
      <c r="B42" s="1273"/>
      <c r="C42" s="1274" t="s">
        <v>27</v>
      </c>
      <c r="D42" s="1274"/>
      <c r="E42" s="1274"/>
      <c r="F42" s="1275"/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7"/>
      <c r="T42" s="1278"/>
      <c r="U42" s="1276"/>
      <c r="V42" s="1276"/>
      <c r="W42" s="1276"/>
      <c r="X42" s="1276"/>
      <c r="Y42" s="1276"/>
      <c r="Z42" s="1276"/>
      <c r="AA42" s="1276"/>
      <c r="AB42" s="1276"/>
      <c r="AC42" s="1277"/>
      <c r="AD42" s="1279"/>
      <c r="AE42" s="1280" t="e">
        <f t="shared" si="3"/>
        <v>#DIV/0!</v>
      </c>
    </row>
    <row r="43" spans="1:31" s="36" customFormat="1" ht="21" customHeight="1" hidden="1">
      <c r="A43" s="18"/>
      <c r="B43" s="851">
        <v>85415</v>
      </c>
      <c r="C43" s="501" t="s">
        <v>114</v>
      </c>
      <c r="D43" s="501"/>
      <c r="E43" s="501"/>
      <c r="F43" s="1144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1281"/>
      <c r="T43" s="1282"/>
      <c r="U43" s="852"/>
      <c r="V43" s="852"/>
      <c r="W43" s="852"/>
      <c r="X43" s="852"/>
      <c r="Y43" s="852"/>
      <c r="Z43" s="852"/>
      <c r="AA43" s="852"/>
      <c r="AB43" s="852"/>
      <c r="AC43" s="1281"/>
      <c r="AD43" s="1283"/>
      <c r="AE43" s="1190" t="e">
        <f t="shared" si="3"/>
        <v>#DIV/0!</v>
      </c>
    </row>
    <row r="44" spans="1:31" ht="42" customHeight="1" hidden="1">
      <c r="A44" s="108"/>
      <c r="B44" s="750"/>
      <c r="C44" s="751" t="s">
        <v>440</v>
      </c>
      <c r="D44" s="1293" t="s">
        <v>441</v>
      </c>
      <c r="E44" s="1294"/>
      <c r="F44" s="1294"/>
      <c r="G44" s="1139"/>
      <c r="H44" s="113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1295"/>
      <c r="T44" s="1296"/>
      <c r="U44" s="529"/>
      <c r="V44" s="529"/>
      <c r="W44" s="529"/>
      <c r="X44" s="529"/>
      <c r="Y44" s="529"/>
      <c r="Z44" s="529"/>
      <c r="AA44" s="529"/>
      <c r="AB44" s="529"/>
      <c r="AC44" s="1295"/>
      <c r="AD44" s="1297"/>
      <c r="AE44" s="1141" t="e">
        <f t="shared" si="3"/>
        <v>#DIV/0!</v>
      </c>
    </row>
    <row r="45" spans="1:31" ht="33" customHeight="1" hidden="1">
      <c r="A45" s="1272">
        <v>900</v>
      </c>
      <c r="B45" s="1273"/>
      <c r="C45" s="1274" t="s">
        <v>1287</v>
      </c>
      <c r="D45" s="1274"/>
      <c r="E45" s="1274"/>
      <c r="F45" s="1275"/>
      <c r="G45" s="1276">
        <f aca="true" t="shared" si="4" ref="G45:I46">G46</f>
        <v>0</v>
      </c>
      <c r="H45" s="1276">
        <f t="shared" si="4"/>
        <v>0</v>
      </c>
      <c r="I45" s="1276">
        <f t="shared" si="4"/>
        <v>0</v>
      </c>
      <c r="J45" s="1276"/>
      <c r="K45" s="1276"/>
      <c r="L45" s="1276"/>
      <c r="M45" s="1276">
        <f>M46</f>
        <v>0</v>
      </c>
      <c r="N45" s="1276"/>
      <c r="O45" s="1276"/>
      <c r="P45" s="1276"/>
      <c r="Q45" s="1276"/>
      <c r="R45" s="1276"/>
      <c r="S45" s="1277"/>
      <c r="T45" s="1278">
        <f>T46</f>
        <v>0</v>
      </c>
      <c r="U45" s="1276">
        <f>U46</f>
        <v>0</v>
      </c>
      <c r="V45" s="1276"/>
      <c r="W45" s="1276">
        <f>W46</f>
        <v>0</v>
      </c>
      <c r="X45" s="1276"/>
      <c r="Y45" s="1276"/>
      <c r="Z45" s="1276"/>
      <c r="AA45" s="1276"/>
      <c r="AB45" s="1276"/>
      <c r="AC45" s="1277"/>
      <c r="AD45" s="1279">
        <f>AD46</f>
        <v>0</v>
      </c>
      <c r="AE45" s="1280" t="e">
        <f t="shared" si="3"/>
        <v>#DIV/0!</v>
      </c>
    </row>
    <row r="46" spans="1:31" s="36" customFormat="1" ht="21.75" customHeight="1" hidden="1">
      <c r="A46" s="18"/>
      <c r="B46" s="886">
        <v>90002</v>
      </c>
      <c r="C46" s="501" t="s">
        <v>699</v>
      </c>
      <c r="D46" s="501"/>
      <c r="E46" s="501"/>
      <c r="F46" s="1144"/>
      <c r="G46" s="514">
        <f t="shared" si="4"/>
        <v>0</v>
      </c>
      <c r="H46" s="514">
        <f t="shared" si="4"/>
        <v>0</v>
      </c>
      <c r="I46" s="514">
        <f t="shared" si="4"/>
        <v>0</v>
      </c>
      <c r="J46" s="514"/>
      <c r="K46" s="514"/>
      <c r="L46" s="514"/>
      <c r="M46" s="514">
        <f>M47</f>
        <v>0</v>
      </c>
      <c r="N46" s="514"/>
      <c r="O46" s="514"/>
      <c r="P46" s="514"/>
      <c r="Q46" s="514"/>
      <c r="R46" s="514"/>
      <c r="S46" s="1227"/>
      <c r="T46" s="1298">
        <f>T47</f>
        <v>0</v>
      </c>
      <c r="U46" s="514">
        <f>U47</f>
        <v>0</v>
      </c>
      <c r="V46" s="514"/>
      <c r="W46" s="514">
        <f>W47</f>
        <v>0</v>
      </c>
      <c r="X46" s="514"/>
      <c r="Y46" s="514"/>
      <c r="Z46" s="514"/>
      <c r="AA46" s="514"/>
      <c r="AB46" s="514"/>
      <c r="AC46" s="1227"/>
      <c r="AD46" s="1299">
        <f>AD47</f>
        <v>0</v>
      </c>
      <c r="AE46" s="1145" t="e">
        <f t="shared" si="3"/>
        <v>#DIV/0!</v>
      </c>
    </row>
    <row r="47" spans="1:31" ht="45" customHeight="1" hidden="1">
      <c r="A47" s="108"/>
      <c r="B47" s="602"/>
      <c r="C47" s="1082" t="s">
        <v>310</v>
      </c>
      <c r="D47" s="1300" t="s">
        <v>429</v>
      </c>
      <c r="E47" s="1082" t="s">
        <v>371</v>
      </c>
      <c r="F47" s="1301" t="s">
        <v>372</v>
      </c>
      <c r="G47" s="1184">
        <f>31051672-31051672</f>
        <v>0</v>
      </c>
      <c r="H47" s="1184">
        <f>21935450-21935450</f>
        <v>0</v>
      </c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247"/>
      <c r="T47" s="1248">
        <f>3210949-3210949</f>
        <v>0</v>
      </c>
      <c r="U47" s="1085">
        <f>5123857-5123857</f>
        <v>0</v>
      </c>
      <c r="V47" s="1085"/>
      <c r="W47" s="1085"/>
      <c r="X47" s="1085"/>
      <c r="Y47" s="1085"/>
      <c r="Z47" s="1085"/>
      <c r="AA47" s="1085"/>
      <c r="AB47" s="1085"/>
      <c r="AC47" s="1247"/>
      <c r="AD47" s="1249">
        <f>3210949-3210949</f>
        <v>0</v>
      </c>
      <c r="AE47" s="1088" t="e">
        <f t="shared" si="3"/>
        <v>#DIV/0!</v>
      </c>
    </row>
    <row r="48" spans="1:31" ht="22.5" customHeight="1" hidden="1">
      <c r="A48" s="1117"/>
      <c r="B48" s="695"/>
      <c r="C48" s="1026"/>
      <c r="D48" s="1302"/>
      <c r="E48" s="1026"/>
      <c r="F48" s="1303"/>
      <c r="G48" s="1304"/>
      <c r="H48" s="1304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1305"/>
      <c r="T48" s="1306"/>
      <c r="U48" s="518"/>
      <c r="V48" s="518"/>
      <c r="W48" s="518"/>
      <c r="X48" s="518"/>
      <c r="Y48" s="518"/>
      <c r="Z48" s="518"/>
      <c r="AA48" s="518"/>
      <c r="AB48" s="518"/>
      <c r="AC48" s="1305"/>
      <c r="AD48" s="1307"/>
      <c r="AE48" s="1308" t="e">
        <f t="shared" si="3"/>
        <v>#DIV/0!</v>
      </c>
    </row>
    <row r="49" spans="1:31" ht="20.25" customHeight="1" thickBot="1">
      <c r="A49" s="1109">
        <v>921</v>
      </c>
      <c r="B49" s="1110"/>
      <c r="C49" s="1111" t="s">
        <v>16</v>
      </c>
      <c r="D49" s="1111"/>
      <c r="E49" s="1111"/>
      <c r="F49" s="1143"/>
      <c r="G49" s="1114">
        <f aca="true" t="shared" si="5" ref="G49:J50">G50</f>
        <v>1030000</v>
      </c>
      <c r="H49" s="1114">
        <f t="shared" si="5"/>
        <v>8265</v>
      </c>
      <c r="I49" s="1114">
        <f t="shared" si="5"/>
        <v>0</v>
      </c>
      <c r="J49" s="1114">
        <f t="shared" si="5"/>
        <v>100000</v>
      </c>
      <c r="K49" s="1114"/>
      <c r="L49" s="1114"/>
      <c r="M49" s="1114">
        <f aca="true" t="shared" si="6" ref="M49:O50">M50</f>
        <v>0</v>
      </c>
      <c r="N49" s="1114">
        <f t="shared" si="6"/>
        <v>230434</v>
      </c>
      <c r="O49" s="1114">
        <f t="shared" si="6"/>
        <v>691301</v>
      </c>
      <c r="P49" s="1114"/>
      <c r="Q49" s="1114"/>
      <c r="R49" s="1114"/>
      <c r="S49" s="1259"/>
      <c r="T49" s="1267">
        <f>T50</f>
        <v>20000</v>
      </c>
      <c r="U49" s="1114"/>
      <c r="V49" s="1114"/>
      <c r="W49" s="1114">
        <f aca="true" t="shared" si="7" ref="W49:Y50">W50</f>
        <v>0</v>
      </c>
      <c r="X49" s="1114">
        <f t="shared" si="7"/>
        <v>250434</v>
      </c>
      <c r="Y49" s="1114">
        <f t="shared" si="7"/>
        <v>751301</v>
      </c>
      <c r="Z49" s="1114"/>
      <c r="AA49" s="1114"/>
      <c r="AB49" s="1114"/>
      <c r="AC49" s="1259"/>
      <c r="AD49" s="1268">
        <f>AD50</f>
        <v>3093.92</v>
      </c>
      <c r="AE49" s="1135">
        <f t="shared" si="3"/>
        <v>0.154696</v>
      </c>
    </row>
    <row r="50" spans="1:31" s="36" customFormat="1" ht="21.75" customHeight="1">
      <c r="A50" s="18"/>
      <c r="B50" s="886">
        <v>92116</v>
      </c>
      <c r="C50" s="501" t="s">
        <v>764</v>
      </c>
      <c r="D50" s="501"/>
      <c r="E50" s="501"/>
      <c r="F50" s="1144"/>
      <c r="G50" s="514">
        <f t="shared" si="5"/>
        <v>1030000</v>
      </c>
      <c r="H50" s="514">
        <f t="shared" si="5"/>
        <v>8265</v>
      </c>
      <c r="I50" s="514">
        <f t="shared" si="5"/>
        <v>0</v>
      </c>
      <c r="J50" s="514">
        <f t="shared" si="5"/>
        <v>100000</v>
      </c>
      <c r="K50" s="514"/>
      <c r="L50" s="514"/>
      <c r="M50" s="514">
        <f t="shared" si="6"/>
        <v>0</v>
      </c>
      <c r="N50" s="514">
        <f t="shared" si="6"/>
        <v>230434</v>
      </c>
      <c r="O50" s="514">
        <f t="shared" si="6"/>
        <v>691301</v>
      </c>
      <c r="P50" s="514"/>
      <c r="Q50" s="514"/>
      <c r="R50" s="514"/>
      <c r="S50" s="1227"/>
      <c r="T50" s="1298">
        <f>T51</f>
        <v>20000</v>
      </c>
      <c r="U50" s="514"/>
      <c r="V50" s="514"/>
      <c r="W50" s="514">
        <f t="shared" si="7"/>
        <v>0</v>
      </c>
      <c r="X50" s="514">
        <f t="shared" si="7"/>
        <v>250434</v>
      </c>
      <c r="Y50" s="514">
        <f t="shared" si="7"/>
        <v>751301</v>
      </c>
      <c r="Z50" s="514"/>
      <c r="AA50" s="514"/>
      <c r="AB50" s="514"/>
      <c r="AC50" s="1227"/>
      <c r="AD50" s="1299">
        <f>AD51</f>
        <v>3093.92</v>
      </c>
      <c r="AE50" s="1145">
        <f t="shared" si="3"/>
        <v>0.154696</v>
      </c>
    </row>
    <row r="51" spans="1:31" ht="43.5" customHeight="1">
      <c r="A51" s="1117"/>
      <c r="B51" s="695"/>
      <c r="C51" s="868" t="s">
        <v>477</v>
      </c>
      <c r="D51" s="1309" t="s">
        <v>478</v>
      </c>
      <c r="E51" s="868" t="s">
        <v>479</v>
      </c>
      <c r="F51" s="1310" t="s">
        <v>458</v>
      </c>
      <c r="G51" s="1178">
        <v>1030000</v>
      </c>
      <c r="H51" s="1178">
        <f>7225+1040</f>
        <v>8265</v>
      </c>
      <c r="I51" s="521"/>
      <c r="J51" s="521">
        <v>100000</v>
      </c>
      <c r="K51" s="521"/>
      <c r="L51" s="521"/>
      <c r="M51" s="521"/>
      <c r="N51" s="521">
        <v>230434</v>
      </c>
      <c r="O51" s="521">
        <v>691301</v>
      </c>
      <c r="P51" s="521"/>
      <c r="Q51" s="521"/>
      <c r="R51" s="521"/>
      <c r="S51" s="1269"/>
      <c r="T51" s="1270">
        <v>20000</v>
      </c>
      <c r="U51" s="521"/>
      <c r="V51" s="521"/>
      <c r="W51" s="521"/>
      <c r="X51" s="521">
        <v>250434</v>
      </c>
      <c r="Y51" s="521">
        <v>751301</v>
      </c>
      <c r="Z51" s="521"/>
      <c r="AA51" s="521"/>
      <c r="AB51" s="521"/>
      <c r="AC51" s="1269"/>
      <c r="AD51" s="1271">
        <v>3093.92</v>
      </c>
      <c r="AE51" s="951">
        <f t="shared" si="3"/>
        <v>0.154696</v>
      </c>
    </row>
    <row r="52" spans="1:31" ht="20.25" customHeight="1" thickBot="1">
      <c r="A52" s="1109">
        <v>926</v>
      </c>
      <c r="B52" s="1110"/>
      <c r="C52" s="1111" t="s">
        <v>22</v>
      </c>
      <c r="D52" s="1111"/>
      <c r="E52" s="1111"/>
      <c r="F52" s="1143"/>
      <c r="G52" s="1114">
        <f aca="true" t="shared" si="8" ref="G52:AC52">G53</f>
        <v>40530000</v>
      </c>
      <c r="H52" s="1114">
        <f t="shared" si="8"/>
        <v>1639559</v>
      </c>
      <c r="I52" s="1114">
        <f t="shared" si="8"/>
        <v>0</v>
      </c>
      <c r="J52" s="1114">
        <f t="shared" si="8"/>
        <v>500000</v>
      </c>
      <c r="K52" s="1114">
        <f t="shared" si="8"/>
        <v>2000000</v>
      </c>
      <c r="L52" s="1114">
        <f t="shared" si="8"/>
        <v>1500000</v>
      </c>
      <c r="M52" s="1114">
        <f t="shared" si="8"/>
        <v>0</v>
      </c>
      <c r="N52" s="1114">
        <f t="shared" si="8"/>
        <v>8117500</v>
      </c>
      <c r="O52" s="1114">
        <f t="shared" si="8"/>
        <v>9617500</v>
      </c>
      <c r="P52" s="1114">
        <f t="shared" si="8"/>
        <v>1500000</v>
      </c>
      <c r="Q52" s="1114">
        <f t="shared" si="8"/>
        <v>5327500</v>
      </c>
      <c r="R52" s="1114">
        <f t="shared" si="8"/>
        <v>7827500</v>
      </c>
      <c r="S52" s="1259">
        <f t="shared" si="8"/>
        <v>2500000</v>
      </c>
      <c r="T52" s="1267">
        <f t="shared" si="8"/>
        <v>500000</v>
      </c>
      <c r="U52" s="1114">
        <f t="shared" si="8"/>
        <v>2000000</v>
      </c>
      <c r="V52" s="1114">
        <f t="shared" si="8"/>
        <v>1500000</v>
      </c>
      <c r="W52" s="1114">
        <f t="shared" si="8"/>
        <v>0</v>
      </c>
      <c r="X52" s="1114">
        <f t="shared" si="8"/>
        <v>8117500</v>
      </c>
      <c r="Y52" s="1114">
        <f t="shared" si="8"/>
        <v>9617500</v>
      </c>
      <c r="Z52" s="1114">
        <f t="shared" si="8"/>
        <v>1500000</v>
      </c>
      <c r="AA52" s="1114">
        <f t="shared" si="8"/>
        <v>5327500</v>
      </c>
      <c r="AB52" s="1114">
        <f t="shared" si="8"/>
        <v>7827500</v>
      </c>
      <c r="AC52" s="1259">
        <f t="shared" si="8"/>
        <v>2500000</v>
      </c>
      <c r="AD52" s="1268"/>
      <c r="AE52" s="1135"/>
    </row>
    <row r="53" spans="1:31" s="36" customFormat="1" ht="21" customHeight="1">
      <c r="A53" s="18"/>
      <c r="B53" s="886">
        <v>92604</v>
      </c>
      <c r="C53" s="501" t="s">
        <v>770</v>
      </c>
      <c r="D53" s="501"/>
      <c r="E53" s="501"/>
      <c r="F53" s="1144"/>
      <c r="G53" s="514">
        <f>G54+G55</f>
        <v>40530000</v>
      </c>
      <c r="H53" s="514">
        <f>H54+H55</f>
        <v>1639559</v>
      </c>
      <c r="I53" s="514"/>
      <c r="J53" s="514">
        <f aca="true" t="shared" si="9" ref="J53:S53">J54</f>
        <v>500000</v>
      </c>
      <c r="K53" s="514">
        <f t="shared" si="9"/>
        <v>2000000</v>
      </c>
      <c r="L53" s="514">
        <f t="shared" si="9"/>
        <v>1500000</v>
      </c>
      <c r="M53" s="514">
        <f t="shared" si="9"/>
        <v>0</v>
      </c>
      <c r="N53" s="514">
        <f t="shared" si="9"/>
        <v>8117500</v>
      </c>
      <c r="O53" s="514">
        <f t="shared" si="9"/>
        <v>9617500</v>
      </c>
      <c r="P53" s="514">
        <f t="shared" si="9"/>
        <v>1500000</v>
      </c>
      <c r="Q53" s="514">
        <f t="shared" si="9"/>
        <v>5327500</v>
      </c>
      <c r="R53" s="514">
        <f t="shared" si="9"/>
        <v>7827500</v>
      </c>
      <c r="S53" s="1227">
        <f t="shared" si="9"/>
        <v>2500000</v>
      </c>
      <c r="T53" s="1298">
        <f aca="true" t="shared" si="10" ref="T53:AC53">T54+T55</f>
        <v>500000</v>
      </c>
      <c r="U53" s="887">
        <f t="shared" si="10"/>
        <v>2000000</v>
      </c>
      <c r="V53" s="887">
        <f t="shared" si="10"/>
        <v>1500000</v>
      </c>
      <c r="W53" s="887">
        <f t="shared" si="10"/>
        <v>0</v>
      </c>
      <c r="X53" s="887">
        <f t="shared" si="10"/>
        <v>8117500</v>
      </c>
      <c r="Y53" s="887">
        <f t="shared" si="10"/>
        <v>9617500</v>
      </c>
      <c r="Z53" s="887">
        <f t="shared" si="10"/>
        <v>1500000</v>
      </c>
      <c r="AA53" s="887">
        <f t="shared" si="10"/>
        <v>5327500</v>
      </c>
      <c r="AB53" s="887">
        <f t="shared" si="10"/>
        <v>7827500</v>
      </c>
      <c r="AC53" s="1311">
        <f t="shared" si="10"/>
        <v>2500000</v>
      </c>
      <c r="AD53" s="1299"/>
      <c r="AE53" s="889"/>
    </row>
    <row r="54" spans="1:31" ht="28.5" customHeight="1">
      <c r="A54" s="1117"/>
      <c r="B54" s="695"/>
      <c r="C54" s="751" t="s">
        <v>480</v>
      </c>
      <c r="D54" s="1312" t="s">
        <v>481</v>
      </c>
      <c r="E54" s="868" t="s">
        <v>371</v>
      </c>
      <c r="F54" s="1310" t="s">
        <v>482</v>
      </c>
      <c r="G54" s="1178">
        <v>40530000</v>
      </c>
      <c r="H54" s="1178">
        <v>1639559</v>
      </c>
      <c r="I54" s="521"/>
      <c r="J54" s="521">
        <v>500000</v>
      </c>
      <c r="K54" s="521">
        <v>2000000</v>
      </c>
      <c r="L54" s="521">
        <v>1500000</v>
      </c>
      <c r="M54" s="521"/>
      <c r="N54" s="521">
        <v>8117500</v>
      </c>
      <c r="O54" s="521">
        <v>9617500</v>
      </c>
      <c r="P54" s="521">
        <v>1500000</v>
      </c>
      <c r="Q54" s="521">
        <v>5327500</v>
      </c>
      <c r="R54" s="521">
        <v>7827500</v>
      </c>
      <c r="S54" s="1269">
        <v>2500000</v>
      </c>
      <c r="T54" s="1270">
        <v>500000</v>
      </c>
      <c r="U54" s="521">
        <v>2000000</v>
      </c>
      <c r="V54" s="521">
        <v>1500000</v>
      </c>
      <c r="W54" s="521"/>
      <c r="X54" s="521">
        <v>8117500</v>
      </c>
      <c r="Y54" s="521">
        <v>9617500</v>
      </c>
      <c r="Z54" s="521">
        <v>1500000</v>
      </c>
      <c r="AA54" s="521">
        <v>5327500</v>
      </c>
      <c r="AB54" s="521">
        <v>7827500</v>
      </c>
      <c r="AC54" s="1269">
        <v>2500000</v>
      </c>
      <c r="AD54" s="1271"/>
      <c r="AE54" s="951"/>
    </row>
    <row r="55" spans="1:31" ht="56.25" customHeight="1" hidden="1">
      <c r="A55" s="108"/>
      <c r="B55" s="602"/>
      <c r="C55" s="658" t="s">
        <v>483</v>
      </c>
      <c r="D55" s="1313" t="s">
        <v>438</v>
      </c>
      <c r="E55" s="956" t="s">
        <v>439</v>
      </c>
      <c r="F55" s="1314" t="s">
        <v>372</v>
      </c>
      <c r="G55" s="1315">
        <f>8332152-8332152</f>
        <v>0</v>
      </c>
      <c r="H55" s="1097">
        <f>164090-164090</f>
        <v>0</v>
      </c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1316"/>
      <c r="T55" s="1240">
        <f>2042016-2042016</f>
        <v>0</v>
      </c>
      <c r="U55" s="527">
        <f>6126046-6126046</f>
        <v>0</v>
      </c>
      <c r="V55" s="527"/>
      <c r="W55" s="527"/>
      <c r="X55" s="527"/>
      <c r="Y55" s="527"/>
      <c r="Z55" s="527"/>
      <c r="AA55" s="527"/>
      <c r="AB55" s="527"/>
      <c r="AC55" s="1239"/>
      <c r="AD55" s="1241">
        <f>2042016-2042016</f>
        <v>0</v>
      </c>
      <c r="AE55" s="957" t="e">
        <f>AD55/T55</f>
        <v>#DIV/0!</v>
      </c>
    </row>
    <row r="56" spans="1:31" ht="20.25" customHeight="1" hidden="1">
      <c r="A56" s="1117"/>
      <c r="B56" s="695"/>
      <c r="C56" s="759"/>
      <c r="D56" s="1317"/>
      <c r="E56" s="1026"/>
      <c r="F56" s="1303"/>
      <c r="G56" s="1304"/>
      <c r="H56" s="1304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1305"/>
      <c r="T56" s="1306"/>
      <c r="U56" s="518"/>
      <c r="V56" s="518"/>
      <c r="W56" s="518"/>
      <c r="X56" s="518"/>
      <c r="Y56" s="518"/>
      <c r="Z56" s="518"/>
      <c r="AA56" s="518"/>
      <c r="AB56" s="518"/>
      <c r="AC56" s="1305"/>
      <c r="AD56" s="1307"/>
      <c r="AE56" s="1308" t="e">
        <f>AD56/T56</f>
        <v>#DIV/0!</v>
      </c>
    </row>
    <row r="57" spans="1:31" ht="14.25">
      <c r="A57" s="1318"/>
      <c r="B57" s="1319"/>
      <c r="C57"/>
      <c r="D57"/>
      <c r="E57"/>
      <c r="F57" s="1320"/>
      <c r="G57" s="1320"/>
      <c r="H57" s="1320"/>
      <c r="AE57" s="1320"/>
    </row>
    <row r="58" spans="3:31" s="35" customFormat="1" ht="16.5" customHeight="1">
      <c r="C58" s="1321" t="s">
        <v>484</v>
      </c>
      <c r="D58" s="1322"/>
      <c r="E58" s="1322"/>
      <c r="F58" s="1323"/>
      <c r="G58" s="1323"/>
      <c r="H58" s="1323"/>
      <c r="AE58" s="1323"/>
    </row>
    <row r="59" spans="3:31" s="35" customFormat="1" ht="16.5" customHeight="1">
      <c r="C59" s="1321" t="s">
        <v>485</v>
      </c>
      <c r="D59" s="1322"/>
      <c r="E59" s="1322"/>
      <c r="F59" s="1323"/>
      <c r="G59" s="1323"/>
      <c r="H59" s="1323"/>
      <c r="AE59" s="1323"/>
    </row>
    <row r="62" spans="3:16" ht="12.75">
      <c r="C62" s="417" t="s">
        <v>287</v>
      </c>
      <c r="P62" t="s">
        <v>289</v>
      </c>
    </row>
    <row r="63" spans="3:16" ht="12.75">
      <c r="C63" s="417" t="s">
        <v>288</v>
      </c>
      <c r="P63" t="s">
        <v>290</v>
      </c>
    </row>
  </sheetData>
  <mergeCells count="7">
    <mergeCell ref="C3:V3"/>
    <mergeCell ref="T7:V7"/>
    <mergeCell ref="X7:Z7"/>
    <mergeCell ref="AA7:AC7"/>
    <mergeCell ref="J7:L7"/>
    <mergeCell ref="N7:P7"/>
    <mergeCell ref="Q7:S7"/>
  </mergeCells>
  <printOptions horizontalCentered="1"/>
  <pageMargins left="0.1968503937007874" right="0.1968503937007874" top="0.3937007874015748" bottom="0.5905511811023623" header="0.31496062992125984" footer="0.3937007874015748"/>
  <pageSetup firstPageNumber="64" useFirstPageNumber="1" horizontalDpi="600" verticalDpi="600" orientation="landscape" paperSize="9" scale="4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F148"/>
  <sheetViews>
    <sheetView workbookViewId="0" topLeftCell="A1">
      <selection activeCell="G4" sqref="G4"/>
    </sheetView>
  </sheetViews>
  <sheetFormatPr defaultColWidth="9.00390625" defaultRowHeight="12.75"/>
  <cols>
    <col min="1" max="1" width="6.00390625" style="6" customWidth="1"/>
    <col min="2" max="2" width="8.625" style="6" customWidth="1"/>
    <col min="3" max="3" width="52.00390625" style="6" customWidth="1"/>
    <col min="4" max="6" width="19.75390625" style="6" customWidth="1"/>
    <col min="7" max="7" width="12.625" style="6" customWidth="1"/>
    <col min="8" max="8" width="1.875" style="0" hidden="1" customWidth="1"/>
    <col min="9" max="9" width="16.00390625" style="0" customWidth="1"/>
    <col min="10" max="165" width="7.875" style="0" customWidth="1"/>
    <col min="166" max="16384" width="7.875" style="6" customWidth="1"/>
  </cols>
  <sheetData>
    <row r="1" ht="15.75" customHeight="1">
      <c r="F1" s="6" t="s">
        <v>486</v>
      </c>
    </row>
    <row r="2" ht="15.75" customHeight="1">
      <c r="F2" s="6" t="s">
        <v>293</v>
      </c>
    </row>
    <row r="3" spans="3:6" ht="15.75" customHeight="1">
      <c r="C3" s="34" t="s">
        <v>487</v>
      </c>
      <c r="F3" s="6" t="s">
        <v>893</v>
      </c>
    </row>
    <row r="4" ht="15.75" customHeight="1">
      <c r="F4" s="6" t="s">
        <v>294</v>
      </c>
    </row>
    <row r="5" ht="12" customHeight="1"/>
    <row r="6" spans="4:7" ht="12.75" customHeight="1" thickBot="1">
      <c r="D6" s="486"/>
      <c r="E6" s="486"/>
      <c r="F6" s="486" t="s">
        <v>725</v>
      </c>
      <c r="G6" s="1324"/>
    </row>
    <row r="7" spans="1:7" ht="44.25" customHeight="1" thickBot="1" thickTop="1">
      <c r="A7" s="1325" t="s">
        <v>11</v>
      </c>
      <c r="B7" s="1325" t="s">
        <v>12</v>
      </c>
      <c r="C7" s="1326" t="s">
        <v>488</v>
      </c>
      <c r="D7" s="118" t="s">
        <v>489</v>
      </c>
      <c r="E7" s="118" t="s">
        <v>490</v>
      </c>
      <c r="F7" s="99" t="s">
        <v>491</v>
      </c>
      <c r="G7" s="1327" t="s">
        <v>492</v>
      </c>
    </row>
    <row r="8" spans="1:7" ht="14.25" thickBot="1" thickTop="1">
      <c r="A8" s="1328">
        <v>1</v>
      </c>
      <c r="B8" s="1328">
        <v>2</v>
      </c>
      <c r="C8" s="1328">
        <v>3</v>
      </c>
      <c r="D8" s="1329">
        <v>4</v>
      </c>
      <c r="E8" s="1329">
        <v>5</v>
      </c>
      <c r="F8" s="1329">
        <v>6</v>
      </c>
      <c r="G8" s="1330">
        <v>7</v>
      </c>
    </row>
    <row r="9" spans="1:7" ht="19.5" customHeight="1" thickBot="1" thickTop="1">
      <c r="A9" s="1331"/>
      <c r="B9" s="1331"/>
      <c r="C9" s="1332" t="s">
        <v>493</v>
      </c>
      <c r="D9" s="1333">
        <f>D11+D117+D110</f>
        <v>14626500</v>
      </c>
      <c r="E9" s="1333">
        <f>E11+E117+E110</f>
        <v>18046097</v>
      </c>
      <c r="F9" s="1334">
        <f>F11+F117+F110</f>
        <v>16836396.11</v>
      </c>
      <c r="G9" s="1335">
        <f>F9/E9</f>
        <v>0.9329660651829589</v>
      </c>
    </row>
    <row r="10" spans="1:7" ht="12" customHeight="1">
      <c r="A10" s="1336"/>
      <c r="B10" s="1336"/>
      <c r="C10" s="1337" t="s">
        <v>132</v>
      </c>
      <c r="D10" s="1338"/>
      <c r="E10" s="1338"/>
      <c r="F10" s="1339"/>
      <c r="G10" s="1340"/>
    </row>
    <row r="11" spans="1:165" s="102" customFormat="1" ht="18.75" customHeight="1" thickBot="1">
      <c r="A11" s="1341"/>
      <c r="B11" s="1341"/>
      <c r="C11" s="1342" t="s">
        <v>494</v>
      </c>
      <c r="D11" s="1343">
        <f>D12+D20+D23+D33+D38+D43+D60+D71+D76+D89+D97+D107</f>
        <v>14196500</v>
      </c>
      <c r="E11" s="1343">
        <f>E12+E20+E23+E33+E38+E43+E60+E71+E76+E89+E97+E107</f>
        <v>17725908</v>
      </c>
      <c r="F11" s="1344">
        <f>F12+F20+F23+F33+F38+F43+F60+F71+F76+F89+F97+F107</f>
        <v>16527751.9</v>
      </c>
      <c r="G11" s="1345">
        <f>F11/E11</f>
        <v>0.9324065035201582</v>
      </c>
      <c r="H11"/>
      <c r="I11" s="5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165" s="1351" customFormat="1" ht="18.75" customHeight="1" thickBot="1" thickTop="1">
      <c r="A12" s="1346">
        <v>600</v>
      </c>
      <c r="B12" s="1346"/>
      <c r="C12" s="1347" t="s">
        <v>147</v>
      </c>
      <c r="D12" s="1348">
        <f>D13+D16+D18</f>
        <v>4789000</v>
      </c>
      <c r="E12" s="1348">
        <f>E13+E16+E18</f>
        <v>3914304</v>
      </c>
      <c r="F12" s="1349">
        <f>F13+F16+F18</f>
        <v>2867500.83</v>
      </c>
      <c r="G12" s="1350">
        <f>F12/E12</f>
        <v>0.732569782520724</v>
      </c>
      <c r="H12"/>
      <c r="I12" s="5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</row>
    <row r="13" spans="1:165" s="1351" customFormat="1" ht="18.75" customHeight="1">
      <c r="A13" s="1352"/>
      <c r="B13" s="1353">
        <v>60015</v>
      </c>
      <c r="C13" s="1353" t="s">
        <v>153</v>
      </c>
      <c r="D13" s="1354">
        <f>D14+D15</f>
        <v>3500000</v>
      </c>
      <c r="E13" s="1354">
        <f>E14+E15</f>
        <v>1488304</v>
      </c>
      <c r="F13" s="1355">
        <f>F14+F15</f>
        <v>697840.96</v>
      </c>
      <c r="G13" s="1356">
        <f>F13/E13</f>
        <v>0.46888334641309837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</row>
    <row r="14" spans="1:165" s="1351" customFormat="1" ht="18.75" customHeight="1">
      <c r="A14" s="1352"/>
      <c r="B14" s="1357"/>
      <c r="C14" s="1358" t="s">
        <v>495</v>
      </c>
      <c r="D14" s="1359">
        <v>1500000</v>
      </c>
      <c r="E14" s="1359">
        <v>1231089</v>
      </c>
      <c r="F14" s="1360">
        <v>697840.96</v>
      </c>
      <c r="G14" s="1361">
        <f>F14/E14</f>
        <v>0.5668485056726199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</row>
    <row r="15" spans="1:165" s="1351" customFormat="1" ht="18.75" customHeight="1">
      <c r="A15" s="1352"/>
      <c r="B15" s="1362"/>
      <c r="C15" s="1363" t="s">
        <v>496</v>
      </c>
      <c r="D15" s="1364">
        <v>2000000</v>
      </c>
      <c r="E15" s="1364">
        <v>257215</v>
      </c>
      <c r="F15" s="1365"/>
      <c r="G15" s="136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165" s="1351" customFormat="1" ht="18.75" customHeight="1">
      <c r="A16" s="1352"/>
      <c r="B16" s="1353">
        <v>60016</v>
      </c>
      <c r="C16" s="1353" t="s">
        <v>156</v>
      </c>
      <c r="D16" s="1354">
        <f>D17</f>
        <v>1129000</v>
      </c>
      <c r="E16" s="1354">
        <f>E17</f>
        <v>1129000</v>
      </c>
      <c r="F16" s="1355">
        <f>F17</f>
        <v>893108.02</v>
      </c>
      <c r="G16" s="1356">
        <f aca="true" t="shared" si="0" ref="G16:G29">F16/E16</f>
        <v>0.7910611337466785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</row>
    <row r="17" spans="1:165" s="1351" customFormat="1" ht="18.75" customHeight="1">
      <c r="A17" s="1352"/>
      <c r="B17" s="1367"/>
      <c r="C17" s="1368" t="s">
        <v>497</v>
      </c>
      <c r="D17" s="1369">
        <v>1129000</v>
      </c>
      <c r="E17" s="1369">
        <v>1129000</v>
      </c>
      <c r="F17" s="1370">
        <v>893108.02</v>
      </c>
      <c r="G17" s="1371">
        <f t="shared" si="0"/>
        <v>0.7910611337466785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</row>
    <row r="18" spans="1:165" s="1351" customFormat="1" ht="18.75" customHeight="1">
      <c r="A18" s="1352"/>
      <c r="B18" s="1353">
        <v>60017</v>
      </c>
      <c r="C18" s="1353" t="s">
        <v>158</v>
      </c>
      <c r="D18" s="1354">
        <f>D19</f>
        <v>160000</v>
      </c>
      <c r="E18" s="1354">
        <f>E19</f>
        <v>1297000</v>
      </c>
      <c r="F18" s="1355">
        <f>F19</f>
        <v>1276551.85</v>
      </c>
      <c r="G18" s="1356">
        <f t="shared" si="0"/>
        <v>0.9842342713955282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</row>
    <row r="19" spans="1:165" s="1351" customFormat="1" ht="18.75" customHeight="1">
      <c r="A19" s="1362"/>
      <c r="B19" s="1362"/>
      <c r="C19" s="1368" t="s">
        <v>157</v>
      </c>
      <c r="D19" s="1369">
        <v>160000</v>
      </c>
      <c r="E19" s="1369">
        <v>1297000</v>
      </c>
      <c r="F19" s="1370">
        <v>1276551.85</v>
      </c>
      <c r="G19" s="1371">
        <f t="shared" si="0"/>
        <v>0.9842342713955282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</row>
    <row r="20" spans="1:165" s="1351" customFormat="1" ht="18.75" customHeight="1" thickBot="1">
      <c r="A20" s="1346">
        <v>630</v>
      </c>
      <c r="B20" s="1346"/>
      <c r="C20" s="1346" t="s">
        <v>25</v>
      </c>
      <c r="D20" s="1372">
        <f aca="true" t="shared" si="1" ref="D20:F21">D21</f>
        <v>7000</v>
      </c>
      <c r="E20" s="1372">
        <f t="shared" si="1"/>
        <v>7000</v>
      </c>
      <c r="F20" s="1373">
        <f t="shared" si="1"/>
        <v>7000</v>
      </c>
      <c r="G20" s="1374">
        <f t="shared" si="0"/>
        <v>1</v>
      </c>
      <c r="H20"/>
      <c r="I20" s="53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</row>
    <row r="21" spans="1:165" s="1351" customFormat="1" ht="18.75" customHeight="1">
      <c r="A21" s="1352"/>
      <c r="B21" s="1353">
        <v>63001</v>
      </c>
      <c r="C21" s="1353" t="s">
        <v>160</v>
      </c>
      <c r="D21" s="1354">
        <f t="shared" si="1"/>
        <v>7000</v>
      </c>
      <c r="E21" s="1354">
        <f t="shared" si="1"/>
        <v>7000</v>
      </c>
      <c r="F21" s="1355">
        <f t="shared" si="1"/>
        <v>7000</v>
      </c>
      <c r="G21" s="1356">
        <f t="shared" si="0"/>
        <v>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</row>
    <row r="22" spans="1:165" s="1351" customFormat="1" ht="18.75" customHeight="1">
      <c r="A22" s="1362"/>
      <c r="B22" s="1367"/>
      <c r="C22" s="1368" t="s">
        <v>498</v>
      </c>
      <c r="D22" s="1369">
        <v>7000</v>
      </c>
      <c r="E22" s="1369">
        <v>7000</v>
      </c>
      <c r="F22" s="1370">
        <v>7000</v>
      </c>
      <c r="G22" s="1371">
        <f t="shared" si="0"/>
        <v>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</row>
    <row r="23" spans="1:7" ht="18.75" customHeight="1" thickBot="1">
      <c r="A23" s="1346">
        <v>700</v>
      </c>
      <c r="B23" s="1346"/>
      <c r="C23" s="1375" t="s">
        <v>499</v>
      </c>
      <c r="D23" s="1372">
        <f>D24+D31</f>
        <v>5100000</v>
      </c>
      <c r="E23" s="1372">
        <f>E24+E31</f>
        <v>5100000</v>
      </c>
      <c r="F23" s="1373">
        <f>F24+F31</f>
        <v>5079502.15</v>
      </c>
      <c r="G23" s="1374">
        <f t="shared" si="0"/>
        <v>0.9959808137254903</v>
      </c>
    </row>
    <row r="24" spans="1:7" ht="18.75" customHeight="1">
      <c r="A24" s="1352"/>
      <c r="B24" s="1353">
        <v>70001</v>
      </c>
      <c r="C24" s="1376" t="s">
        <v>166</v>
      </c>
      <c r="D24" s="1377">
        <f>D25+D26+D27+D28+D29</f>
        <v>5000000</v>
      </c>
      <c r="E24" s="1377">
        <f>E25+E26+E27+E28+E29</f>
        <v>5000000</v>
      </c>
      <c r="F24" s="1378">
        <f>F25+F26+F27+F28+F29</f>
        <v>5000000</v>
      </c>
      <c r="G24" s="1379">
        <f t="shared" si="0"/>
        <v>1</v>
      </c>
    </row>
    <row r="25" spans="1:7" ht="26.25" customHeight="1">
      <c r="A25" s="1352"/>
      <c r="B25" s="1380"/>
      <c r="C25" s="1381" t="s">
        <v>500</v>
      </c>
      <c r="D25" s="1382">
        <v>100000</v>
      </c>
      <c r="E25" s="1382">
        <v>170000</v>
      </c>
      <c r="F25" s="1383">
        <v>170000</v>
      </c>
      <c r="G25" s="1384">
        <f t="shared" si="0"/>
        <v>1</v>
      </c>
    </row>
    <row r="26" spans="1:7" ht="18.75" customHeight="1">
      <c r="A26" s="1336"/>
      <c r="B26" s="1336"/>
      <c r="C26" s="1385" t="s">
        <v>501</v>
      </c>
      <c r="D26" s="1386">
        <v>2000000</v>
      </c>
      <c r="E26" s="1386">
        <v>2222070</v>
      </c>
      <c r="F26" s="1387">
        <v>2222070</v>
      </c>
      <c r="G26" s="1388">
        <f t="shared" si="0"/>
        <v>1</v>
      </c>
    </row>
    <row r="27" spans="1:7" ht="18.75" customHeight="1">
      <c r="A27" s="1336"/>
      <c r="B27" s="1336"/>
      <c r="C27" s="1389" t="s">
        <v>502</v>
      </c>
      <c r="D27" s="1390">
        <v>1700000</v>
      </c>
      <c r="E27" s="1390">
        <v>1819819</v>
      </c>
      <c r="F27" s="1391">
        <v>1819819</v>
      </c>
      <c r="G27" s="1392">
        <f t="shared" si="0"/>
        <v>1</v>
      </c>
    </row>
    <row r="28" spans="1:7" ht="18.75" customHeight="1">
      <c r="A28" s="1336"/>
      <c r="B28" s="1336"/>
      <c r="C28" s="1389" t="s">
        <v>503</v>
      </c>
      <c r="D28" s="1390">
        <v>120000</v>
      </c>
      <c r="E28" s="1390">
        <v>78111</v>
      </c>
      <c r="F28" s="1391">
        <v>78111</v>
      </c>
      <c r="G28" s="1392">
        <f t="shared" si="0"/>
        <v>1</v>
      </c>
    </row>
    <row r="29" spans="1:7" ht="18.75" customHeight="1">
      <c r="A29" s="1393"/>
      <c r="B29" s="1393"/>
      <c r="C29" s="1394" t="s">
        <v>504</v>
      </c>
      <c r="D29" s="1395">
        <v>1080000</v>
      </c>
      <c r="E29" s="1395">
        <v>710000</v>
      </c>
      <c r="F29" s="1396">
        <v>710000</v>
      </c>
      <c r="G29" s="1397">
        <f t="shared" si="0"/>
        <v>1</v>
      </c>
    </row>
    <row r="30" ht="18.75" customHeight="1"/>
    <row r="31" spans="1:7" ht="18.75" customHeight="1">
      <c r="A31" s="1336"/>
      <c r="B31" s="1398">
        <v>70005</v>
      </c>
      <c r="C31" s="1399" t="s">
        <v>172</v>
      </c>
      <c r="D31" s="1377">
        <f>D32</f>
        <v>100000</v>
      </c>
      <c r="E31" s="1377">
        <f>E32</f>
        <v>100000</v>
      </c>
      <c r="F31" s="1378">
        <f>F32</f>
        <v>79502.15</v>
      </c>
      <c r="G31" s="1379">
        <f aca="true" t="shared" si="2" ref="G31:G62">F31/E31</f>
        <v>0.7950214999999999</v>
      </c>
    </row>
    <row r="32" spans="1:7" ht="18.75" customHeight="1">
      <c r="A32" s="1393"/>
      <c r="B32" s="1393"/>
      <c r="C32" s="1400" t="s">
        <v>505</v>
      </c>
      <c r="D32" s="1395">
        <v>100000</v>
      </c>
      <c r="E32" s="1395">
        <v>100000</v>
      </c>
      <c r="F32" s="1401">
        <v>79502.15</v>
      </c>
      <c r="G32" s="1397">
        <f t="shared" si="2"/>
        <v>0.7950214999999999</v>
      </c>
    </row>
    <row r="33" spans="1:7" ht="18.75" customHeight="1" thickBot="1">
      <c r="A33" s="1346">
        <v>750</v>
      </c>
      <c r="B33" s="1346"/>
      <c r="C33" s="1375" t="s">
        <v>184</v>
      </c>
      <c r="D33" s="1402">
        <f>D34+D36</f>
        <v>620000</v>
      </c>
      <c r="E33" s="1402">
        <f>E34+E36</f>
        <v>785970</v>
      </c>
      <c r="F33" s="1403">
        <f>F34+F36</f>
        <v>692202.9900000001</v>
      </c>
      <c r="G33" s="1404">
        <f t="shared" si="2"/>
        <v>0.8806989961448911</v>
      </c>
    </row>
    <row r="34" spans="1:7" ht="18.75" customHeight="1">
      <c r="A34" s="1380"/>
      <c r="B34" s="1353">
        <v>75022</v>
      </c>
      <c r="C34" s="1376" t="s">
        <v>185</v>
      </c>
      <c r="D34" s="1377">
        <f>D35</f>
        <v>20000</v>
      </c>
      <c r="E34" s="1377">
        <f>E35</f>
        <v>20000</v>
      </c>
      <c r="F34" s="1378">
        <f>F35</f>
        <v>10126.81</v>
      </c>
      <c r="G34" s="1379">
        <f t="shared" si="2"/>
        <v>0.5063405</v>
      </c>
    </row>
    <row r="35" spans="1:7" ht="18.75" customHeight="1">
      <c r="A35" s="1380"/>
      <c r="B35" s="1353"/>
      <c r="C35" s="1394" t="s">
        <v>506</v>
      </c>
      <c r="D35" s="1395">
        <v>20000</v>
      </c>
      <c r="E35" s="1395">
        <v>20000</v>
      </c>
      <c r="F35" s="1401">
        <v>10126.81</v>
      </c>
      <c r="G35" s="1397">
        <f t="shared" si="2"/>
        <v>0.5063405</v>
      </c>
    </row>
    <row r="36" spans="1:7" ht="18.75" customHeight="1">
      <c r="A36" s="1352"/>
      <c r="B36" s="1353">
        <v>75023</v>
      </c>
      <c r="C36" s="1353" t="s">
        <v>189</v>
      </c>
      <c r="D36" s="1377">
        <f>D37</f>
        <v>600000</v>
      </c>
      <c r="E36" s="1377">
        <f>E37</f>
        <v>765970</v>
      </c>
      <c r="F36" s="1378">
        <f>F37</f>
        <v>682076.18</v>
      </c>
      <c r="G36" s="1379">
        <f t="shared" si="2"/>
        <v>0.8904737522357273</v>
      </c>
    </row>
    <row r="37" spans="1:7" ht="18.75" customHeight="1">
      <c r="A37" s="1362"/>
      <c r="B37" s="1362"/>
      <c r="C37" s="1394" t="s">
        <v>507</v>
      </c>
      <c r="D37" s="1405">
        <v>600000</v>
      </c>
      <c r="E37" s="1405">
        <v>765970</v>
      </c>
      <c r="F37" s="1406">
        <v>682076.18</v>
      </c>
      <c r="G37" s="1407">
        <f t="shared" si="2"/>
        <v>0.8904737522357273</v>
      </c>
    </row>
    <row r="38" spans="1:7" ht="18.75" customHeight="1" thickBot="1">
      <c r="A38" s="1346">
        <v>754</v>
      </c>
      <c r="B38" s="1346"/>
      <c r="C38" s="1375" t="s">
        <v>200</v>
      </c>
      <c r="D38" s="1372">
        <f>D39+D41</f>
        <v>20000</v>
      </c>
      <c r="E38" s="1372">
        <f>E39+E41</f>
        <v>25063</v>
      </c>
      <c r="F38" s="1373">
        <f>F39+F41</f>
        <v>25047.29</v>
      </c>
      <c r="G38" s="1374">
        <f t="shared" si="2"/>
        <v>0.9993731795874397</v>
      </c>
    </row>
    <row r="39" spans="1:7" ht="18.75" customHeight="1">
      <c r="A39" s="1380"/>
      <c r="B39" s="1353">
        <v>75412</v>
      </c>
      <c r="C39" s="1376" t="s">
        <v>208</v>
      </c>
      <c r="D39" s="1354"/>
      <c r="E39" s="1354">
        <f>E40</f>
        <v>8000</v>
      </c>
      <c r="F39" s="1355">
        <f>F40</f>
        <v>7984.74</v>
      </c>
      <c r="G39" s="1356">
        <f t="shared" si="2"/>
        <v>0.9980924999999999</v>
      </c>
    </row>
    <row r="40" spans="1:7" ht="18.75" customHeight="1">
      <c r="A40" s="1352"/>
      <c r="B40" s="1362"/>
      <c r="C40" s="1394" t="s">
        <v>508</v>
      </c>
      <c r="D40" s="1405"/>
      <c r="E40" s="1405">
        <v>8000</v>
      </c>
      <c r="F40" s="1406">
        <v>7984.74</v>
      </c>
      <c r="G40" s="1407">
        <f t="shared" si="2"/>
        <v>0.9980924999999999</v>
      </c>
    </row>
    <row r="41" spans="1:7" ht="18.75" customHeight="1">
      <c r="A41" s="1380"/>
      <c r="B41" s="1408">
        <v>75416</v>
      </c>
      <c r="C41" s="1409" t="s">
        <v>210</v>
      </c>
      <c r="D41" s="1410">
        <f>D42</f>
        <v>20000</v>
      </c>
      <c r="E41" s="1410">
        <f>E42</f>
        <v>17063</v>
      </c>
      <c r="F41" s="1411">
        <f>F42</f>
        <v>17062.55</v>
      </c>
      <c r="G41" s="1412">
        <f t="shared" si="2"/>
        <v>0.9999736271464572</v>
      </c>
    </row>
    <row r="42" spans="1:7" ht="18.75" customHeight="1">
      <c r="A42" s="1362"/>
      <c r="B42" s="1362"/>
      <c r="C42" s="1394" t="s">
        <v>498</v>
      </c>
      <c r="D42" s="1405">
        <v>20000</v>
      </c>
      <c r="E42" s="1405">
        <v>17063</v>
      </c>
      <c r="F42" s="1406">
        <v>17062.55</v>
      </c>
      <c r="G42" s="1407">
        <f t="shared" si="2"/>
        <v>0.9999736271464572</v>
      </c>
    </row>
    <row r="43" spans="1:7" ht="18.75" customHeight="1" thickBot="1">
      <c r="A43" s="1346">
        <v>801</v>
      </c>
      <c r="B43" s="1346"/>
      <c r="C43" s="1375" t="s">
        <v>42</v>
      </c>
      <c r="D43" s="1372">
        <f>D44+D46+D50+D52+D56+D58+D48+D54</f>
        <v>1630000</v>
      </c>
      <c r="E43" s="1372">
        <f>E44+E46+E50+E52+E56+E58+E48+E54</f>
        <v>5445620</v>
      </c>
      <c r="F43" s="1373">
        <f>F44+F46+F50+F52+F56+F58+F48+F54</f>
        <v>5416867.829999999</v>
      </c>
      <c r="G43" s="1374">
        <f t="shared" si="2"/>
        <v>0.9947201292047553</v>
      </c>
    </row>
    <row r="44" spans="1:7" ht="18.75" customHeight="1">
      <c r="A44" s="1352"/>
      <c r="B44" s="1353">
        <v>80101</v>
      </c>
      <c r="C44" s="1376" t="s">
        <v>43</v>
      </c>
      <c r="D44" s="1354">
        <f>D45</f>
        <v>580000</v>
      </c>
      <c r="E44" s="1354">
        <f>E45</f>
        <v>1577979</v>
      </c>
      <c r="F44" s="1355">
        <f>F45</f>
        <v>1564127.71</v>
      </c>
      <c r="G44" s="1356">
        <f t="shared" si="2"/>
        <v>0.9912221328674209</v>
      </c>
    </row>
    <row r="45" spans="1:7" ht="18.75" customHeight="1">
      <c r="A45" s="1352"/>
      <c r="B45" s="1362"/>
      <c r="C45" s="1394" t="s">
        <v>509</v>
      </c>
      <c r="D45" s="1405">
        <v>580000</v>
      </c>
      <c r="E45" s="1405">
        <v>1577979</v>
      </c>
      <c r="F45" s="1406">
        <v>1564127.71</v>
      </c>
      <c r="G45" s="1407">
        <f t="shared" si="2"/>
        <v>0.9912221328674209</v>
      </c>
    </row>
    <row r="46" spans="1:7" ht="18.75" customHeight="1">
      <c r="A46" s="1352"/>
      <c r="B46" s="1353">
        <v>80104</v>
      </c>
      <c r="C46" s="1376" t="s">
        <v>45</v>
      </c>
      <c r="D46" s="1354">
        <f>D47</f>
        <v>100000</v>
      </c>
      <c r="E46" s="1354">
        <f>E47</f>
        <v>809660</v>
      </c>
      <c r="F46" s="1355">
        <f>F47</f>
        <v>809260.58</v>
      </c>
      <c r="G46" s="1356">
        <f t="shared" si="2"/>
        <v>0.9995066818170589</v>
      </c>
    </row>
    <row r="47" spans="1:7" ht="18.75" customHeight="1">
      <c r="A47" s="1352"/>
      <c r="B47" s="1362"/>
      <c r="C47" s="1394" t="s">
        <v>510</v>
      </c>
      <c r="D47" s="1405">
        <v>100000</v>
      </c>
      <c r="E47" s="1405">
        <v>809660</v>
      </c>
      <c r="F47" s="1406">
        <v>809260.58</v>
      </c>
      <c r="G47" s="1407">
        <f t="shared" si="2"/>
        <v>0.9995066818170589</v>
      </c>
    </row>
    <row r="48" spans="1:7" ht="18.75" customHeight="1">
      <c r="A48" s="1380"/>
      <c r="B48" s="1353">
        <v>80105</v>
      </c>
      <c r="C48" s="1376" t="s">
        <v>249</v>
      </c>
      <c r="D48" s="1354"/>
      <c r="E48" s="1354">
        <f>E49</f>
        <v>60000</v>
      </c>
      <c r="F48" s="1355">
        <f>F49</f>
        <v>60000</v>
      </c>
      <c r="G48" s="1356">
        <f t="shared" si="2"/>
        <v>1</v>
      </c>
    </row>
    <row r="49" spans="1:7" ht="18.75" customHeight="1">
      <c r="A49" s="1352"/>
      <c r="B49" s="1362"/>
      <c r="C49" s="1394" t="s">
        <v>511</v>
      </c>
      <c r="D49" s="1405"/>
      <c r="E49" s="1405">
        <v>60000</v>
      </c>
      <c r="F49" s="1406">
        <v>60000</v>
      </c>
      <c r="G49" s="1407">
        <f t="shared" si="2"/>
        <v>1</v>
      </c>
    </row>
    <row r="50" spans="1:7" ht="18.75" customHeight="1">
      <c r="A50" s="1380"/>
      <c r="B50" s="1353">
        <v>80110</v>
      </c>
      <c r="C50" s="1376" t="s">
        <v>46</v>
      </c>
      <c r="D50" s="1354">
        <f>D51</f>
        <v>300000</v>
      </c>
      <c r="E50" s="1354">
        <f>E51</f>
        <v>1221332</v>
      </c>
      <c r="F50" s="1355">
        <f>F51</f>
        <v>1212068.18</v>
      </c>
      <c r="G50" s="1356">
        <f t="shared" si="2"/>
        <v>0.992414986260902</v>
      </c>
    </row>
    <row r="51" spans="1:7" ht="18.75" customHeight="1">
      <c r="A51" s="1352"/>
      <c r="B51" s="1362"/>
      <c r="C51" s="1394" t="s">
        <v>509</v>
      </c>
      <c r="D51" s="1405">
        <v>300000</v>
      </c>
      <c r="E51" s="1405">
        <v>1221332</v>
      </c>
      <c r="F51" s="1406">
        <v>1212068.18</v>
      </c>
      <c r="G51" s="1407">
        <f t="shared" si="2"/>
        <v>0.992414986260902</v>
      </c>
    </row>
    <row r="52" spans="1:7" ht="18.75" customHeight="1">
      <c r="A52" s="1352"/>
      <c r="B52" s="1353">
        <v>80120</v>
      </c>
      <c r="C52" s="1376" t="s">
        <v>47</v>
      </c>
      <c r="D52" s="1354">
        <f>D53</f>
        <v>350000</v>
      </c>
      <c r="E52" s="1354">
        <f>E53</f>
        <v>1001769</v>
      </c>
      <c r="F52" s="1355">
        <f>F53</f>
        <v>999604.18</v>
      </c>
      <c r="G52" s="1356">
        <f t="shared" si="2"/>
        <v>0.9978390028040397</v>
      </c>
    </row>
    <row r="53" spans="1:7" ht="18.75" customHeight="1">
      <c r="A53" s="1352"/>
      <c r="B53" s="1362"/>
      <c r="C53" s="1394" t="s">
        <v>509</v>
      </c>
      <c r="D53" s="1405">
        <v>350000</v>
      </c>
      <c r="E53" s="1405">
        <v>1001769</v>
      </c>
      <c r="F53" s="1406">
        <v>999604.18</v>
      </c>
      <c r="G53" s="1407">
        <f t="shared" si="2"/>
        <v>0.9978390028040397</v>
      </c>
    </row>
    <row r="54" spans="1:7" ht="18.75" customHeight="1">
      <c r="A54" s="1352"/>
      <c r="B54" s="1353">
        <v>80123</v>
      </c>
      <c r="C54" s="1376" t="s">
        <v>48</v>
      </c>
      <c r="D54" s="1354"/>
      <c r="E54" s="1354">
        <f>E55</f>
        <v>30000</v>
      </c>
      <c r="F54" s="1355">
        <f>F55</f>
        <v>30000</v>
      </c>
      <c r="G54" s="1356">
        <f t="shared" si="2"/>
        <v>1</v>
      </c>
    </row>
    <row r="55" spans="1:7" ht="18.75" customHeight="1">
      <c r="A55" s="1352"/>
      <c r="B55" s="1362"/>
      <c r="C55" s="1394" t="s">
        <v>509</v>
      </c>
      <c r="D55" s="1405"/>
      <c r="E55" s="1405">
        <v>30000</v>
      </c>
      <c r="F55" s="1406">
        <v>30000</v>
      </c>
      <c r="G55" s="1407">
        <f t="shared" si="2"/>
        <v>1</v>
      </c>
    </row>
    <row r="56" spans="1:7" ht="18.75" customHeight="1">
      <c r="A56" s="1352"/>
      <c r="B56" s="1353">
        <v>80130</v>
      </c>
      <c r="C56" s="1376" t="s">
        <v>51</v>
      </c>
      <c r="D56" s="1354">
        <f>D57</f>
        <v>300000</v>
      </c>
      <c r="E56" s="1354">
        <f>E57</f>
        <v>715880</v>
      </c>
      <c r="F56" s="1355">
        <f>F57</f>
        <v>714286.1</v>
      </c>
      <c r="G56" s="1356">
        <f t="shared" si="2"/>
        <v>0.9977735095267363</v>
      </c>
    </row>
    <row r="57" spans="1:7" ht="18.75" customHeight="1">
      <c r="A57" s="1352"/>
      <c r="B57" s="1362"/>
      <c r="C57" s="1394" t="s">
        <v>509</v>
      </c>
      <c r="D57" s="1405">
        <v>300000</v>
      </c>
      <c r="E57" s="1405">
        <v>715880</v>
      </c>
      <c r="F57" s="1406">
        <v>714286.1</v>
      </c>
      <c r="G57" s="1407">
        <f t="shared" si="2"/>
        <v>0.9977735095267363</v>
      </c>
    </row>
    <row r="58" spans="1:7" ht="24.75" customHeight="1">
      <c r="A58" s="1352"/>
      <c r="B58" s="1353">
        <v>80140</v>
      </c>
      <c r="C58" s="1376" t="s">
        <v>262</v>
      </c>
      <c r="D58" s="1354"/>
      <c r="E58" s="1354">
        <f>E59</f>
        <v>29000</v>
      </c>
      <c r="F58" s="1355">
        <f>F59</f>
        <v>27521.08</v>
      </c>
      <c r="G58" s="1356">
        <f t="shared" si="2"/>
        <v>0.9490027586206897</v>
      </c>
    </row>
    <row r="59" spans="1:7" ht="18.75" customHeight="1">
      <c r="A59" s="1362"/>
      <c r="B59" s="1362"/>
      <c r="C59" s="1394" t="s">
        <v>512</v>
      </c>
      <c r="D59" s="1405"/>
      <c r="E59" s="1405">
        <v>29000</v>
      </c>
      <c r="F59" s="1406">
        <v>27521.08</v>
      </c>
      <c r="G59" s="1407">
        <f t="shared" si="2"/>
        <v>0.9490027586206897</v>
      </c>
    </row>
    <row r="60" spans="1:7" ht="18.75" customHeight="1" thickBot="1">
      <c r="A60" s="1346">
        <v>852</v>
      </c>
      <c r="B60" s="1413"/>
      <c r="C60" s="1375" t="s">
        <v>54</v>
      </c>
      <c r="D60" s="1372">
        <f>D61+D63+D65+D67+D69</f>
        <v>285500</v>
      </c>
      <c r="E60" s="1372">
        <f>E61+E63+E65+E67+E69</f>
        <v>161654</v>
      </c>
      <c r="F60" s="1373">
        <f>F61+F63+F65+F67+F69</f>
        <v>161367.09</v>
      </c>
      <c r="G60" s="1374">
        <f t="shared" si="2"/>
        <v>0.9982251599094362</v>
      </c>
    </row>
    <row r="61" spans="1:7" ht="18.75" customHeight="1">
      <c r="A61" s="1380"/>
      <c r="B61" s="1353">
        <v>85201</v>
      </c>
      <c r="C61" s="1376" t="s">
        <v>55</v>
      </c>
      <c r="D61" s="1354">
        <f>D62</f>
        <v>25000</v>
      </c>
      <c r="E61" s="1354">
        <f>E62</f>
        <v>18999</v>
      </c>
      <c r="F61" s="1355">
        <f>F62</f>
        <v>18800.56</v>
      </c>
      <c r="G61" s="1356">
        <f t="shared" si="2"/>
        <v>0.9895552397494606</v>
      </c>
    </row>
    <row r="62" spans="1:7" ht="18.75" customHeight="1">
      <c r="A62" s="1380"/>
      <c r="B62" s="1362"/>
      <c r="C62" s="1394" t="s">
        <v>155</v>
      </c>
      <c r="D62" s="1405">
        <v>25000</v>
      </c>
      <c r="E62" s="1405">
        <v>18999</v>
      </c>
      <c r="F62" s="1406">
        <v>18800.56</v>
      </c>
      <c r="G62" s="1407">
        <f t="shared" si="2"/>
        <v>0.9895552397494606</v>
      </c>
    </row>
    <row r="63" spans="1:7" ht="18.75" customHeight="1">
      <c r="A63" s="1380"/>
      <c r="B63" s="1353">
        <v>85202</v>
      </c>
      <c r="C63" s="1376" t="s">
        <v>57</v>
      </c>
      <c r="D63" s="1354">
        <f>D64</f>
        <v>70000</v>
      </c>
      <c r="E63" s="1354">
        <f>E64</f>
        <v>80000</v>
      </c>
      <c r="F63" s="1355">
        <f>F64</f>
        <v>79911.53</v>
      </c>
      <c r="G63" s="1356">
        <f aca="true" t="shared" si="3" ref="G63:G84">F63/E63</f>
        <v>0.998894125</v>
      </c>
    </row>
    <row r="64" spans="1:7" ht="18.75" customHeight="1">
      <c r="A64" s="1380"/>
      <c r="B64" s="1362"/>
      <c r="C64" s="1394" t="s">
        <v>512</v>
      </c>
      <c r="D64" s="1405">
        <v>70000</v>
      </c>
      <c r="E64" s="1405">
        <v>80000</v>
      </c>
      <c r="F64" s="1406">
        <v>79911.53</v>
      </c>
      <c r="G64" s="1407">
        <f t="shared" si="3"/>
        <v>0.998894125</v>
      </c>
    </row>
    <row r="65" spans="1:7" ht="18.75" customHeight="1">
      <c r="A65" s="1352"/>
      <c r="B65" s="1353">
        <v>85219</v>
      </c>
      <c r="C65" s="1376" t="s">
        <v>646</v>
      </c>
      <c r="D65" s="1354">
        <f>D66</f>
        <v>40000</v>
      </c>
      <c r="E65" s="1354">
        <f>E66</f>
        <v>5000</v>
      </c>
      <c r="F65" s="1355">
        <f>F66</f>
        <v>5000</v>
      </c>
      <c r="G65" s="1356">
        <f t="shared" si="3"/>
        <v>1</v>
      </c>
    </row>
    <row r="66" spans="1:7" ht="18.75" customHeight="1">
      <c r="A66" s="1352"/>
      <c r="B66" s="1362"/>
      <c r="C66" s="1394" t="s">
        <v>513</v>
      </c>
      <c r="D66" s="1405">
        <v>40000</v>
      </c>
      <c r="E66" s="1405">
        <v>5000</v>
      </c>
      <c r="F66" s="1406">
        <v>5000</v>
      </c>
      <c r="G66" s="1407">
        <f t="shared" si="3"/>
        <v>1</v>
      </c>
    </row>
    <row r="67" spans="1:7" ht="25.5">
      <c r="A67" s="1352"/>
      <c r="B67" s="1353">
        <v>85220</v>
      </c>
      <c r="C67" s="1376" t="s">
        <v>650</v>
      </c>
      <c r="D67" s="1354">
        <f>D68</f>
        <v>80000</v>
      </c>
      <c r="E67" s="1354">
        <f>E68</f>
        <v>37155</v>
      </c>
      <c r="F67" s="1355">
        <f>F68</f>
        <v>37155</v>
      </c>
      <c r="G67" s="1356">
        <f t="shared" si="3"/>
        <v>1</v>
      </c>
    </row>
    <row r="68" spans="1:7" ht="18.75" customHeight="1">
      <c r="A68" s="1352"/>
      <c r="B68" s="1367"/>
      <c r="C68" s="1368" t="s">
        <v>514</v>
      </c>
      <c r="D68" s="1369">
        <v>80000</v>
      </c>
      <c r="E68" s="1369">
        <v>37155</v>
      </c>
      <c r="F68" s="1370">
        <v>37155</v>
      </c>
      <c r="G68" s="1371">
        <f t="shared" si="3"/>
        <v>1</v>
      </c>
    </row>
    <row r="69" spans="1:7" ht="18.75" customHeight="1">
      <c r="A69" s="1352"/>
      <c r="B69" s="1353">
        <v>85232</v>
      </c>
      <c r="C69" s="1376" t="s">
        <v>655</v>
      </c>
      <c r="D69" s="1354">
        <f>D70</f>
        <v>70500</v>
      </c>
      <c r="E69" s="1354">
        <f>E70</f>
        <v>20500</v>
      </c>
      <c r="F69" s="1355">
        <f>F70</f>
        <v>20500</v>
      </c>
      <c r="G69" s="1356">
        <f t="shared" si="3"/>
        <v>1</v>
      </c>
    </row>
    <row r="70" spans="1:7" ht="18.75" customHeight="1">
      <c r="A70" s="1362"/>
      <c r="B70" s="1362"/>
      <c r="C70" s="1394" t="s">
        <v>498</v>
      </c>
      <c r="D70" s="1405">
        <v>70500</v>
      </c>
      <c r="E70" s="1405">
        <v>20500</v>
      </c>
      <c r="F70" s="1414">
        <v>20500</v>
      </c>
      <c r="G70" s="1407">
        <f t="shared" si="3"/>
        <v>1</v>
      </c>
    </row>
    <row r="71" spans="1:7" ht="18.75" customHeight="1" thickBot="1">
      <c r="A71" s="1346">
        <v>853</v>
      </c>
      <c r="B71" s="1413"/>
      <c r="C71" s="1375" t="s">
        <v>737</v>
      </c>
      <c r="D71" s="1372">
        <f>D72+D74</f>
        <v>70000</v>
      </c>
      <c r="E71" s="1372">
        <f>E72+E74</f>
        <v>120000</v>
      </c>
      <c r="F71" s="1373">
        <f>F72+F74</f>
        <v>119882.61</v>
      </c>
      <c r="G71" s="1374">
        <f t="shared" si="3"/>
        <v>0.99902175</v>
      </c>
    </row>
    <row r="72" spans="1:7" ht="18.75" customHeight="1">
      <c r="A72" s="1352"/>
      <c r="B72" s="1353">
        <v>85305</v>
      </c>
      <c r="C72" s="1376" t="s">
        <v>665</v>
      </c>
      <c r="D72" s="1354">
        <f>D73</f>
        <v>20000</v>
      </c>
      <c r="E72" s="1354">
        <f>E73</f>
        <v>20000</v>
      </c>
      <c r="F72" s="1355">
        <f>F73</f>
        <v>19882.61</v>
      </c>
      <c r="G72" s="1356">
        <f t="shared" si="3"/>
        <v>0.9941305</v>
      </c>
    </row>
    <row r="73" spans="1:7" ht="18.75" customHeight="1">
      <c r="A73" s="1352"/>
      <c r="B73" s="1362"/>
      <c r="C73" s="1394" t="s">
        <v>515</v>
      </c>
      <c r="D73" s="1405">
        <v>20000</v>
      </c>
      <c r="E73" s="1405">
        <v>20000</v>
      </c>
      <c r="F73" s="1406">
        <v>19882.61</v>
      </c>
      <c r="G73" s="1407">
        <f t="shared" si="3"/>
        <v>0.9941305</v>
      </c>
    </row>
    <row r="74" spans="1:7" ht="18.75" customHeight="1">
      <c r="A74" s="1352"/>
      <c r="B74" s="1353">
        <v>85333</v>
      </c>
      <c r="C74" s="1376" t="s">
        <v>667</v>
      </c>
      <c r="D74" s="1354">
        <f>D75</f>
        <v>50000</v>
      </c>
      <c r="E74" s="1354">
        <f>E75</f>
        <v>100000</v>
      </c>
      <c r="F74" s="1355">
        <f>F75</f>
        <v>100000</v>
      </c>
      <c r="G74" s="1356">
        <f t="shared" si="3"/>
        <v>1</v>
      </c>
    </row>
    <row r="75" spans="1:7" ht="18.75" customHeight="1">
      <c r="A75" s="1352"/>
      <c r="B75" s="1352"/>
      <c r="C75" s="1415" t="s">
        <v>516</v>
      </c>
      <c r="D75" s="1416">
        <v>50000</v>
      </c>
      <c r="E75" s="1416">
        <v>100000</v>
      </c>
      <c r="F75" s="1417">
        <v>100000</v>
      </c>
      <c r="G75" s="1418">
        <f t="shared" si="3"/>
        <v>1</v>
      </c>
    </row>
    <row r="76" spans="1:7" ht="18.75" customHeight="1" thickBot="1">
      <c r="A76" s="1346">
        <v>854</v>
      </c>
      <c r="B76" s="1346"/>
      <c r="C76" s="1375" t="s">
        <v>27</v>
      </c>
      <c r="D76" s="1372">
        <f>D77+D79+D81+D83+D85</f>
        <v>425000</v>
      </c>
      <c r="E76" s="1372">
        <f>E77+E79+E81+E83+E85</f>
        <v>426231</v>
      </c>
      <c r="F76" s="1373">
        <f>F77+F79+F81+F83+F85</f>
        <v>425668.80000000005</v>
      </c>
      <c r="G76" s="1374">
        <f t="shared" si="3"/>
        <v>0.9986809969242032</v>
      </c>
    </row>
    <row r="77" spans="1:7" ht="18.75" customHeight="1">
      <c r="A77" s="1380"/>
      <c r="B77" s="1353">
        <v>85403</v>
      </c>
      <c r="C77" s="1376" t="s">
        <v>676</v>
      </c>
      <c r="D77" s="1354">
        <f>D78</f>
        <v>150000</v>
      </c>
      <c r="E77" s="1354">
        <f>E78</f>
        <v>254073</v>
      </c>
      <c r="F77" s="1355">
        <f>F78</f>
        <v>254045.6</v>
      </c>
      <c r="G77" s="1356">
        <f t="shared" si="3"/>
        <v>0.9998921569785062</v>
      </c>
    </row>
    <row r="78" spans="1:7" ht="18.75" customHeight="1">
      <c r="A78" s="1352"/>
      <c r="B78" s="1362"/>
      <c r="C78" s="1394" t="s">
        <v>512</v>
      </c>
      <c r="D78" s="1405">
        <v>150000</v>
      </c>
      <c r="E78" s="1405">
        <v>254073</v>
      </c>
      <c r="F78" s="1406">
        <v>254045.6</v>
      </c>
      <c r="G78" s="1407">
        <f t="shared" si="3"/>
        <v>0.9998921569785062</v>
      </c>
    </row>
    <row r="79" spans="1:7" ht="18.75" customHeight="1">
      <c r="A79" s="1380"/>
      <c r="B79" s="1353">
        <v>85407</v>
      </c>
      <c r="C79" s="1376" t="s">
        <v>680</v>
      </c>
      <c r="D79" s="1354">
        <f>D80</f>
        <v>50000</v>
      </c>
      <c r="E79" s="1354">
        <f>E80</f>
        <v>34500</v>
      </c>
      <c r="F79" s="1355">
        <f>F80</f>
        <v>34499.73</v>
      </c>
      <c r="G79" s="1356">
        <f t="shared" si="3"/>
        <v>0.9999921739130436</v>
      </c>
    </row>
    <row r="80" spans="1:7" ht="18.75" customHeight="1">
      <c r="A80" s="1352"/>
      <c r="B80" s="1362"/>
      <c r="C80" s="1394" t="s">
        <v>512</v>
      </c>
      <c r="D80" s="1405">
        <v>50000</v>
      </c>
      <c r="E80" s="1405">
        <v>34500</v>
      </c>
      <c r="F80" s="1406">
        <v>34499.73</v>
      </c>
      <c r="G80" s="1407">
        <f t="shared" si="3"/>
        <v>0.9999921739130436</v>
      </c>
    </row>
    <row r="81" spans="1:7" ht="18.75" customHeight="1">
      <c r="A81" s="1380"/>
      <c r="B81" s="1353">
        <v>85410</v>
      </c>
      <c r="C81" s="1376" t="s">
        <v>62</v>
      </c>
      <c r="D81" s="1354">
        <f>D82</f>
        <v>200000</v>
      </c>
      <c r="E81" s="1354">
        <f>E82</f>
        <v>124127</v>
      </c>
      <c r="F81" s="1355">
        <f>F82</f>
        <v>123677.85</v>
      </c>
      <c r="G81" s="1356">
        <f t="shared" si="3"/>
        <v>0.9963815285957125</v>
      </c>
    </row>
    <row r="82" spans="1:7" ht="18.75" customHeight="1">
      <c r="A82" s="1352"/>
      <c r="B82" s="1362"/>
      <c r="C82" s="1394" t="s">
        <v>512</v>
      </c>
      <c r="D82" s="1405">
        <v>200000</v>
      </c>
      <c r="E82" s="1405">
        <v>124127</v>
      </c>
      <c r="F82" s="1406">
        <v>123677.85</v>
      </c>
      <c r="G82" s="1407">
        <f t="shared" si="3"/>
        <v>0.9963815285957125</v>
      </c>
    </row>
    <row r="83" spans="1:7" ht="18.75" customHeight="1">
      <c r="A83" s="1380"/>
      <c r="B83" s="1353">
        <v>85417</v>
      </c>
      <c r="C83" s="1376" t="s">
        <v>686</v>
      </c>
      <c r="D83" s="1354">
        <f>D84</f>
        <v>10000</v>
      </c>
      <c r="E83" s="1354">
        <f>E84</f>
        <v>13531</v>
      </c>
      <c r="F83" s="1355">
        <f>F84</f>
        <v>13445.62</v>
      </c>
      <c r="G83" s="1356">
        <f t="shared" si="3"/>
        <v>0.9936900450816644</v>
      </c>
    </row>
    <row r="84" spans="1:7" ht="18.75" customHeight="1">
      <c r="A84" s="1352"/>
      <c r="B84" s="1362"/>
      <c r="C84" s="1394" t="s">
        <v>516</v>
      </c>
      <c r="D84" s="1405">
        <v>10000</v>
      </c>
      <c r="E84" s="1405">
        <v>13531</v>
      </c>
      <c r="F84" s="1406">
        <v>13445.62</v>
      </c>
      <c r="G84" s="1407">
        <f t="shared" si="3"/>
        <v>0.9936900450816644</v>
      </c>
    </row>
    <row r="85" spans="1:7" ht="18.75" customHeight="1">
      <c r="A85" s="1380"/>
      <c r="B85" s="1353">
        <v>85421</v>
      </c>
      <c r="C85" s="1376" t="s">
        <v>687</v>
      </c>
      <c r="D85" s="1354">
        <f>D86</f>
        <v>15000</v>
      </c>
      <c r="E85" s="1354"/>
      <c r="F85" s="1355"/>
      <c r="G85" s="1356"/>
    </row>
    <row r="86" spans="1:7" ht="18.75" customHeight="1">
      <c r="A86" s="1362"/>
      <c r="B86" s="1362"/>
      <c r="C86" s="1394" t="s">
        <v>516</v>
      </c>
      <c r="D86" s="1405">
        <v>15000</v>
      </c>
      <c r="E86" s="1405"/>
      <c r="F86" s="1406"/>
      <c r="G86" s="1407"/>
    </row>
    <row r="87" spans="1:7" ht="18.75" customHeight="1">
      <c r="A87"/>
      <c r="B87"/>
      <c r="C87"/>
      <c r="D87"/>
      <c r="E87"/>
      <c r="F87"/>
      <c r="G87"/>
    </row>
    <row r="88" spans="1:7" ht="18.75" customHeight="1">
      <c r="A88"/>
      <c r="B88"/>
      <c r="C88"/>
      <c r="D88"/>
      <c r="E88"/>
      <c r="F88"/>
      <c r="G88"/>
    </row>
    <row r="89" spans="1:7" ht="18.75" customHeight="1" thickBot="1">
      <c r="A89" s="1347">
        <v>900</v>
      </c>
      <c r="B89" s="1419"/>
      <c r="C89" s="1420" t="s">
        <v>1287</v>
      </c>
      <c r="D89" s="1348">
        <f>D90+D95+D93</f>
        <v>300000</v>
      </c>
      <c r="E89" s="1348">
        <f>E90+E95+E93</f>
        <v>405066</v>
      </c>
      <c r="F89" s="1349">
        <f>F90+F95+F93</f>
        <v>401774.65</v>
      </c>
      <c r="G89" s="1350">
        <f>F89/E89</f>
        <v>0.9918745340265538</v>
      </c>
    </row>
    <row r="90" spans="1:7" ht="18.75" customHeight="1">
      <c r="A90" s="1380"/>
      <c r="B90" s="1353">
        <v>90001</v>
      </c>
      <c r="C90" s="1376" t="s">
        <v>691</v>
      </c>
      <c r="D90" s="1354">
        <f>D91+D92</f>
        <v>250000</v>
      </c>
      <c r="E90" s="1354">
        <f>E91+E92</f>
        <v>150000</v>
      </c>
      <c r="F90" s="1355">
        <f>F91+F92</f>
        <v>148243.6</v>
      </c>
      <c r="G90" s="1356">
        <f>F90/E90</f>
        <v>0.9882906666666667</v>
      </c>
    </row>
    <row r="91" spans="1:7" ht="18.75" customHeight="1">
      <c r="A91" s="1380"/>
      <c r="B91" s="1357"/>
      <c r="C91" s="1358" t="s">
        <v>517</v>
      </c>
      <c r="D91" s="1359">
        <v>150000</v>
      </c>
      <c r="E91" s="1359">
        <v>150000</v>
      </c>
      <c r="F91" s="1421">
        <v>148243.6</v>
      </c>
      <c r="G91" s="1361">
        <f>F91/E91</f>
        <v>0.9882906666666667</v>
      </c>
    </row>
    <row r="92" spans="1:7" ht="18.75" customHeight="1">
      <c r="A92" s="1380"/>
      <c r="B92" s="1362"/>
      <c r="C92" s="1363" t="s">
        <v>518</v>
      </c>
      <c r="D92" s="1364">
        <v>100000</v>
      </c>
      <c r="E92" s="1364"/>
      <c r="F92" s="1422"/>
      <c r="G92" s="1366"/>
    </row>
    <row r="93" spans="1:8" ht="18.75" customHeight="1">
      <c r="A93" s="1352"/>
      <c r="B93" s="1353">
        <v>90002</v>
      </c>
      <c r="C93" s="1376" t="s">
        <v>699</v>
      </c>
      <c r="D93" s="1354"/>
      <c r="E93" s="1354">
        <f>E94</f>
        <v>205066</v>
      </c>
      <c r="F93" s="1355">
        <f>F94</f>
        <v>205065.27</v>
      </c>
      <c r="G93" s="1356">
        <f>F93/E93</f>
        <v>0.9999964401704816</v>
      </c>
      <c r="H93" s="629"/>
    </row>
    <row r="94" spans="1:8" ht="27" customHeight="1">
      <c r="A94" s="1352"/>
      <c r="B94" s="1362"/>
      <c r="C94" s="1394" t="s">
        <v>519</v>
      </c>
      <c r="D94" s="1405"/>
      <c r="E94" s="1405">
        <v>205066</v>
      </c>
      <c r="F94" s="1406">
        <v>205065.27</v>
      </c>
      <c r="G94" s="1407">
        <f>F94/E94</f>
        <v>0.9999964401704816</v>
      </c>
      <c r="H94" s="629"/>
    </row>
    <row r="95" spans="1:8" ht="18.75" customHeight="1">
      <c r="A95" s="1352"/>
      <c r="B95" s="1353">
        <v>90015</v>
      </c>
      <c r="C95" s="1376" t="s">
        <v>715</v>
      </c>
      <c r="D95" s="1354">
        <f>D96</f>
        <v>50000</v>
      </c>
      <c r="E95" s="1354">
        <f>E96</f>
        <v>50000</v>
      </c>
      <c r="F95" s="1355">
        <f>F96</f>
        <v>48465.78</v>
      </c>
      <c r="G95" s="1356">
        <f>F95/E95</f>
        <v>0.9693155999999999</v>
      </c>
      <c r="H95" s="629"/>
    </row>
    <row r="96" spans="1:8" ht="18.75" customHeight="1">
      <c r="A96" s="1362"/>
      <c r="B96" s="1362"/>
      <c r="C96" s="1394" t="s">
        <v>520</v>
      </c>
      <c r="D96" s="1405">
        <v>50000</v>
      </c>
      <c r="E96" s="1405">
        <v>50000</v>
      </c>
      <c r="F96" s="1406">
        <v>48465.78</v>
      </c>
      <c r="G96" s="1407">
        <f>F96/E96</f>
        <v>0.9693155999999999</v>
      </c>
      <c r="H96" s="629"/>
    </row>
    <row r="97" spans="1:8" ht="18.75" customHeight="1" thickBot="1">
      <c r="A97" s="1423">
        <v>921</v>
      </c>
      <c r="B97" s="1423"/>
      <c r="C97" s="1375" t="s">
        <v>16</v>
      </c>
      <c r="D97" s="1402">
        <f>D98+D100+D103+D105</f>
        <v>800000</v>
      </c>
      <c r="E97" s="1402">
        <f>E98+E100+E103+E105</f>
        <v>1185000</v>
      </c>
      <c r="F97" s="1403">
        <f>F98+F100+F103+F105</f>
        <v>1184961</v>
      </c>
      <c r="G97" s="1404">
        <v>0.9999</v>
      </c>
      <c r="H97" s="629"/>
    </row>
    <row r="98" spans="1:7" ht="18.75" customHeight="1">
      <c r="A98" s="1336"/>
      <c r="B98" s="1398">
        <v>92106</v>
      </c>
      <c r="C98" s="1376" t="s">
        <v>521</v>
      </c>
      <c r="D98" s="1377">
        <f>D99</f>
        <v>20000</v>
      </c>
      <c r="E98" s="1377">
        <f>E99</f>
        <v>20000</v>
      </c>
      <c r="F98" s="1378">
        <f>F99</f>
        <v>20000</v>
      </c>
      <c r="G98" s="1379">
        <f aca="true" t="shared" si="4" ref="G98:G104">F98/E98</f>
        <v>1</v>
      </c>
    </row>
    <row r="99" spans="1:7" ht="18.75" customHeight="1">
      <c r="A99" s="1336"/>
      <c r="B99" s="1424"/>
      <c r="C99" s="1368" t="s">
        <v>522</v>
      </c>
      <c r="D99" s="1425">
        <v>20000</v>
      </c>
      <c r="E99" s="1425">
        <v>20000</v>
      </c>
      <c r="F99" s="171">
        <v>20000</v>
      </c>
      <c r="G99" s="1426">
        <f t="shared" si="4"/>
        <v>1</v>
      </c>
    </row>
    <row r="100" spans="1:8" ht="18.75" customHeight="1">
      <c r="A100" s="1427"/>
      <c r="B100" s="1398">
        <v>92109</v>
      </c>
      <c r="C100" s="1376" t="s">
        <v>752</v>
      </c>
      <c r="D100" s="1377">
        <f>D101+D102</f>
        <v>30000</v>
      </c>
      <c r="E100" s="1377">
        <f>E101+E102</f>
        <v>90000</v>
      </c>
      <c r="F100" s="1378">
        <f>F101+F102</f>
        <v>90000</v>
      </c>
      <c r="G100" s="1379">
        <f t="shared" si="4"/>
        <v>1</v>
      </c>
      <c r="H100" s="629"/>
    </row>
    <row r="101" spans="1:8" ht="18.75" customHeight="1">
      <c r="A101" s="1427"/>
      <c r="B101" s="1427"/>
      <c r="C101" s="1428" t="s">
        <v>523</v>
      </c>
      <c r="D101" s="1382">
        <v>30000</v>
      </c>
      <c r="E101" s="1382">
        <v>30000</v>
      </c>
      <c r="F101" s="174">
        <v>30000</v>
      </c>
      <c r="G101" s="1384">
        <f t="shared" si="4"/>
        <v>1</v>
      </c>
      <c r="H101" s="629"/>
    </row>
    <row r="102" spans="1:8" ht="18.75" customHeight="1">
      <c r="A102" s="1427"/>
      <c r="B102" s="1398"/>
      <c r="C102" s="1363" t="s">
        <v>524</v>
      </c>
      <c r="D102" s="1429"/>
      <c r="E102" s="1429">
        <v>60000</v>
      </c>
      <c r="F102" s="1430">
        <v>60000</v>
      </c>
      <c r="G102" s="1431">
        <f t="shared" si="4"/>
        <v>1</v>
      </c>
      <c r="H102" s="629"/>
    </row>
    <row r="103" spans="1:7" ht="18.75" customHeight="1">
      <c r="A103" s="1427"/>
      <c r="B103" s="1398">
        <v>92116</v>
      </c>
      <c r="C103" s="1376" t="s">
        <v>764</v>
      </c>
      <c r="D103" s="1377">
        <f>D104</f>
        <v>100000</v>
      </c>
      <c r="E103" s="1377">
        <f>E104</f>
        <v>100000</v>
      </c>
      <c r="F103" s="1378">
        <f>F104</f>
        <v>100000</v>
      </c>
      <c r="G103" s="1379">
        <f t="shared" si="4"/>
        <v>1</v>
      </c>
    </row>
    <row r="104" spans="1:7" ht="18" customHeight="1">
      <c r="A104" s="1427"/>
      <c r="B104" s="1393"/>
      <c r="C104" s="1394" t="s">
        <v>525</v>
      </c>
      <c r="D104" s="1395">
        <v>100000</v>
      </c>
      <c r="E104" s="1395">
        <v>100000</v>
      </c>
      <c r="F104" s="1401">
        <v>100000</v>
      </c>
      <c r="G104" s="1397">
        <f t="shared" si="4"/>
        <v>1</v>
      </c>
    </row>
    <row r="105" spans="1:7" ht="18.75" customHeight="1">
      <c r="A105" s="1336"/>
      <c r="B105" s="1398">
        <v>92120</v>
      </c>
      <c r="C105" s="1376" t="s">
        <v>93</v>
      </c>
      <c r="D105" s="1377">
        <f>D106</f>
        <v>650000</v>
      </c>
      <c r="E105" s="1377">
        <f>E106</f>
        <v>975000</v>
      </c>
      <c r="F105" s="1378">
        <f>F106</f>
        <v>974961</v>
      </c>
      <c r="G105" s="1379">
        <v>0.9999</v>
      </c>
    </row>
    <row r="106" spans="1:10" ht="24.75" customHeight="1">
      <c r="A106" s="1336"/>
      <c r="B106" s="1336"/>
      <c r="C106" s="1428" t="s">
        <v>527</v>
      </c>
      <c r="D106" s="1382">
        <v>650000</v>
      </c>
      <c r="E106" s="1382">
        <v>975000</v>
      </c>
      <c r="F106" s="174">
        <v>974961</v>
      </c>
      <c r="G106" s="1384">
        <v>0.9999</v>
      </c>
      <c r="J106" s="117"/>
    </row>
    <row r="107" spans="1:7" ht="18.75" customHeight="1" thickBot="1">
      <c r="A107" s="1346">
        <v>926</v>
      </c>
      <c r="B107" s="1413"/>
      <c r="C107" s="1375" t="s">
        <v>22</v>
      </c>
      <c r="D107" s="1372">
        <f aca="true" t="shared" si="5" ref="D107:F108">D108</f>
        <v>150000</v>
      </c>
      <c r="E107" s="1372">
        <f t="shared" si="5"/>
        <v>150000</v>
      </c>
      <c r="F107" s="1373">
        <f t="shared" si="5"/>
        <v>145976.66</v>
      </c>
      <c r="G107" s="1374">
        <f aca="true" t="shared" si="6" ref="G107:G117">F107/E107</f>
        <v>0.9731777333333334</v>
      </c>
    </row>
    <row r="108" spans="1:7" ht="18.75" customHeight="1">
      <c r="A108" s="1380"/>
      <c r="B108" s="1353">
        <v>92601</v>
      </c>
      <c r="C108" s="1376" t="s">
        <v>528</v>
      </c>
      <c r="D108" s="1354">
        <f t="shared" si="5"/>
        <v>150000</v>
      </c>
      <c r="E108" s="1354">
        <f t="shared" si="5"/>
        <v>150000</v>
      </c>
      <c r="F108" s="1355">
        <f t="shared" si="5"/>
        <v>145976.66</v>
      </c>
      <c r="G108" s="1356">
        <f t="shared" si="6"/>
        <v>0.9731777333333334</v>
      </c>
    </row>
    <row r="109" spans="1:7" ht="18.75" customHeight="1">
      <c r="A109" s="1380"/>
      <c r="B109" s="1357"/>
      <c r="C109" s="1368" t="s">
        <v>769</v>
      </c>
      <c r="D109" s="1369">
        <v>150000</v>
      </c>
      <c r="E109" s="1369">
        <v>150000</v>
      </c>
      <c r="F109" s="1370">
        <v>145976.66</v>
      </c>
      <c r="G109" s="1371">
        <f t="shared" si="6"/>
        <v>0.9731777333333334</v>
      </c>
    </row>
    <row r="110" spans="1:165" s="47" customFormat="1" ht="19.5" customHeight="1" thickBot="1">
      <c r="A110" s="1393"/>
      <c r="B110" s="1393"/>
      <c r="C110" s="1432" t="s">
        <v>89</v>
      </c>
      <c r="D110" s="1433"/>
      <c r="E110" s="1433">
        <f>E111+E114</f>
        <v>94550</v>
      </c>
      <c r="F110" s="1434">
        <f>F111+F114</f>
        <v>83005.5</v>
      </c>
      <c r="G110" s="1435">
        <f t="shared" si="6"/>
        <v>0.8779005817028027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</row>
    <row r="111" spans="1:7" ht="18" customHeight="1" thickBot="1" thickTop="1">
      <c r="A111" s="1423">
        <v>754</v>
      </c>
      <c r="B111" s="1423"/>
      <c r="C111" s="1423" t="s">
        <v>200</v>
      </c>
      <c r="D111" s="1436"/>
      <c r="E111" s="1436">
        <f>E112</f>
        <v>7000</v>
      </c>
      <c r="F111" s="1437">
        <f>F112</f>
        <v>7000</v>
      </c>
      <c r="G111" s="1438">
        <f t="shared" si="6"/>
        <v>1</v>
      </c>
    </row>
    <row r="112" spans="1:7" ht="19.5" customHeight="1">
      <c r="A112" s="1336"/>
      <c r="B112" s="1398">
        <v>75411</v>
      </c>
      <c r="C112" s="1398" t="s">
        <v>205</v>
      </c>
      <c r="D112" s="1377"/>
      <c r="E112" s="1377">
        <f>E113</f>
        <v>7000</v>
      </c>
      <c r="F112" s="1378">
        <f>F113</f>
        <v>7000</v>
      </c>
      <c r="G112" s="1379">
        <f t="shared" si="6"/>
        <v>1</v>
      </c>
    </row>
    <row r="113" spans="1:240" ht="25.5">
      <c r="A113" s="1393"/>
      <c r="B113" s="1424"/>
      <c r="C113" s="1439" t="s">
        <v>529</v>
      </c>
      <c r="D113" s="1425"/>
      <c r="E113" s="1425">
        <v>7000</v>
      </c>
      <c r="F113" s="171">
        <v>7000</v>
      </c>
      <c r="G113" s="1426">
        <f t="shared" si="6"/>
        <v>1</v>
      </c>
      <c r="FJ113" s="1440"/>
      <c r="FK113" s="1440"/>
      <c r="FL113" s="1440"/>
      <c r="FM113" s="1440"/>
      <c r="FN113" s="1440"/>
      <c r="FO113" s="1440"/>
      <c r="FP113" s="1440"/>
      <c r="FQ113" s="1440"/>
      <c r="FR113" s="1440"/>
      <c r="FS113" s="1440"/>
      <c r="FT113" s="1440"/>
      <c r="FU113" s="1440"/>
      <c r="FV113" s="1440"/>
      <c r="FW113" s="1440"/>
      <c r="FX113" s="1440"/>
      <c r="FY113" s="1440"/>
      <c r="FZ113" s="1440"/>
      <c r="GA113" s="1440"/>
      <c r="GB113" s="1440"/>
      <c r="GC113" s="1440"/>
      <c r="GD113" s="1440"/>
      <c r="GE113" s="1440"/>
      <c r="GF113" s="1440"/>
      <c r="GG113" s="1440"/>
      <c r="GH113" s="1440"/>
      <c r="GI113" s="1440"/>
      <c r="GJ113" s="1440"/>
      <c r="GK113" s="1440"/>
      <c r="GL113" s="1440"/>
      <c r="GM113" s="1440"/>
      <c r="GN113" s="1440"/>
      <c r="GO113" s="1440"/>
      <c r="GP113" s="1440"/>
      <c r="GQ113" s="1440"/>
      <c r="GR113" s="1440"/>
      <c r="GS113" s="1440"/>
      <c r="GT113" s="1440"/>
      <c r="GU113" s="1440"/>
      <c r="GV113" s="1440"/>
      <c r="GW113" s="1440"/>
      <c r="GX113" s="1440"/>
      <c r="GY113" s="1440"/>
      <c r="GZ113" s="1440"/>
      <c r="HA113" s="1440"/>
      <c r="HB113" s="1440"/>
      <c r="HC113" s="1440"/>
      <c r="HD113" s="1440"/>
      <c r="HE113" s="1440"/>
      <c r="HF113" s="1440"/>
      <c r="HG113" s="1440"/>
      <c r="HH113" s="1440"/>
      <c r="HI113" s="1440"/>
      <c r="HJ113" s="1440"/>
      <c r="HK113" s="1440"/>
      <c r="HL113" s="1440"/>
      <c r="HM113" s="1440"/>
      <c r="HN113" s="1440"/>
      <c r="HO113" s="1440"/>
      <c r="HP113" s="1440"/>
      <c r="HQ113" s="1440"/>
      <c r="HR113" s="1440"/>
      <c r="HS113" s="1440"/>
      <c r="HT113" s="1440"/>
      <c r="HU113" s="1440"/>
      <c r="HV113" s="1440"/>
      <c r="HW113" s="1440"/>
      <c r="HX113" s="1440"/>
      <c r="HY113" s="1440"/>
      <c r="HZ113" s="1440"/>
      <c r="IA113" s="1440"/>
      <c r="IB113" s="1440"/>
      <c r="IC113" s="1440"/>
      <c r="ID113" s="1440"/>
      <c r="IE113" s="1440"/>
      <c r="IF113" s="1440"/>
    </row>
    <row r="114" spans="1:7" ht="18" customHeight="1" thickBot="1">
      <c r="A114" s="1423">
        <v>852</v>
      </c>
      <c r="B114" s="1423"/>
      <c r="C114" s="1423" t="s">
        <v>54</v>
      </c>
      <c r="D114" s="1402"/>
      <c r="E114" s="1402">
        <f>E115</f>
        <v>87550</v>
      </c>
      <c r="F114" s="1403">
        <f>F115</f>
        <v>76005.5</v>
      </c>
      <c r="G114" s="1404">
        <f t="shared" si="6"/>
        <v>0.8681382067390063</v>
      </c>
    </row>
    <row r="115" spans="1:7" ht="19.5" customHeight="1">
      <c r="A115" s="1336"/>
      <c r="B115" s="1398">
        <v>85295</v>
      </c>
      <c r="C115" s="1398" t="s">
        <v>13</v>
      </c>
      <c r="D115" s="1377"/>
      <c r="E115" s="1377">
        <f>E116</f>
        <v>87550</v>
      </c>
      <c r="F115" s="1378">
        <f>F116</f>
        <v>76005.5</v>
      </c>
      <c r="G115" s="1379">
        <f t="shared" si="6"/>
        <v>0.8681382067390063</v>
      </c>
    </row>
    <row r="116" spans="1:240" ht="19.5" customHeight="1">
      <c r="A116" s="1393"/>
      <c r="B116" s="1424"/>
      <c r="C116" s="1439" t="s">
        <v>157</v>
      </c>
      <c r="D116" s="1425"/>
      <c r="E116" s="1425">
        <v>87550</v>
      </c>
      <c r="F116" s="171">
        <v>76005.5</v>
      </c>
      <c r="G116" s="1426">
        <f t="shared" si="6"/>
        <v>0.8681382067390063</v>
      </c>
      <c r="FJ116" s="1440"/>
      <c r="FK116" s="1440"/>
      <c r="FL116" s="1440"/>
      <c r="FM116" s="1440"/>
      <c r="FN116" s="1440"/>
      <c r="FO116" s="1440"/>
      <c r="FP116" s="1440"/>
      <c r="FQ116" s="1440"/>
      <c r="FR116" s="1440"/>
      <c r="FS116" s="1440"/>
      <c r="FT116" s="1440"/>
      <c r="FU116" s="1440"/>
      <c r="FV116" s="1440"/>
      <c r="FW116" s="1440"/>
      <c r="FX116" s="1440"/>
      <c r="FY116" s="1440"/>
      <c r="FZ116" s="1440"/>
      <c r="GA116" s="1440"/>
      <c r="GB116" s="1440"/>
      <c r="GC116" s="1440"/>
      <c r="GD116" s="1440"/>
      <c r="GE116" s="1440"/>
      <c r="GF116" s="1440"/>
      <c r="GG116" s="1440"/>
      <c r="GH116" s="1440"/>
      <c r="GI116" s="1440"/>
      <c r="GJ116" s="1440"/>
      <c r="GK116" s="1440"/>
      <c r="GL116" s="1440"/>
      <c r="GM116" s="1440"/>
      <c r="GN116" s="1440"/>
      <c r="GO116" s="1440"/>
      <c r="GP116" s="1440"/>
      <c r="GQ116" s="1440"/>
      <c r="GR116" s="1440"/>
      <c r="GS116" s="1440"/>
      <c r="GT116" s="1440"/>
      <c r="GU116" s="1440"/>
      <c r="GV116" s="1440"/>
      <c r="GW116" s="1440"/>
      <c r="GX116" s="1440"/>
      <c r="GY116" s="1440"/>
      <c r="GZ116" s="1440"/>
      <c r="HA116" s="1440"/>
      <c r="HB116" s="1440"/>
      <c r="HC116" s="1440"/>
      <c r="HD116" s="1440"/>
      <c r="HE116" s="1440"/>
      <c r="HF116" s="1440"/>
      <c r="HG116" s="1440"/>
      <c r="HH116" s="1440"/>
      <c r="HI116" s="1440"/>
      <c r="HJ116" s="1440"/>
      <c r="HK116" s="1440"/>
      <c r="HL116" s="1440"/>
      <c r="HM116" s="1440"/>
      <c r="HN116" s="1440"/>
      <c r="HO116" s="1440"/>
      <c r="HP116" s="1440"/>
      <c r="HQ116" s="1440"/>
      <c r="HR116" s="1440"/>
      <c r="HS116" s="1440"/>
      <c r="HT116" s="1440"/>
      <c r="HU116" s="1440"/>
      <c r="HV116" s="1440"/>
      <c r="HW116" s="1440"/>
      <c r="HX116" s="1440"/>
      <c r="HY116" s="1440"/>
      <c r="HZ116" s="1440"/>
      <c r="IA116" s="1440"/>
      <c r="IB116" s="1440"/>
      <c r="IC116" s="1440"/>
      <c r="ID116" s="1440"/>
      <c r="IE116" s="1440"/>
      <c r="IF116" s="1440"/>
    </row>
    <row r="117" spans="1:165" s="1445" customFormat="1" ht="24.75" customHeight="1" thickBot="1">
      <c r="A117" s="1336"/>
      <c r="B117" s="1336"/>
      <c r="C117" s="1441" t="s">
        <v>781</v>
      </c>
      <c r="D117" s="1442">
        <f>D119</f>
        <v>430000</v>
      </c>
      <c r="E117" s="1442">
        <f>E119</f>
        <v>225639</v>
      </c>
      <c r="F117" s="1443">
        <f>F119</f>
        <v>225638.71000000002</v>
      </c>
      <c r="G117" s="1444">
        <f t="shared" si="6"/>
        <v>0.9999987147611894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</row>
    <row r="118" spans="1:165" s="1445" customFormat="1" ht="15" customHeight="1">
      <c r="A118" s="1336"/>
      <c r="B118" s="1336"/>
      <c r="C118" s="1446" t="s">
        <v>132</v>
      </c>
      <c r="D118" s="1447"/>
      <c r="E118" s="1447"/>
      <c r="F118" s="1448"/>
      <c r="G118" s="1449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</row>
    <row r="119" spans="1:165" s="47" customFormat="1" ht="32.25" customHeight="1" thickBot="1">
      <c r="A119" s="1393"/>
      <c r="B119" s="1393"/>
      <c r="C119" s="1432" t="s">
        <v>530</v>
      </c>
      <c r="D119" s="1433">
        <f>D120+D123+D126</f>
        <v>430000</v>
      </c>
      <c r="E119" s="1433">
        <f>E120+E123+E126</f>
        <v>225639</v>
      </c>
      <c r="F119" s="1434">
        <f>F120+F123+F126</f>
        <v>225638.71000000002</v>
      </c>
      <c r="G119" s="1435">
        <f aca="true" t="shared" si="7" ref="G119:G128">F119/E119</f>
        <v>0.9999987147611894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</row>
    <row r="120" spans="1:7" ht="18.75" customHeight="1" thickBot="1" thickTop="1">
      <c r="A120" s="1423">
        <v>700</v>
      </c>
      <c r="B120" s="1423"/>
      <c r="C120" s="1423" t="s">
        <v>165</v>
      </c>
      <c r="D120" s="1436">
        <f aca="true" t="shared" si="8" ref="D120:F121">D121</f>
        <v>250000</v>
      </c>
      <c r="E120" s="1436">
        <f t="shared" si="8"/>
        <v>7238</v>
      </c>
      <c r="F120" s="1437">
        <f t="shared" si="8"/>
        <v>7238</v>
      </c>
      <c r="G120" s="1438">
        <f t="shared" si="7"/>
        <v>1</v>
      </c>
    </row>
    <row r="121" spans="1:7" ht="23.25" customHeight="1">
      <c r="A121" s="1336"/>
      <c r="B121" s="1398">
        <v>70005</v>
      </c>
      <c r="C121" s="1398" t="s">
        <v>172</v>
      </c>
      <c r="D121" s="1377">
        <f t="shared" si="8"/>
        <v>250000</v>
      </c>
      <c r="E121" s="1377">
        <f t="shared" si="8"/>
        <v>7238</v>
      </c>
      <c r="F121" s="1378">
        <f t="shared" si="8"/>
        <v>7238</v>
      </c>
      <c r="G121" s="1379">
        <f t="shared" si="7"/>
        <v>1</v>
      </c>
    </row>
    <row r="122" spans="1:240" ht="18.75" customHeight="1">
      <c r="A122" s="1336"/>
      <c r="B122" s="1450"/>
      <c r="C122" s="1357" t="s">
        <v>531</v>
      </c>
      <c r="D122" s="1451">
        <v>250000</v>
      </c>
      <c r="E122" s="1451">
        <v>7238</v>
      </c>
      <c r="F122" s="1452">
        <v>7238</v>
      </c>
      <c r="G122" s="1453">
        <f t="shared" si="7"/>
        <v>1</v>
      </c>
      <c r="FJ122" s="1440"/>
      <c r="FK122" s="1440"/>
      <c r="FL122" s="1440"/>
      <c r="FM122" s="1440"/>
      <c r="FN122" s="1440"/>
      <c r="FO122" s="1440"/>
      <c r="FP122" s="1440"/>
      <c r="FQ122" s="1440"/>
      <c r="FR122" s="1440"/>
      <c r="FS122" s="1440"/>
      <c r="FT122" s="1440"/>
      <c r="FU122" s="1440"/>
      <c r="FV122" s="1440"/>
      <c r="FW122" s="1440"/>
      <c r="FX122" s="1440"/>
      <c r="FY122" s="1440"/>
      <c r="FZ122" s="1440"/>
      <c r="GA122" s="1440"/>
      <c r="GB122" s="1440"/>
      <c r="GC122" s="1440"/>
      <c r="GD122" s="1440"/>
      <c r="GE122" s="1440"/>
      <c r="GF122" s="1440"/>
      <c r="GG122" s="1440"/>
      <c r="GH122" s="1440"/>
      <c r="GI122" s="1440"/>
      <c r="GJ122" s="1440"/>
      <c r="GK122" s="1440"/>
      <c r="GL122" s="1440"/>
      <c r="GM122" s="1440"/>
      <c r="GN122" s="1440"/>
      <c r="GO122" s="1440"/>
      <c r="GP122" s="1440"/>
      <c r="GQ122" s="1440"/>
      <c r="GR122" s="1440"/>
      <c r="GS122" s="1440"/>
      <c r="GT122" s="1440"/>
      <c r="GU122" s="1440"/>
      <c r="GV122" s="1440"/>
      <c r="GW122" s="1440"/>
      <c r="GX122" s="1440"/>
      <c r="GY122" s="1440"/>
      <c r="GZ122" s="1440"/>
      <c r="HA122" s="1440"/>
      <c r="HB122" s="1440"/>
      <c r="HC122" s="1440"/>
      <c r="HD122" s="1440"/>
      <c r="HE122" s="1440"/>
      <c r="HF122" s="1440"/>
      <c r="HG122" s="1440"/>
      <c r="HH122" s="1440"/>
      <c r="HI122" s="1440"/>
      <c r="HJ122" s="1440"/>
      <c r="HK122" s="1440"/>
      <c r="HL122" s="1440"/>
      <c r="HM122" s="1440"/>
      <c r="HN122" s="1440"/>
      <c r="HO122" s="1440"/>
      <c r="HP122" s="1440"/>
      <c r="HQ122" s="1440"/>
      <c r="HR122" s="1440"/>
      <c r="HS122" s="1440"/>
      <c r="HT122" s="1440"/>
      <c r="HU122" s="1440"/>
      <c r="HV122" s="1440"/>
      <c r="HW122" s="1440"/>
      <c r="HX122" s="1440"/>
      <c r="HY122" s="1440"/>
      <c r="HZ122" s="1440"/>
      <c r="IA122" s="1440"/>
      <c r="IB122" s="1440"/>
      <c r="IC122" s="1440"/>
      <c r="ID122" s="1440"/>
      <c r="IE122" s="1440"/>
      <c r="IF122" s="1440"/>
    </row>
    <row r="123" spans="1:7" ht="18" customHeight="1" thickBot="1">
      <c r="A123" s="1423">
        <v>754</v>
      </c>
      <c r="B123" s="1423"/>
      <c r="C123" s="1423" t="s">
        <v>200</v>
      </c>
      <c r="D123" s="1402">
        <f aca="true" t="shared" si="9" ref="D123:F124">D124</f>
        <v>180000</v>
      </c>
      <c r="E123" s="1402">
        <f t="shared" si="9"/>
        <v>209400</v>
      </c>
      <c r="F123" s="1403">
        <f t="shared" si="9"/>
        <v>209399.51</v>
      </c>
      <c r="G123" s="1404">
        <f t="shared" si="7"/>
        <v>0.9999976599808978</v>
      </c>
    </row>
    <row r="124" spans="1:7" ht="21" customHeight="1">
      <c r="A124" s="1336"/>
      <c r="B124" s="1398">
        <v>75411</v>
      </c>
      <c r="C124" s="1398" t="s">
        <v>205</v>
      </c>
      <c r="D124" s="1377">
        <f t="shared" si="9"/>
        <v>180000</v>
      </c>
      <c r="E124" s="1377">
        <f t="shared" si="9"/>
        <v>209400</v>
      </c>
      <c r="F124" s="1378">
        <f t="shared" si="9"/>
        <v>209399.51</v>
      </c>
      <c r="G124" s="1379">
        <f t="shared" si="7"/>
        <v>0.9999976599808978</v>
      </c>
    </row>
    <row r="125" spans="1:240" ht="18.75" customHeight="1">
      <c r="A125" s="1393"/>
      <c r="B125" s="1424"/>
      <c r="C125" s="1367" t="s">
        <v>155</v>
      </c>
      <c r="D125" s="1425">
        <v>180000</v>
      </c>
      <c r="E125" s="1425">
        <v>209400</v>
      </c>
      <c r="F125" s="1454">
        <v>209399.51</v>
      </c>
      <c r="G125" s="1455">
        <f t="shared" si="7"/>
        <v>0.9999976599808978</v>
      </c>
      <c r="FJ125" s="1440"/>
      <c r="FK125" s="1440"/>
      <c r="FL125" s="1440"/>
      <c r="FM125" s="1440"/>
      <c r="FN125" s="1440"/>
      <c r="FO125" s="1440"/>
      <c r="FP125" s="1440"/>
      <c r="FQ125" s="1440"/>
      <c r="FR125" s="1440"/>
      <c r="FS125" s="1440"/>
      <c r="FT125" s="1440"/>
      <c r="FU125" s="1440"/>
      <c r="FV125" s="1440"/>
      <c r="FW125" s="1440"/>
      <c r="FX125" s="1440"/>
      <c r="FY125" s="1440"/>
      <c r="FZ125" s="1440"/>
      <c r="GA125" s="1440"/>
      <c r="GB125" s="1440"/>
      <c r="GC125" s="1440"/>
      <c r="GD125" s="1440"/>
      <c r="GE125" s="1440"/>
      <c r="GF125" s="1440"/>
      <c r="GG125" s="1440"/>
      <c r="GH125" s="1440"/>
      <c r="GI125" s="1440"/>
      <c r="GJ125" s="1440"/>
      <c r="GK125" s="1440"/>
      <c r="GL125" s="1440"/>
      <c r="GM125" s="1440"/>
      <c r="GN125" s="1440"/>
      <c r="GO125" s="1440"/>
      <c r="GP125" s="1440"/>
      <c r="GQ125" s="1440"/>
      <c r="GR125" s="1440"/>
      <c r="GS125" s="1440"/>
      <c r="GT125" s="1440"/>
      <c r="GU125" s="1440"/>
      <c r="GV125" s="1440"/>
      <c r="GW125" s="1440"/>
      <c r="GX125" s="1440"/>
      <c r="GY125" s="1440"/>
      <c r="GZ125" s="1440"/>
      <c r="HA125" s="1440"/>
      <c r="HB125" s="1440"/>
      <c r="HC125" s="1440"/>
      <c r="HD125" s="1440"/>
      <c r="HE125" s="1440"/>
      <c r="HF125" s="1440"/>
      <c r="HG125" s="1440"/>
      <c r="HH125" s="1440"/>
      <c r="HI125" s="1440"/>
      <c r="HJ125" s="1440"/>
      <c r="HK125" s="1440"/>
      <c r="HL125" s="1440"/>
      <c r="HM125" s="1440"/>
      <c r="HN125" s="1440"/>
      <c r="HO125" s="1440"/>
      <c r="HP125" s="1440"/>
      <c r="HQ125" s="1440"/>
      <c r="HR125" s="1440"/>
      <c r="HS125" s="1440"/>
      <c r="HT125" s="1440"/>
      <c r="HU125" s="1440"/>
      <c r="HV125" s="1440"/>
      <c r="HW125" s="1440"/>
      <c r="HX125" s="1440"/>
      <c r="HY125" s="1440"/>
      <c r="HZ125" s="1440"/>
      <c r="IA125" s="1440"/>
      <c r="IB125" s="1440"/>
      <c r="IC125" s="1440"/>
      <c r="ID125" s="1440"/>
      <c r="IE125" s="1440"/>
      <c r="IF125" s="1440"/>
    </row>
    <row r="126" spans="1:7" ht="18" customHeight="1" thickBot="1">
      <c r="A126" s="1423">
        <v>851</v>
      </c>
      <c r="B126" s="1423"/>
      <c r="C126" s="1423" t="s">
        <v>19</v>
      </c>
      <c r="D126" s="1402"/>
      <c r="E126" s="1402">
        <f>E127</f>
        <v>9001</v>
      </c>
      <c r="F126" s="1403">
        <f>F127</f>
        <v>9001.2</v>
      </c>
      <c r="G126" s="1404">
        <f t="shared" si="7"/>
        <v>1.0000222197533608</v>
      </c>
    </row>
    <row r="127" spans="1:7" ht="21" customHeight="1">
      <c r="A127" s="1336"/>
      <c r="B127" s="1398">
        <v>85141</v>
      </c>
      <c r="C127" s="1398" t="s">
        <v>815</v>
      </c>
      <c r="D127" s="1377"/>
      <c r="E127" s="1377">
        <f>E128</f>
        <v>9001</v>
      </c>
      <c r="F127" s="1378">
        <f>F128</f>
        <v>9001.2</v>
      </c>
      <c r="G127" s="1379">
        <f t="shared" si="7"/>
        <v>1.0000222197533608</v>
      </c>
    </row>
    <row r="128" spans="1:240" ht="18.75" customHeight="1">
      <c r="A128" s="1393"/>
      <c r="B128" s="1424"/>
      <c r="C128" s="1367" t="s">
        <v>155</v>
      </c>
      <c r="D128" s="1425"/>
      <c r="E128" s="1425">
        <v>9001</v>
      </c>
      <c r="F128" s="1454">
        <v>9001.2</v>
      </c>
      <c r="G128" s="1426">
        <f t="shared" si="7"/>
        <v>1.0000222197533608</v>
      </c>
      <c r="FJ128" s="1440"/>
      <c r="FK128" s="1440"/>
      <c r="FL128" s="1440"/>
      <c r="FM128" s="1440"/>
      <c r="FN128" s="1440"/>
      <c r="FO128" s="1440"/>
      <c r="FP128" s="1440"/>
      <c r="FQ128" s="1440"/>
      <c r="FR128" s="1440"/>
      <c r="FS128" s="1440"/>
      <c r="FT128" s="1440"/>
      <c r="FU128" s="1440"/>
      <c r="FV128" s="1440"/>
      <c r="FW128" s="1440"/>
      <c r="FX128" s="1440"/>
      <c r="FY128" s="1440"/>
      <c r="FZ128" s="1440"/>
      <c r="GA128" s="1440"/>
      <c r="GB128" s="1440"/>
      <c r="GC128" s="1440"/>
      <c r="GD128" s="1440"/>
      <c r="GE128" s="1440"/>
      <c r="GF128" s="1440"/>
      <c r="GG128" s="1440"/>
      <c r="GH128" s="1440"/>
      <c r="GI128" s="1440"/>
      <c r="GJ128" s="1440"/>
      <c r="GK128" s="1440"/>
      <c r="GL128" s="1440"/>
      <c r="GM128" s="1440"/>
      <c r="GN128" s="1440"/>
      <c r="GO128" s="1440"/>
      <c r="GP128" s="1440"/>
      <c r="GQ128" s="1440"/>
      <c r="GR128" s="1440"/>
      <c r="GS128" s="1440"/>
      <c r="GT128" s="1440"/>
      <c r="GU128" s="1440"/>
      <c r="GV128" s="1440"/>
      <c r="GW128" s="1440"/>
      <c r="GX128" s="1440"/>
      <c r="GY128" s="1440"/>
      <c r="GZ128" s="1440"/>
      <c r="HA128" s="1440"/>
      <c r="HB128" s="1440"/>
      <c r="HC128" s="1440"/>
      <c r="HD128" s="1440"/>
      <c r="HE128" s="1440"/>
      <c r="HF128" s="1440"/>
      <c r="HG128" s="1440"/>
      <c r="HH128" s="1440"/>
      <c r="HI128" s="1440"/>
      <c r="HJ128" s="1440"/>
      <c r="HK128" s="1440"/>
      <c r="HL128" s="1440"/>
      <c r="HM128" s="1440"/>
      <c r="HN128" s="1440"/>
      <c r="HO128" s="1440"/>
      <c r="HP128" s="1440"/>
      <c r="HQ128" s="1440"/>
      <c r="HR128" s="1440"/>
      <c r="HS128" s="1440"/>
      <c r="HT128" s="1440"/>
      <c r="HU128" s="1440"/>
      <c r="HV128" s="1440"/>
      <c r="HW128" s="1440"/>
      <c r="HX128" s="1440"/>
      <c r="HY128" s="1440"/>
      <c r="HZ128" s="1440"/>
      <c r="IA128" s="1440"/>
      <c r="IB128" s="1440"/>
      <c r="IC128" s="1440"/>
      <c r="ID128" s="1440"/>
      <c r="IE128" s="1440"/>
      <c r="IF128" s="1440"/>
    </row>
    <row r="129" ht="25.5" customHeight="1">
      <c r="F129" s="117"/>
    </row>
    <row r="130" spans="3:6" ht="12.75">
      <c r="C130" s="417" t="s">
        <v>287</v>
      </c>
      <c r="E130" t="s">
        <v>289</v>
      </c>
      <c r="F130" s="117"/>
    </row>
    <row r="131" spans="3:6" ht="12.75">
      <c r="C131" s="417" t="s">
        <v>288</v>
      </c>
      <c r="E131" t="s">
        <v>290</v>
      </c>
      <c r="F131" s="117"/>
    </row>
    <row r="132" ht="12.75">
      <c r="F132" s="117"/>
    </row>
    <row r="133" ht="25.5" customHeight="1">
      <c r="F133" s="117"/>
    </row>
    <row r="134" ht="12.75">
      <c r="F134" s="117"/>
    </row>
    <row r="135" ht="12.75">
      <c r="F135" s="117"/>
    </row>
    <row r="136" ht="12.75">
      <c r="F136" s="117"/>
    </row>
    <row r="137" ht="12.75">
      <c r="F137" s="117"/>
    </row>
    <row r="138" ht="12.75">
      <c r="F138" s="117"/>
    </row>
    <row r="139" ht="12.75">
      <c r="F139" s="117"/>
    </row>
    <row r="140" ht="12.75">
      <c r="F140" s="117"/>
    </row>
    <row r="141" ht="12.75">
      <c r="F141" s="117"/>
    </row>
    <row r="142" ht="12.75">
      <c r="F142" s="117"/>
    </row>
    <row r="143" ht="12.75">
      <c r="F143" s="117"/>
    </row>
    <row r="144" ht="10.5" customHeight="1">
      <c r="F144" s="117"/>
    </row>
    <row r="145" ht="10.5" customHeight="1">
      <c r="F145" s="117"/>
    </row>
    <row r="146" ht="12.75">
      <c r="F146" s="117"/>
    </row>
    <row r="147" ht="12.75">
      <c r="F147" s="117"/>
    </row>
    <row r="148" ht="12.75">
      <c r="F148" s="117"/>
    </row>
    <row r="149" ht="12.75"/>
    <row r="150" ht="14.25" customHeight="1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</sheetData>
  <printOptions horizontalCentered="1"/>
  <pageMargins left="0.79" right="0.5905511811023623" top="0.63" bottom="0.62" header="0.5118110236220472" footer="0.39"/>
  <pageSetup firstPageNumber="65" useFirstPageNumber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109"/>
  <sheetViews>
    <sheetView zoomScale="85" zoomScaleNormal="85" workbookViewId="0" topLeftCell="A1">
      <selection activeCell="Q5" sqref="Q5"/>
    </sheetView>
  </sheetViews>
  <sheetFormatPr defaultColWidth="9.00390625" defaultRowHeight="12.75"/>
  <cols>
    <col min="1" max="1" width="5.875" style="0" customWidth="1"/>
    <col min="2" max="2" width="6.875" style="0" customWidth="1"/>
    <col min="3" max="3" width="25.125" style="0" customWidth="1"/>
    <col min="4" max="7" width="13.25390625" style="0" customWidth="1"/>
    <col min="8" max="8" width="14.625" style="0" customWidth="1"/>
    <col min="9" max="9" width="13.25390625" style="0" customWidth="1"/>
    <col min="10" max="11" width="9.75390625" style="0" customWidth="1"/>
    <col min="12" max="12" width="13.75390625" style="0" customWidth="1"/>
    <col min="13" max="13" width="14.875" style="0" customWidth="1"/>
    <col min="14" max="14" width="13.75390625" style="0" customWidth="1"/>
    <col min="15" max="15" width="14.875" style="0" customWidth="1"/>
    <col min="16" max="16" width="14.75390625" style="0" customWidth="1"/>
    <col min="17" max="17" width="14.875" style="0" customWidth="1"/>
    <col min="18" max="19" width="9.75390625" style="0" customWidth="1"/>
    <col min="21" max="21" width="9.75390625" style="0" bestFit="1" customWidth="1"/>
  </cols>
  <sheetData>
    <row r="1" spans="1:17" s="1461" customFormat="1" ht="16.5" customHeight="1">
      <c r="A1" s="1456"/>
      <c r="B1" s="1457"/>
      <c r="C1" s="1458" t="s">
        <v>532</v>
      </c>
      <c r="D1" s="1459"/>
      <c r="E1" s="1460"/>
      <c r="F1" s="1459"/>
      <c r="G1" s="1460"/>
      <c r="H1" s="1459"/>
      <c r="Q1" s="1462" t="s">
        <v>533</v>
      </c>
    </row>
    <row r="2" spans="1:19" s="1461" customFormat="1" ht="16.5" customHeight="1">
      <c r="A2" s="1456"/>
      <c r="B2" s="1457"/>
      <c r="C2" s="2750" t="s">
        <v>534</v>
      </c>
      <c r="D2" s="2782"/>
      <c r="E2" s="2782"/>
      <c r="F2" s="2782"/>
      <c r="G2" s="2782"/>
      <c r="H2" s="2782"/>
      <c r="I2" s="1463"/>
      <c r="J2" s="1463"/>
      <c r="K2" s="1463"/>
      <c r="Q2" s="229" t="s">
        <v>293</v>
      </c>
      <c r="R2" s="1463"/>
      <c r="S2" s="1463"/>
    </row>
    <row r="3" spans="1:19" s="1461" customFormat="1" ht="16.5" customHeight="1">
      <c r="A3" s="1456"/>
      <c r="B3" s="1464"/>
      <c r="I3" s="1465"/>
      <c r="J3" s="1465"/>
      <c r="K3" s="1465"/>
      <c r="Q3" s="229" t="s">
        <v>893</v>
      </c>
      <c r="R3" s="1465"/>
      <c r="S3" s="1465"/>
    </row>
    <row r="4" spans="1:19" s="1461" customFormat="1" ht="16.5" customHeight="1">
      <c r="A4" s="1456"/>
      <c r="B4" s="1464"/>
      <c r="I4" s="1465"/>
      <c r="J4" s="1465"/>
      <c r="K4" s="1465"/>
      <c r="Q4" s="229" t="s">
        <v>294</v>
      </c>
      <c r="R4" s="1465"/>
      <c r="S4" s="1465"/>
    </row>
    <row r="5" spans="1:19" s="1461" customFormat="1" ht="9.75" customHeight="1">
      <c r="A5" s="1456"/>
      <c r="B5" s="1457"/>
      <c r="C5" s="1466"/>
      <c r="D5" s="1467"/>
      <c r="E5" s="1463"/>
      <c r="F5" s="1467"/>
      <c r="G5" s="1463"/>
      <c r="H5" s="1467"/>
      <c r="I5" s="1463"/>
      <c r="J5" s="1463"/>
      <c r="K5" s="1463"/>
      <c r="Q5" s="1462"/>
      <c r="R5" s="1463"/>
      <c r="S5" s="1463"/>
    </row>
    <row r="6" spans="1:19" s="1461" customFormat="1" ht="15" customHeight="1" thickBot="1">
      <c r="A6" s="1468"/>
      <c r="B6" s="1469"/>
      <c r="C6" s="1470"/>
      <c r="D6" s="1471"/>
      <c r="E6" s="1471"/>
      <c r="F6" s="1471"/>
      <c r="G6" s="1471"/>
      <c r="H6" s="1471"/>
      <c r="I6" s="1471"/>
      <c r="J6" s="1471"/>
      <c r="K6" s="1471"/>
      <c r="L6" s="1471"/>
      <c r="M6" s="1471"/>
      <c r="N6" s="1471"/>
      <c r="O6" s="1471"/>
      <c r="P6" s="1471"/>
      <c r="R6" s="1471" t="s">
        <v>535</v>
      </c>
      <c r="S6" s="1471"/>
    </row>
    <row r="7" spans="1:19" s="1461" customFormat="1" ht="19.5" customHeight="1" thickBot="1" thickTop="1">
      <c r="A7" s="1472"/>
      <c r="B7" s="1473"/>
      <c r="C7" s="1474"/>
      <c r="D7" s="1475"/>
      <c r="E7" s="1476"/>
      <c r="F7" s="1476"/>
      <c r="G7" s="1477" t="s">
        <v>536</v>
      </c>
      <c r="H7" s="1476"/>
      <c r="I7" s="1476"/>
      <c r="J7" s="1476"/>
      <c r="K7" s="1478"/>
      <c r="L7" s="1475"/>
      <c r="M7" s="1476"/>
      <c r="N7" s="1476"/>
      <c r="O7" s="1477" t="s">
        <v>537</v>
      </c>
      <c r="P7" s="1476"/>
      <c r="Q7" s="1476"/>
      <c r="R7" s="1476"/>
      <c r="S7" s="1478"/>
    </row>
    <row r="8" spans="1:46" s="1467" customFormat="1" ht="32.25" customHeight="1" thickBot="1" thickTop="1">
      <c r="A8" s="1479"/>
      <c r="B8" s="1480"/>
      <c r="C8" s="1481"/>
      <c r="D8" s="2785" t="s">
        <v>538</v>
      </c>
      <c r="E8" s="2786"/>
      <c r="F8" s="2783" t="s">
        <v>539</v>
      </c>
      <c r="G8" s="2784"/>
      <c r="H8" s="2783" t="s">
        <v>540</v>
      </c>
      <c r="I8" s="2784"/>
      <c r="J8" s="1482" t="s">
        <v>128</v>
      </c>
      <c r="K8" s="1482" t="s">
        <v>128</v>
      </c>
      <c r="L8" s="2785" t="s">
        <v>538</v>
      </c>
      <c r="M8" s="2786"/>
      <c r="N8" s="2783" t="s">
        <v>541</v>
      </c>
      <c r="O8" s="2784"/>
      <c r="P8" s="2783" t="s">
        <v>540</v>
      </c>
      <c r="Q8" s="2784"/>
      <c r="R8" s="1482" t="s">
        <v>128</v>
      </c>
      <c r="S8" s="1482" t="s">
        <v>128</v>
      </c>
      <c r="T8" s="1461"/>
      <c r="U8" s="1461"/>
      <c r="V8" s="1461"/>
      <c r="W8" s="1461"/>
      <c r="X8" s="1461"/>
      <c r="Y8" s="1461"/>
      <c r="Z8" s="1461"/>
      <c r="AA8" s="1461"/>
      <c r="AB8" s="1461"/>
      <c r="AC8" s="1461"/>
      <c r="AD8" s="1461"/>
      <c r="AE8" s="1461"/>
      <c r="AF8" s="1461"/>
      <c r="AG8" s="1461"/>
      <c r="AH8" s="1461"/>
      <c r="AI8" s="1461"/>
      <c r="AJ8" s="1461"/>
      <c r="AK8" s="1461"/>
      <c r="AL8" s="1461"/>
      <c r="AM8" s="1461"/>
      <c r="AN8" s="1461"/>
      <c r="AO8" s="1461"/>
      <c r="AP8" s="1461"/>
      <c r="AQ8" s="1461"/>
      <c r="AR8" s="1461"/>
      <c r="AS8" s="1461"/>
      <c r="AT8" s="1461"/>
    </row>
    <row r="9" spans="1:46" s="1494" customFormat="1" ht="39" customHeight="1" thickBot="1" thickTop="1">
      <c r="A9" s="1483" t="s">
        <v>11</v>
      </c>
      <c r="B9" s="1484" t="s">
        <v>12</v>
      </c>
      <c r="C9" s="1485" t="s">
        <v>127</v>
      </c>
      <c r="D9" s="1486" t="s">
        <v>542</v>
      </c>
      <c r="E9" s="1487" t="s">
        <v>543</v>
      </c>
      <c r="F9" s="1488" t="s">
        <v>542</v>
      </c>
      <c r="G9" s="1489" t="s">
        <v>543</v>
      </c>
      <c r="H9" s="1490" t="s">
        <v>542</v>
      </c>
      <c r="I9" s="1489" t="s">
        <v>543</v>
      </c>
      <c r="J9" s="1491" t="s">
        <v>544</v>
      </c>
      <c r="K9" s="1491" t="s">
        <v>545</v>
      </c>
      <c r="L9" s="1492" t="s">
        <v>542</v>
      </c>
      <c r="M9" s="1487" t="s">
        <v>546</v>
      </c>
      <c r="N9" s="1493" t="s">
        <v>542</v>
      </c>
      <c r="O9" s="1489" t="s">
        <v>546</v>
      </c>
      <c r="P9" s="1493" t="s">
        <v>542</v>
      </c>
      <c r="Q9" s="1489" t="s">
        <v>546</v>
      </c>
      <c r="R9" s="1491" t="s">
        <v>547</v>
      </c>
      <c r="S9" s="1491" t="s">
        <v>548</v>
      </c>
      <c r="T9" s="1461"/>
      <c r="U9" s="1461"/>
      <c r="V9" s="1461"/>
      <c r="W9" s="1461"/>
      <c r="X9" s="1461"/>
      <c r="Y9" s="1461"/>
      <c r="Z9" s="1461"/>
      <c r="AA9" s="1461"/>
      <c r="AB9" s="1461"/>
      <c r="AC9" s="1461"/>
      <c r="AD9" s="1461"/>
      <c r="AE9" s="1461"/>
      <c r="AF9" s="1461"/>
      <c r="AG9" s="1461"/>
      <c r="AH9" s="1461"/>
      <c r="AI9" s="1461"/>
      <c r="AJ9" s="1461"/>
      <c r="AK9" s="1461"/>
      <c r="AL9" s="1461"/>
      <c r="AM9" s="1461"/>
      <c r="AN9" s="1461"/>
      <c r="AO9" s="1461"/>
      <c r="AP9" s="1461"/>
      <c r="AQ9" s="1461"/>
      <c r="AR9" s="1461"/>
      <c r="AS9" s="1461"/>
      <c r="AT9" s="1461"/>
    </row>
    <row r="10" spans="1:46" s="1471" customFormat="1" ht="14.25" thickBot="1" thickTop="1">
      <c r="A10" s="1495">
        <v>1</v>
      </c>
      <c r="B10" s="1496">
        <v>2</v>
      </c>
      <c r="C10" s="1497">
        <v>3</v>
      </c>
      <c r="D10" s="1495">
        <v>4</v>
      </c>
      <c r="E10" s="1495">
        <v>5</v>
      </c>
      <c r="F10" s="1495">
        <v>6</v>
      </c>
      <c r="G10" s="1495">
        <v>7</v>
      </c>
      <c r="H10" s="1495">
        <v>8</v>
      </c>
      <c r="I10" s="1495">
        <v>9</v>
      </c>
      <c r="J10" s="1495">
        <v>10</v>
      </c>
      <c r="K10" s="1495">
        <v>11</v>
      </c>
      <c r="L10" s="1495">
        <v>12</v>
      </c>
      <c r="M10" s="1495">
        <v>13</v>
      </c>
      <c r="N10" s="1495">
        <v>14</v>
      </c>
      <c r="O10" s="1495">
        <v>15</v>
      </c>
      <c r="P10" s="1495">
        <v>16</v>
      </c>
      <c r="Q10" s="1495">
        <v>17</v>
      </c>
      <c r="R10" s="1495">
        <v>18</v>
      </c>
      <c r="S10" s="1495">
        <v>19</v>
      </c>
      <c r="T10" s="1461"/>
      <c r="U10" s="1461"/>
      <c r="V10" s="1461"/>
      <c r="W10" s="1461"/>
      <c r="X10" s="1461"/>
      <c r="Y10" s="1461"/>
      <c r="Z10" s="1461"/>
      <c r="AA10" s="1461"/>
      <c r="AB10" s="1461"/>
      <c r="AC10" s="1461"/>
      <c r="AD10" s="1461"/>
      <c r="AE10" s="1461"/>
      <c r="AF10" s="1461"/>
      <c r="AG10" s="1461"/>
      <c r="AH10" s="1461"/>
      <c r="AI10" s="1461"/>
      <c r="AJ10" s="1461"/>
      <c r="AK10" s="1461"/>
      <c r="AL10" s="1461"/>
      <c r="AM10" s="1461"/>
      <c r="AN10" s="1461"/>
      <c r="AO10" s="1461"/>
      <c r="AP10" s="1461"/>
      <c r="AQ10" s="1461"/>
      <c r="AR10" s="1461"/>
      <c r="AS10" s="1461"/>
      <c r="AT10" s="1461"/>
    </row>
    <row r="11" spans="1:46" s="1505" customFormat="1" ht="28.5" customHeight="1" thickBot="1" thickTop="1">
      <c r="A11" s="1498"/>
      <c r="B11" s="1499"/>
      <c r="C11" s="1500" t="s">
        <v>368</v>
      </c>
      <c r="D11" s="1501">
        <f aca="true" t="shared" si="0" ref="D11:I11">D12+D19+D30</f>
        <v>91014410</v>
      </c>
      <c r="E11" s="1501">
        <f t="shared" si="0"/>
        <v>7593000</v>
      </c>
      <c r="F11" s="1501">
        <f t="shared" si="0"/>
        <v>97015238</v>
      </c>
      <c r="G11" s="1501">
        <f t="shared" si="0"/>
        <v>8717454</v>
      </c>
      <c r="H11" s="1502">
        <f t="shared" si="0"/>
        <v>93385742.86999999</v>
      </c>
      <c r="I11" s="1502">
        <f t="shared" si="0"/>
        <v>8456262.31</v>
      </c>
      <c r="J11" s="1503">
        <f aca="true" t="shared" si="1" ref="J11:K15">H11/F11</f>
        <v>0.9625884015251294</v>
      </c>
      <c r="K11" s="1503">
        <f t="shared" si="1"/>
        <v>0.970038076484258</v>
      </c>
      <c r="L11" s="1501">
        <f aca="true" t="shared" si="2" ref="L11:Q11">L12+L19+L30</f>
        <v>90712510</v>
      </c>
      <c r="M11" s="1501">
        <f t="shared" si="2"/>
        <v>7498790</v>
      </c>
      <c r="N11" s="1501">
        <f t="shared" si="2"/>
        <v>96997917</v>
      </c>
      <c r="O11" s="1501">
        <f t="shared" si="2"/>
        <v>7762910</v>
      </c>
      <c r="P11" s="1502">
        <f t="shared" si="2"/>
        <v>92873395.15</v>
      </c>
      <c r="Q11" s="1502">
        <f t="shared" si="2"/>
        <v>7618251.390000001</v>
      </c>
      <c r="R11" s="1503">
        <f aca="true" t="shared" si="3" ref="R11:S15">P11/N11</f>
        <v>0.9574782430637145</v>
      </c>
      <c r="S11" s="1503">
        <f t="shared" si="3"/>
        <v>0.9813654145159484</v>
      </c>
      <c r="T11" s="1504"/>
      <c r="U11" s="1504"/>
      <c r="V11" s="1504"/>
      <c r="W11" s="1504"/>
      <c r="X11" s="1504"/>
      <c r="Y11" s="1504"/>
      <c r="Z11" s="1504"/>
      <c r="AA11" s="1504"/>
      <c r="AB11" s="1504"/>
      <c r="AC11" s="1504"/>
      <c r="AD11" s="1504"/>
      <c r="AE11" s="1504"/>
      <c r="AF11" s="1504"/>
      <c r="AG11" s="1504"/>
      <c r="AH11" s="1504"/>
      <c r="AI11" s="1504"/>
      <c r="AJ11" s="1504"/>
      <c r="AK11" s="1504"/>
      <c r="AL11" s="1504"/>
      <c r="AM11" s="1504"/>
      <c r="AN11" s="1504"/>
      <c r="AO11" s="1504"/>
      <c r="AP11" s="1504"/>
      <c r="AQ11" s="1504"/>
      <c r="AR11" s="1504"/>
      <c r="AS11" s="1504"/>
      <c r="AT11" s="1504"/>
    </row>
    <row r="12" spans="1:46" s="1511" customFormat="1" ht="19.5" customHeight="1" thickBot="1">
      <c r="A12" s="1506"/>
      <c r="B12" s="1507"/>
      <c r="C12" s="1508" t="s">
        <v>549</v>
      </c>
      <c r="D12" s="1506">
        <f aca="true" t="shared" si="4" ref="D12:I12">SUM(D13:D15)</f>
        <v>74774900</v>
      </c>
      <c r="E12" s="1506">
        <f t="shared" si="4"/>
        <v>6985000</v>
      </c>
      <c r="F12" s="1506">
        <f t="shared" si="4"/>
        <v>76491213</v>
      </c>
      <c r="G12" s="1506">
        <f t="shared" si="4"/>
        <v>7445000</v>
      </c>
      <c r="H12" s="1509">
        <f t="shared" si="4"/>
        <v>74448471.13</v>
      </c>
      <c r="I12" s="1509">
        <f t="shared" si="4"/>
        <v>7420939.9</v>
      </c>
      <c r="J12" s="1510">
        <f t="shared" si="1"/>
        <v>0.9732944244197042</v>
      </c>
      <c r="K12" s="1510">
        <f t="shared" si="1"/>
        <v>0.9967682874412358</v>
      </c>
      <c r="L12" s="1506">
        <f aca="true" t="shared" si="5" ref="L12:Q12">SUM(L13:L15)</f>
        <v>74461900</v>
      </c>
      <c r="M12" s="1506">
        <f t="shared" si="5"/>
        <v>6326700</v>
      </c>
      <c r="N12" s="1506">
        <f t="shared" si="5"/>
        <v>76104836</v>
      </c>
      <c r="O12" s="1506">
        <f t="shared" si="5"/>
        <v>6426700</v>
      </c>
      <c r="P12" s="1509">
        <f t="shared" si="5"/>
        <v>74403946.88</v>
      </c>
      <c r="Q12" s="1509">
        <f t="shared" si="5"/>
        <v>6402128.620000001</v>
      </c>
      <c r="R12" s="1510">
        <f t="shared" si="3"/>
        <v>0.977650709082403</v>
      </c>
      <c r="S12" s="1510">
        <f t="shared" si="3"/>
        <v>0.9961766723201645</v>
      </c>
      <c r="T12" s="1461"/>
      <c r="U12" s="1461"/>
      <c r="V12" s="1461"/>
      <c r="W12" s="1461"/>
      <c r="X12" s="1461"/>
      <c r="Y12" s="1461"/>
      <c r="Z12" s="1461"/>
      <c r="AA12" s="1461"/>
      <c r="AB12" s="1461"/>
      <c r="AC12" s="1461"/>
      <c r="AD12" s="1461"/>
      <c r="AE12" s="1461"/>
      <c r="AF12" s="1461"/>
      <c r="AG12" s="1461"/>
      <c r="AH12" s="1461"/>
      <c r="AI12" s="1461"/>
      <c r="AJ12" s="1461"/>
      <c r="AK12" s="1461"/>
      <c r="AL12" s="1461"/>
      <c r="AM12" s="1461"/>
      <c r="AN12" s="1461"/>
      <c r="AO12" s="1461"/>
      <c r="AP12" s="1461"/>
      <c r="AQ12" s="1461"/>
      <c r="AR12" s="1461"/>
      <c r="AS12" s="1461"/>
      <c r="AT12" s="1461"/>
    </row>
    <row r="13" spans="1:19" s="1461" customFormat="1" ht="29.25" customHeight="1" thickTop="1">
      <c r="A13" s="1512">
        <v>630</v>
      </c>
      <c r="B13" s="1513">
        <v>63001</v>
      </c>
      <c r="C13" s="1514" t="s">
        <v>550</v>
      </c>
      <c r="D13" s="1515">
        <f>201700+170000+15000</f>
        <v>386700</v>
      </c>
      <c r="E13" s="1516">
        <f>15000+163000+7000</f>
        <v>185000</v>
      </c>
      <c r="F13" s="1515">
        <v>386700</v>
      </c>
      <c r="G13" s="1516">
        <v>185000</v>
      </c>
      <c r="H13" s="1517">
        <v>337757.15</v>
      </c>
      <c r="I13" s="1518">
        <v>184865</v>
      </c>
      <c r="J13" s="1519">
        <f t="shared" si="1"/>
        <v>0.8734345746056376</v>
      </c>
      <c r="K13" s="1519">
        <f t="shared" si="1"/>
        <v>0.9992702702702703</v>
      </c>
      <c r="L13" s="1520">
        <f>15000+371700</f>
        <v>386700</v>
      </c>
      <c r="M13" s="1520">
        <v>180900</v>
      </c>
      <c r="N13" s="1520">
        <v>386700</v>
      </c>
      <c r="O13" s="1520">
        <v>180900</v>
      </c>
      <c r="P13" s="1521">
        <v>345273.87</v>
      </c>
      <c r="Q13" s="1521">
        <f>156784.22+11096+7374</f>
        <v>175254.22</v>
      </c>
      <c r="R13" s="1522">
        <f t="shared" si="3"/>
        <v>0.8928726920093095</v>
      </c>
      <c r="S13" s="1522">
        <f t="shared" si="3"/>
        <v>0.9687906025428413</v>
      </c>
    </row>
    <row r="14" spans="1:19" s="1461" customFormat="1" ht="28.5" customHeight="1">
      <c r="A14" s="1523">
        <v>700</v>
      </c>
      <c r="B14" s="1524">
        <v>70001</v>
      </c>
      <c r="C14" s="1525" t="s">
        <v>551</v>
      </c>
      <c r="D14" s="1526">
        <f>67252000+1000000</f>
        <v>68252000</v>
      </c>
      <c r="E14" s="1523">
        <v>5000000</v>
      </c>
      <c r="F14" s="1526">
        <v>68324723</v>
      </c>
      <c r="G14" s="1523">
        <v>5000000</v>
      </c>
      <c r="H14" s="1527">
        <v>66330924.91</v>
      </c>
      <c r="I14" s="1528">
        <v>5000000</v>
      </c>
      <c r="J14" s="1529">
        <f t="shared" si="1"/>
        <v>0.9708187900008024</v>
      </c>
      <c r="K14" s="1529">
        <f t="shared" si="1"/>
        <v>1</v>
      </c>
      <c r="L14" s="1530">
        <f>66939000+1000000</f>
        <v>67939000</v>
      </c>
      <c r="M14" s="1530">
        <v>3520000</v>
      </c>
      <c r="N14" s="1530">
        <v>68011723</v>
      </c>
      <c r="O14" s="1530">
        <v>3520000</v>
      </c>
      <c r="P14" s="1531">
        <v>66371318.6</v>
      </c>
      <c r="Q14" s="1532">
        <f>3192520.85+250077.1+77402</f>
        <v>3519999.95</v>
      </c>
      <c r="R14" s="1533">
        <f t="shared" si="3"/>
        <v>0.9758805640021795</v>
      </c>
      <c r="S14" s="1533">
        <f t="shared" si="3"/>
        <v>0.9999999857954546</v>
      </c>
    </row>
    <row r="15" spans="1:19" s="1461" customFormat="1" ht="30.75" customHeight="1">
      <c r="A15" s="1534">
        <v>926</v>
      </c>
      <c r="B15" s="1535">
        <v>92604</v>
      </c>
      <c r="C15" s="1536" t="s">
        <v>552</v>
      </c>
      <c r="D15" s="1537">
        <f>4336200+1800000</f>
        <v>6136200</v>
      </c>
      <c r="E15" s="1537">
        <v>1800000</v>
      </c>
      <c r="F15" s="1537">
        <v>7779790</v>
      </c>
      <c r="G15" s="1537">
        <v>2260000</v>
      </c>
      <c r="H15" s="1538">
        <v>7779789.07</v>
      </c>
      <c r="I15" s="1527">
        <v>2236074.9</v>
      </c>
      <c r="J15" s="1539">
        <f t="shared" si="1"/>
        <v>0.9999998804594983</v>
      </c>
      <c r="K15" s="1539">
        <f t="shared" si="1"/>
        <v>0.9894136725663717</v>
      </c>
      <c r="L15" s="1540">
        <v>6136200</v>
      </c>
      <c r="M15" s="1541">
        <v>2625800</v>
      </c>
      <c r="N15" s="1540">
        <v>7706413</v>
      </c>
      <c r="O15" s="1541">
        <v>2725800</v>
      </c>
      <c r="P15" s="1542">
        <v>7687354.41</v>
      </c>
      <c r="Q15" s="1543">
        <f>2332086.24+156382.95+218405.26</f>
        <v>2706874.45</v>
      </c>
      <c r="R15" s="1544">
        <f t="shared" si="3"/>
        <v>0.9975269181654293</v>
      </c>
      <c r="S15" s="1544">
        <f t="shared" si="3"/>
        <v>0.9930568823831536</v>
      </c>
    </row>
    <row r="16" spans="1:19" s="1461" customFormat="1" ht="23.25" customHeight="1">
      <c r="A16" s="1545"/>
      <c r="B16" s="1546"/>
      <c r="C16" s="1547" t="s">
        <v>553</v>
      </c>
      <c r="D16" s="1548"/>
      <c r="E16" s="1549">
        <f>E17+E18</f>
        <v>8900000</v>
      </c>
      <c r="F16" s="1549">
        <f>F17</f>
        <v>350634</v>
      </c>
      <c r="G16" s="1549">
        <f>G17+G18</f>
        <v>16047114</v>
      </c>
      <c r="H16" s="1550">
        <f>H17</f>
        <v>350634</v>
      </c>
      <c r="I16" s="1550">
        <f>I17+I18</f>
        <v>14343651.49</v>
      </c>
      <c r="J16" s="1551"/>
      <c r="K16" s="1551">
        <f aca="true" t="shared" si="6" ref="K16:K29">I16/G16</f>
        <v>0.8938461763280301</v>
      </c>
      <c r="L16" s="1552">
        <f>L17+L18</f>
        <v>8900000</v>
      </c>
      <c r="M16" s="1548"/>
      <c r="N16" s="1552">
        <f>N17+N18</f>
        <v>16397748</v>
      </c>
      <c r="O16" s="1548"/>
      <c r="P16" s="1553">
        <f>P17+P18</f>
        <v>14694285.49</v>
      </c>
      <c r="Q16" s="1554"/>
      <c r="R16" s="1555">
        <f aca="true" t="shared" si="7" ref="R16:R63">P16/N16</f>
        <v>0.896116069718842</v>
      </c>
      <c r="S16" s="1556"/>
    </row>
    <row r="17" spans="1:19" s="1461" customFormat="1" ht="27" customHeight="1">
      <c r="A17" s="1557">
        <v>700</v>
      </c>
      <c r="B17" s="1558">
        <v>70001</v>
      </c>
      <c r="C17" s="1559" t="s">
        <v>551</v>
      </c>
      <c r="D17" s="1557"/>
      <c r="E17" s="1557">
        <v>1500000</v>
      </c>
      <c r="F17" s="1560">
        <v>350634</v>
      </c>
      <c r="G17" s="1557">
        <v>1745000</v>
      </c>
      <c r="H17" s="1561">
        <v>350634</v>
      </c>
      <c r="I17" s="1562">
        <v>1745000</v>
      </c>
      <c r="J17" s="1563"/>
      <c r="K17" s="1563">
        <f t="shared" si="6"/>
        <v>1</v>
      </c>
      <c r="L17" s="1557">
        <v>1500000</v>
      </c>
      <c r="M17" s="1557"/>
      <c r="N17" s="1557">
        <v>2095634</v>
      </c>
      <c r="O17" s="1557"/>
      <c r="P17" s="1562">
        <v>2095634</v>
      </c>
      <c r="Q17" s="1561"/>
      <c r="R17" s="1564">
        <f t="shared" si="7"/>
        <v>1</v>
      </c>
      <c r="S17" s="1564"/>
    </row>
    <row r="18" spans="1:19" s="1461" customFormat="1" ht="28.5" customHeight="1">
      <c r="A18" s="1557">
        <v>926</v>
      </c>
      <c r="B18" s="1565">
        <v>92604</v>
      </c>
      <c r="C18" s="1566" t="s">
        <v>552</v>
      </c>
      <c r="D18" s="1567"/>
      <c r="E18" s="1568">
        <v>7400000</v>
      </c>
      <c r="F18" s="1567"/>
      <c r="G18" s="1568">
        <v>14302114</v>
      </c>
      <c r="H18" s="1569"/>
      <c r="I18" s="1570">
        <v>12598651.49</v>
      </c>
      <c r="J18" s="1571"/>
      <c r="K18" s="1571">
        <f t="shared" si="6"/>
        <v>0.8808943551981196</v>
      </c>
      <c r="L18" s="1557">
        <v>7400000</v>
      </c>
      <c r="M18" s="1572"/>
      <c r="N18" s="1557">
        <v>14302114</v>
      </c>
      <c r="O18" s="1572"/>
      <c r="P18" s="1561">
        <v>12598651.49</v>
      </c>
      <c r="Q18" s="1573"/>
      <c r="R18" s="1574">
        <f t="shared" si="7"/>
        <v>0.8808943551981196</v>
      </c>
      <c r="S18" s="1574"/>
    </row>
    <row r="19" spans="1:46" s="1580" customFormat="1" ht="26.25" customHeight="1" thickBot="1">
      <c r="A19" s="1575"/>
      <c r="B19" s="1576"/>
      <c r="C19" s="1577" t="s">
        <v>554</v>
      </c>
      <c r="D19" s="1575">
        <f aca="true" t="shared" si="8" ref="D19:I19">D20+D26+D28</f>
        <v>3088800</v>
      </c>
      <c r="E19" s="1575">
        <f t="shared" si="8"/>
        <v>608000</v>
      </c>
      <c r="F19" s="1575">
        <f t="shared" si="8"/>
        <v>3949871</v>
      </c>
      <c r="G19" s="1575">
        <f t="shared" si="8"/>
        <v>1272454</v>
      </c>
      <c r="H19" s="1578">
        <f t="shared" si="8"/>
        <v>3533292.78</v>
      </c>
      <c r="I19" s="1578">
        <f t="shared" si="8"/>
        <v>1035322.41</v>
      </c>
      <c r="J19" s="1579">
        <f aca="true" t="shared" si="9" ref="J19:J63">H19/F19</f>
        <v>0.89453371515171</v>
      </c>
      <c r="K19" s="1579">
        <f t="shared" si="6"/>
        <v>0.813642308484236</v>
      </c>
      <c r="L19" s="1575">
        <f aca="true" t="shared" si="10" ref="L19:Q19">L20+L26+L28</f>
        <v>3088800</v>
      </c>
      <c r="M19" s="1575">
        <f t="shared" si="10"/>
        <v>1172090</v>
      </c>
      <c r="N19" s="1575">
        <f t="shared" si="10"/>
        <v>3978049</v>
      </c>
      <c r="O19" s="1575">
        <f t="shared" si="10"/>
        <v>1336210</v>
      </c>
      <c r="P19" s="1578">
        <f t="shared" si="10"/>
        <v>3554512.87</v>
      </c>
      <c r="Q19" s="1578">
        <f t="shared" si="10"/>
        <v>1216122.77</v>
      </c>
      <c r="R19" s="1579">
        <f t="shared" si="7"/>
        <v>0.8935316960650812</v>
      </c>
      <c r="S19" s="1579">
        <f aca="true" t="shared" si="11" ref="S19:S29">Q19/O19</f>
        <v>0.9101284753145089</v>
      </c>
      <c r="T19" s="1461"/>
      <c r="U19" s="1461"/>
      <c r="V19" s="1461"/>
      <c r="W19" s="1461"/>
      <c r="X19" s="1461"/>
      <c r="Y19" s="1461"/>
      <c r="Z19" s="1461"/>
      <c r="AA19" s="1461"/>
      <c r="AB19" s="1461"/>
      <c r="AC19" s="1461"/>
      <c r="AD19" s="1461"/>
      <c r="AE19" s="1461"/>
      <c r="AF19" s="1461"/>
      <c r="AG19" s="1461"/>
      <c r="AH19" s="1461"/>
      <c r="AI19" s="1461"/>
      <c r="AJ19" s="1461"/>
      <c r="AK19" s="1461"/>
      <c r="AL19" s="1461"/>
      <c r="AM19" s="1461"/>
      <c r="AN19" s="1461"/>
      <c r="AO19" s="1461"/>
      <c r="AP19" s="1461"/>
      <c r="AQ19" s="1461"/>
      <c r="AR19" s="1461"/>
      <c r="AS19" s="1461"/>
      <c r="AT19" s="1461"/>
    </row>
    <row r="20" spans="1:46" s="1580" customFormat="1" ht="21.75" customHeight="1" thickTop="1">
      <c r="A20" s="1581">
        <v>801</v>
      </c>
      <c r="B20" s="1582"/>
      <c r="C20" s="1583" t="s">
        <v>42</v>
      </c>
      <c r="D20" s="1581">
        <f aca="true" t="shared" si="12" ref="D20:I20">SUM(D21:D25)</f>
        <v>2392900</v>
      </c>
      <c r="E20" s="1581">
        <f t="shared" si="12"/>
        <v>95000</v>
      </c>
      <c r="F20" s="1581">
        <f t="shared" si="12"/>
        <v>2480950</v>
      </c>
      <c r="G20" s="1581">
        <f t="shared" si="12"/>
        <v>95000</v>
      </c>
      <c r="H20" s="1584">
        <f t="shared" si="12"/>
        <v>2325098.9</v>
      </c>
      <c r="I20" s="1584">
        <f t="shared" si="12"/>
        <v>88550</v>
      </c>
      <c r="J20" s="1585">
        <f t="shared" si="9"/>
        <v>0.9371808782925894</v>
      </c>
      <c r="K20" s="1585">
        <f t="shared" si="6"/>
        <v>0.9321052631578948</v>
      </c>
      <c r="L20" s="1581">
        <f aca="true" t="shared" si="13" ref="L20:Q20">SUM(L21:L25)</f>
        <v>2392900</v>
      </c>
      <c r="M20" s="1581">
        <f t="shared" si="13"/>
        <v>864890</v>
      </c>
      <c r="N20" s="1581">
        <f t="shared" si="13"/>
        <v>2480950</v>
      </c>
      <c r="O20" s="1581">
        <f t="shared" si="13"/>
        <v>864890</v>
      </c>
      <c r="P20" s="1584">
        <f t="shared" si="13"/>
        <v>2312514.49</v>
      </c>
      <c r="Q20" s="1584">
        <f t="shared" si="13"/>
        <v>780170.81</v>
      </c>
      <c r="R20" s="1585">
        <f t="shared" si="7"/>
        <v>0.9321084624841292</v>
      </c>
      <c r="S20" s="1585">
        <f t="shared" si="11"/>
        <v>0.9020462833423905</v>
      </c>
      <c r="T20" s="1461"/>
      <c r="U20" s="1461"/>
      <c r="V20" s="1461"/>
      <c r="W20" s="1461"/>
      <c r="X20" s="1461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1461"/>
      <c r="AI20" s="1461"/>
      <c r="AJ20" s="1461"/>
      <c r="AK20" s="1461"/>
      <c r="AL20" s="1461"/>
      <c r="AM20" s="1461"/>
      <c r="AN20" s="1461"/>
      <c r="AO20" s="1461"/>
      <c r="AP20" s="1461"/>
      <c r="AQ20" s="1461"/>
      <c r="AR20" s="1461"/>
      <c r="AS20" s="1461"/>
      <c r="AT20" s="1461"/>
    </row>
    <row r="21" spans="1:19" s="1461" customFormat="1" ht="54" customHeight="1">
      <c r="A21" s="1586"/>
      <c r="B21" s="1587">
        <v>80197</v>
      </c>
      <c r="C21" s="1588" t="s">
        <v>555</v>
      </c>
      <c r="D21" s="1589">
        <v>430600</v>
      </c>
      <c r="E21" s="1589">
        <v>15400</v>
      </c>
      <c r="F21" s="1589">
        <v>454990</v>
      </c>
      <c r="G21" s="1589">
        <v>15400</v>
      </c>
      <c r="H21" s="1590">
        <v>454378.24</v>
      </c>
      <c r="I21" s="1590">
        <v>15400</v>
      </c>
      <c r="J21" s="1591">
        <f t="shared" si="9"/>
        <v>0.9986554429767687</v>
      </c>
      <c r="K21" s="1591">
        <f t="shared" si="6"/>
        <v>1</v>
      </c>
      <c r="L21" s="1592">
        <v>430600</v>
      </c>
      <c r="M21" s="1589">
        <v>157400</v>
      </c>
      <c r="N21" s="1592">
        <v>454990</v>
      </c>
      <c r="O21" s="1589">
        <v>157400</v>
      </c>
      <c r="P21" s="1593">
        <v>454571.83</v>
      </c>
      <c r="Q21" s="1590">
        <f>111996.7+8999.97+36319.33</f>
        <v>157316</v>
      </c>
      <c r="R21" s="1591">
        <f t="shared" si="7"/>
        <v>0.9990809248554914</v>
      </c>
      <c r="S21" s="1591">
        <f t="shared" si="11"/>
        <v>0.9994663278271919</v>
      </c>
    </row>
    <row r="22" spans="1:19" s="1461" customFormat="1" ht="28.5" customHeight="1">
      <c r="A22" s="1586"/>
      <c r="B22" s="1587">
        <v>80197</v>
      </c>
      <c r="C22" s="1594" t="s">
        <v>556</v>
      </c>
      <c r="D22" s="1589">
        <v>79200</v>
      </c>
      <c r="E22" s="1589">
        <v>12900</v>
      </c>
      <c r="F22" s="1589">
        <v>79200</v>
      </c>
      <c r="G22" s="1589">
        <v>12900</v>
      </c>
      <c r="H22" s="1590">
        <v>46010.02</v>
      </c>
      <c r="I22" s="1590">
        <v>6450</v>
      </c>
      <c r="J22" s="1591">
        <f t="shared" si="9"/>
        <v>0.580934595959596</v>
      </c>
      <c r="K22" s="1591">
        <f t="shared" si="6"/>
        <v>0.5</v>
      </c>
      <c r="L22" s="1592">
        <v>79200</v>
      </c>
      <c r="M22" s="1589">
        <v>40000</v>
      </c>
      <c r="N22" s="1592">
        <v>79200</v>
      </c>
      <c r="O22" s="1589">
        <v>40000</v>
      </c>
      <c r="P22" s="1593">
        <v>46003.56</v>
      </c>
      <c r="Q22" s="1590">
        <f>16563.43+1213.79</f>
        <v>17777.22</v>
      </c>
      <c r="R22" s="1591">
        <f t="shared" si="7"/>
        <v>0.5808530303030303</v>
      </c>
      <c r="S22" s="1591">
        <f t="shared" si="11"/>
        <v>0.4444305</v>
      </c>
    </row>
    <row r="23" spans="1:19" s="1461" customFormat="1" ht="27.75" customHeight="1">
      <c r="A23" s="1586"/>
      <c r="B23" s="1587">
        <v>80197</v>
      </c>
      <c r="C23" s="1595" t="s">
        <v>557</v>
      </c>
      <c r="D23" s="1596">
        <v>1388200</v>
      </c>
      <c r="E23" s="1596">
        <v>6100</v>
      </c>
      <c r="F23" s="1596">
        <v>1434640</v>
      </c>
      <c r="G23" s="1596">
        <v>6100</v>
      </c>
      <c r="H23" s="1597">
        <v>1433733.68</v>
      </c>
      <c r="I23" s="1597">
        <v>6100</v>
      </c>
      <c r="J23" s="1598">
        <f t="shared" si="9"/>
        <v>0.9993682596330786</v>
      </c>
      <c r="K23" s="1598">
        <f t="shared" si="6"/>
        <v>1</v>
      </c>
      <c r="L23" s="1599">
        <v>1388200</v>
      </c>
      <c r="M23" s="1589">
        <v>517140</v>
      </c>
      <c r="N23" s="1599">
        <v>1434640</v>
      </c>
      <c r="O23" s="1589">
        <v>517140</v>
      </c>
      <c r="P23" s="1600">
        <v>1380166.75</v>
      </c>
      <c r="Q23" s="1590">
        <f>429719.73+31260.55+7790</f>
        <v>468770.27999999997</v>
      </c>
      <c r="R23" s="1591">
        <f t="shared" si="7"/>
        <v>0.9620300214688006</v>
      </c>
      <c r="S23" s="1591">
        <f t="shared" si="11"/>
        <v>0.9064668755075994</v>
      </c>
    </row>
    <row r="24" spans="1:19" s="1461" customFormat="1" ht="39.75" customHeight="1">
      <c r="A24" s="1586"/>
      <c r="B24" s="1587">
        <v>80197</v>
      </c>
      <c r="C24" s="1595" t="s">
        <v>558</v>
      </c>
      <c r="D24" s="1523">
        <v>459400</v>
      </c>
      <c r="E24" s="1596">
        <v>57900</v>
      </c>
      <c r="F24" s="1523">
        <v>459400</v>
      </c>
      <c r="G24" s="1596">
        <v>57900</v>
      </c>
      <c r="H24" s="1601">
        <v>339290.61</v>
      </c>
      <c r="I24" s="1597">
        <v>57900</v>
      </c>
      <c r="J24" s="1598">
        <f t="shared" si="9"/>
        <v>0.7385516107966913</v>
      </c>
      <c r="K24" s="1598">
        <f t="shared" si="6"/>
        <v>1</v>
      </c>
      <c r="L24" s="1602">
        <v>459400</v>
      </c>
      <c r="M24" s="1589">
        <v>143700</v>
      </c>
      <c r="N24" s="1602">
        <v>459400</v>
      </c>
      <c r="O24" s="1589">
        <v>143700</v>
      </c>
      <c r="P24" s="1603">
        <v>379978.72</v>
      </c>
      <c r="Q24" s="1590">
        <f>113590.85+9487.66+7500</f>
        <v>130578.51000000001</v>
      </c>
      <c r="R24" s="1591">
        <f t="shared" si="7"/>
        <v>0.8271195472355245</v>
      </c>
      <c r="S24" s="1591">
        <f t="shared" si="11"/>
        <v>0.9086883089770356</v>
      </c>
    </row>
    <row r="25" spans="1:19" s="1461" customFormat="1" ht="40.5" customHeight="1">
      <c r="A25" s="1604"/>
      <c r="B25" s="1605">
        <v>80197</v>
      </c>
      <c r="C25" s="1606" t="s">
        <v>559</v>
      </c>
      <c r="D25" s="1607">
        <v>35500</v>
      </c>
      <c r="E25" s="1607">
        <v>2700</v>
      </c>
      <c r="F25" s="1607">
        <v>52720</v>
      </c>
      <c r="G25" s="1607">
        <v>2700</v>
      </c>
      <c r="H25" s="1608">
        <v>51686.35</v>
      </c>
      <c r="I25" s="1608">
        <v>2700</v>
      </c>
      <c r="J25" s="1609">
        <f t="shared" si="9"/>
        <v>0.9803935887708649</v>
      </c>
      <c r="K25" s="1609">
        <f t="shared" si="6"/>
        <v>1</v>
      </c>
      <c r="L25" s="1610">
        <v>35500</v>
      </c>
      <c r="M25" s="1607">
        <v>6650</v>
      </c>
      <c r="N25" s="1610">
        <v>52720</v>
      </c>
      <c r="O25" s="1607">
        <v>6650</v>
      </c>
      <c r="P25" s="1611">
        <v>51793.63</v>
      </c>
      <c r="Q25" s="1608">
        <f>5280+448.8</f>
        <v>5728.8</v>
      </c>
      <c r="R25" s="1609">
        <f t="shared" si="7"/>
        <v>0.9824284901365705</v>
      </c>
      <c r="S25" s="1609">
        <f t="shared" si="11"/>
        <v>0.8614736842105264</v>
      </c>
    </row>
    <row r="26" spans="1:19" s="1580" customFormat="1" ht="21.75" customHeight="1">
      <c r="A26" s="1612">
        <v>852</v>
      </c>
      <c r="B26" s="1613"/>
      <c r="C26" s="1614" t="s">
        <v>54</v>
      </c>
      <c r="D26" s="1615">
        <f aca="true" t="shared" si="14" ref="D26:I26">D27</f>
        <v>595000</v>
      </c>
      <c r="E26" s="1615">
        <f t="shared" si="14"/>
        <v>480000</v>
      </c>
      <c r="F26" s="1615">
        <f t="shared" si="14"/>
        <v>1259454</v>
      </c>
      <c r="G26" s="1615">
        <f t="shared" si="14"/>
        <v>1144454</v>
      </c>
      <c r="H26" s="1616">
        <f t="shared" si="14"/>
        <v>999265.42</v>
      </c>
      <c r="I26" s="1616">
        <f t="shared" si="14"/>
        <v>913772.41</v>
      </c>
      <c r="J26" s="1617">
        <f t="shared" si="9"/>
        <v>0.7934116053464438</v>
      </c>
      <c r="K26" s="1617">
        <f t="shared" si="6"/>
        <v>0.7984352451037787</v>
      </c>
      <c r="L26" s="1618">
        <f aca="true" t="shared" si="15" ref="L26:Q26">L27</f>
        <v>595000</v>
      </c>
      <c r="M26" s="1615">
        <f t="shared" si="15"/>
        <v>287600</v>
      </c>
      <c r="N26" s="1618">
        <f t="shared" si="15"/>
        <v>1287632</v>
      </c>
      <c r="O26" s="1615">
        <f t="shared" si="15"/>
        <v>451720</v>
      </c>
      <c r="P26" s="1619">
        <f t="shared" si="15"/>
        <v>1033824.56</v>
      </c>
      <c r="Q26" s="1616">
        <f t="shared" si="15"/>
        <v>417640.98</v>
      </c>
      <c r="R26" s="1617">
        <f t="shared" si="7"/>
        <v>0.8028882165090647</v>
      </c>
      <c r="S26" s="1617">
        <f t="shared" si="11"/>
        <v>0.9245572035774373</v>
      </c>
    </row>
    <row r="27" spans="1:19" s="1461" customFormat="1" ht="27" customHeight="1">
      <c r="A27" s="1620"/>
      <c r="B27" s="1621">
        <v>85232</v>
      </c>
      <c r="C27" s="1622" t="s">
        <v>414</v>
      </c>
      <c r="D27" s="1623">
        <f>480000+115000</f>
        <v>595000</v>
      </c>
      <c r="E27" s="1623">
        <v>480000</v>
      </c>
      <c r="F27" s="1623">
        <v>1259454</v>
      </c>
      <c r="G27" s="1623">
        <v>1144454</v>
      </c>
      <c r="H27" s="1624">
        <v>999265.42</v>
      </c>
      <c r="I27" s="1624">
        <v>913772.41</v>
      </c>
      <c r="J27" s="1625">
        <f t="shared" si="9"/>
        <v>0.7934116053464438</v>
      </c>
      <c r="K27" s="1625">
        <f t="shared" si="6"/>
        <v>0.7984352451037787</v>
      </c>
      <c r="L27" s="1626">
        <v>595000</v>
      </c>
      <c r="M27" s="1623">
        <v>287600</v>
      </c>
      <c r="N27" s="1626">
        <v>1287632</v>
      </c>
      <c r="O27" s="1623">
        <v>451720</v>
      </c>
      <c r="P27" s="1627">
        <v>1033824.56</v>
      </c>
      <c r="Q27" s="1624">
        <v>417640.98</v>
      </c>
      <c r="R27" s="1625">
        <f t="shared" si="7"/>
        <v>0.8028882165090647</v>
      </c>
      <c r="S27" s="1625">
        <f t="shared" si="11"/>
        <v>0.9245572035774373</v>
      </c>
    </row>
    <row r="28" spans="1:46" s="1580" customFormat="1" ht="24.75" customHeight="1">
      <c r="A28" s="1612">
        <v>854</v>
      </c>
      <c r="B28" s="1613"/>
      <c r="C28" s="1614" t="s">
        <v>27</v>
      </c>
      <c r="D28" s="1615">
        <f aca="true" t="shared" si="16" ref="D28:I28">D29</f>
        <v>100900</v>
      </c>
      <c r="E28" s="1615">
        <f t="shared" si="16"/>
        <v>33000</v>
      </c>
      <c r="F28" s="1615">
        <f t="shared" si="16"/>
        <v>209467</v>
      </c>
      <c r="G28" s="1615">
        <f t="shared" si="16"/>
        <v>33000</v>
      </c>
      <c r="H28" s="1616">
        <f t="shared" si="16"/>
        <v>208928.46</v>
      </c>
      <c r="I28" s="1616">
        <f t="shared" si="16"/>
        <v>33000</v>
      </c>
      <c r="J28" s="1617">
        <f t="shared" si="9"/>
        <v>0.9974289983625105</v>
      </c>
      <c r="K28" s="1617">
        <f t="shared" si="6"/>
        <v>1</v>
      </c>
      <c r="L28" s="1618">
        <f aca="true" t="shared" si="17" ref="L28:Q28">L29</f>
        <v>100900</v>
      </c>
      <c r="M28" s="1615">
        <f t="shared" si="17"/>
        <v>19600</v>
      </c>
      <c r="N28" s="1618">
        <f t="shared" si="17"/>
        <v>209467</v>
      </c>
      <c r="O28" s="1615">
        <f t="shared" si="17"/>
        <v>19600</v>
      </c>
      <c r="P28" s="1619">
        <f t="shared" si="17"/>
        <v>208173.82</v>
      </c>
      <c r="Q28" s="1616">
        <f t="shared" si="17"/>
        <v>18310.98</v>
      </c>
      <c r="R28" s="1617">
        <f t="shared" si="7"/>
        <v>0.9938263306391938</v>
      </c>
      <c r="S28" s="1617">
        <f t="shared" si="11"/>
        <v>0.9342336734693877</v>
      </c>
      <c r="T28" s="1461"/>
      <c r="U28" s="1461"/>
      <c r="V28" s="1461"/>
      <c r="W28" s="1461"/>
      <c r="X28" s="1461"/>
      <c r="Y28" s="1461"/>
      <c r="Z28" s="1461"/>
      <c r="AA28" s="1461"/>
      <c r="AB28" s="1461"/>
      <c r="AC28" s="1461"/>
      <c r="AD28" s="1461"/>
      <c r="AE28" s="1461"/>
      <c r="AF28" s="1461"/>
      <c r="AG28" s="1461"/>
      <c r="AH28" s="1461"/>
      <c r="AI28" s="1461"/>
      <c r="AJ28" s="1461"/>
      <c r="AK28" s="1461"/>
      <c r="AL28" s="1461"/>
      <c r="AM28" s="1461"/>
      <c r="AN28" s="1461"/>
      <c r="AO28" s="1461"/>
      <c r="AP28" s="1461"/>
      <c r="AQ28" s="1461"/>
      <c r="AR28" s="1461"/>
      <c r="AS28" s="1461"/>
      <c r="AT28" s="1461"/>
    </row>
    <row r="29" spans="1:19" s="1461" customFormat="1" ht="39" customHeight="1">
      <c r="A29" s="1586"/>
      <c r="B29" s="1605">
        <v>85497</v>
      </c>
      <c r="C29" s="1606" t="s">
        <v>560</v>
      </c>
      <c r="D29" s="1623">
        <v>100900</v>
      </c>
      <c r="E29" s="1607">
        <v>33000</v>
      </c>
      <c r="F29" s="1623">
        <v>209467</v>
      </c>
      <c r="G29" s="1607">
        <v>33000</v>
      </c>
      <c r="H29" s="1624">
        <v>208928.46</v>
      </c>
      <c r="I29" s="1608">
        <v>33000</v>
      </c>
      <c r="J29" s="1609">
        <f t="shared" si="9"/>
        <v>0.9974289983625105</v>
      </c>
      <c r="K29" s="1609">
        <f t="shared" si="6"/>
        <v>1</v>
      </c>
      <c r="L29" s="1626">
        <v>100900</v>
      </c>
      <c r="M29" s="1607">
        <v>19600</v>
      </c>
      <c r="N29" s="1626">
        <v>209467</v>
      </c>
      <c r="O29" s="1607">
        <v>19600</v>
      </c>
      <c r="P29" s="1627">
        <v>208173.82</v>
      </c>
      <c r="Q29" s="1608">
        <f>16876.48+1434.5</f>
        <v>18310.98</v>
      </c>
      <c r="R29" s="1609">
        <f t="shared" si="7"/>
        <v>0.9938263306391938</v>
      </c>
      <c r="S29" s="1609">
        <f t="shared" si="11"/>
        <v>0.9342336734693877</v>
      </c>
    </row>
    <row r="30" spans="1:46" s="1634" customFormat="1" ht="28.5" customHeight="1" thickBot="1">
      <c r="A30" s="1628"/>
      <c r="B30" s="1629"/>
      <c r="C30" s="1630" t="s">
        <v>561</v>
      </c>
      <c r="D30" s="1631">
        <f>D31+D65</f>
        <v>13150710</v>
      </c>
      <c r="E30" s="1631"/>
      <c r="F30" s="1631">
        <f>F31+F65+F62</f>
        <v>16574154</v>
      </c>
      <c r="G30" s="1631"/>
      <c r="H30" s="1632">
        <f>H31+H65+H62</f>
        <v>15403978.959999997</v>
      </c>
      <c r="I30" s="1632"/>
      <c r="J30" s="1633">
        <f t="shared" si="9"/>
        <v>0.9293976006256487</v>
      </c>
      <c r="K30" s="1633"/>
      <c r="L30" s="1631">
        <f>L31+L65</f>
        <v>13161810</v>
      </c>
      <c r="M30" s="1631"/>
      <c r="N30" s="1631">
        <f>N31+N65+N62</f>
        <v>16915032</v>
      </c>
      <c r="O30" s="1631"/>
      <c r="P30" s="1632">
        <f>P31+P65+P62</f>
        <v>14914935.399999999</v>
      </c>
      <c r="Q30" s="1632"/>
      <c r="R30" s="1633">
        <f t="shared" si="7"/>
        <v>0.8817562627135437</v>
      </c>
      <c r="S30" s="1633"/>
      <c r="T30" s="1461"/>
      <c r="U30" s="1461"/>
      <c r="V30" s="1461"/>
      <c r="W30" s="1461"/>
      <c r="X30" s="1461"/>
      <c r="Y30" s="1461"/>
      <c r="Z30" s="1461"/>
      <c r="AA30" s="1461"/>
      <c r="AB30" s="1461"/>
      <c r="AC30" s="1461"/>
      <c r="AD30" s="1461"/>
      <c r="AE30" s="1461"/>
      <c r="AF30" s="1461"/>
      <c r="AG30" s="1461"/>
      <c r="AH30" s="1461"/>
      <c r="AI30" s="1461"/>
      <c r="AJ30" s="1461"/>
      <c r="AK30" s="1461"/>
      <c r="AL30" s="1461"/>
      <c r="AM30" s="1461"/>
      <c r="AN30" s="1461"/>
      <c r="AO30" s="1461"/>
      <c r="AP30" s="1461"/>
      <c r="AQ30" s="1461"/>
      <c r="AR30" s="1461"/>
      <c r="AS30" s="1461"/>
      <c r="AT30" s="1461"/>
    </row>
    <row r="31" spans="1:46" s="1467" customFormat="1" ht="19.5" customHeight="1" thickTop="1">
      <c r="A31" s="1635"/>
      <c r="B31" s="1636"/>
      <c r="C31" s="1637" t="s">
        <v>121</v>
      </c>
      <c r="D31" s="1635">
        <f>D32+D34+D36+D47+D53+D56</f>
        <v>12753710</v>
      </c>
      <c r="E31" s="1635"/>
      <c r="F31" s="1635">
        <f>F32+F34+F36+F47+F53+F56</f>
        <v>16128016</v>
      </c>
      <c r="G31" s="1635"/>
      <c r="H31" s="1638">
        <f>H32+H34+H36+H47+H53+H56</f>
        <v>15117721.669999998</v>
      </c>
      <c r="I31" s="1638"/>
      <c r="J31" s="1639">
        <f t="shared" si="9"/>
        <v>0.9373578045805508</v>
      </c>
      <c r="K31" s="1639"/>
      <c r="L31" s="1635">
        <f>L32+L34+L36+L47+L53+L56</f>
        <v>12764810</v>
      </c>
      <c r="M31" s="1635"/>
      <c r="N31" s="1635">
        <f>N32+N34+N36+N47+N53+N56</f>
        <v>16468504</v>
      </c>
      <c r="O31" s="1635"/>
      <c r="P31" s="1638">
        <f>P32+P34+P36+P47+P53+P56</f>
        <v>14625683.36</v>
      </c>
      <c r="Q31" s="1638"/>
      <c r="R31" s="1639">
        <f t="shared" si="7"/>
        <v>0.8881003010352366</v>
      </c>
      <c r="S31" s="1639"/>
      <c r="T31" s="1461"/>
      <c r="U31" s="1461"/>
      <c r="V31" s="1461"/>
      <c r="W31" s="1461"/>
      <c r="X31" s="1461"/>
      <c r="Y31" s="1461"/>
      <c r="Z31" s="1461"/>
      <c r="AA31" s="1461"/>
      <c r="AB31" s="1461"/>
      <c r="AC31" s="1461"/>
      <c r="AD31" s="1461"/>
      <c r="AE31" s="1461"/>
      <c r="AF31" s="1461"/>
      <c r="AG31" s="1461"/>
      <c r="AH31" s="1461"/>
      <c r="AI31" s="1461"/>
      <c r="AJ31" s="1461"/>
      <c r="AK31" s="1461"/>
      <c r="AL31" s="1461"/>
      <c r="AM31" s="1461"/>
      <c r="AN31" s="1461"/>
      <c r="AO31" s="1461"/>
      <c r="AP31" s="1461"/>
      <c r="AQ31" s="1461"/>
      <c r="AR31" s="1461"/>
      <c r="AS31" s="1461"/>
      <c r="AT31" s="1461"/>
    </row>
    <row r="32" spans="1:46" s="1580" customFormat="1" ht="19.5" customHeight="1">
      <c r="A32" s="1615">
        <v>750</v>
      </c>
      <c r="B32" s="1613"/>
      <c r="C32" s="1614" t="s">
        <v>184</v>
      </c>
      <c r="D32" s="1615">
        <f>D33</f>
        <v>250000</v>
      </c>
      <c r="E32" s="1615"/>
      <c r="F32" s="1615">
        <f>F33</f>
        <v>292500</v>
      </c>
      <c r="G32" s="1615"/>
      <c r="H32" s="1616">
        <f>H33</f>
        <v>288509.74</v>
      </c>
      <c r="I32" s="1616"/>
      <c r="J32" s="1617">
        <f t="shared" si="9"/>
        <v>0.9863580854700854</v>
      </c>
      <c r="K32" s="1617"/>
      <c r="L32" s="1615">
        <f>L33</f>
        <v>250000</v>
      </c>
      <c r="M32" s="1615"/>
      <c r="N32" s="1615">
        <f>N33</f>
        <v>321532</v>
      </c>
      <c r="O32" s="1615"/>
      <c r="P32" s="1616">
        <f>P33</f>
        <v>267194.51</v>
      </c>
      <c r="Q32" s="1616"/>
      <c r="R32" s="1617">
        <f t="shared" si="7"/>
        <v>0.8310044101364716</v>
      </c>
      <c r="S32" s="1617"/>
      <c r="T32" s="1461"/>
      <c r="U32" s="1461"/>
      <c r="V32" s="1461"/>
      <c r="W32" s="1461"/>
      <c r="X32" s="1461"/>
      <c r="Y32" s="1461"/>
      <c r="Z32" s="1461"/>
      <c r="AA32" s="1461"/>
      <c r="AB32" s="1461"/>
      <c r="AC32" s="1461"/>
      <c r="AD32" s="1461"/>
      <c r="AE32" s="1461"/>
      <c r="AF32" s="1461"/>
      <c r="AG32" s="1461"/>
      <c r="AH32" s="1461"/>
      <c r="AI32" s="1461"/>
      <c r="AJ32" s="1461"/>
      <c r="AK32" s="1461"/>
      <c r="AL32" s="1461"/>
      <c r="AM32" s="1461"/>
      <c r="AN32" s="1461"/>
      <c r="AO32" s="1461"/>
      <c r="AP32" s="1461"/>
      <c r="AQ32" s="1461"/>
      <c r="AR32" s="1461"/>
      <c r="AS32" s="1461"/>
      <c r="AT32" s="1461"/>
    </row>
    <row r="33" spans="1:19" s="1461" customFormat="1" ht="24" customHeight="1">
      <c r="A33" s="1623"/>
      <c r="B33" s="1621">
        <v>75023</v>
      </c>
      <c r="C33" s="1640" t="s">
        <v>189</v>
      </c>
      <c r="D33" s="1623">
        <v>250000</v>
      </c>
      <c r="E33" s="1623"/>
      <c r="F33" s="1623">
        <f>42500+250000</f>
        <v>292500</v>
      </c>
      <c r="G33" s="1623"/>
      <c r="H33" s="1624">
        <f>42500+246009.74</f>
        <v>288509.74</v>
      </c>
      <c r="I33" s="1624"/>
      <c r="J33" s="1625">
        <f t="shared" si="9"/>
        <v>0.9863580854700854</v>
      </c>
      <c r="K33" s="1625"/>
      <c r="L33" s="1626">
        <v>250000</v>
      </c>
      <c r="M33" s="1623"/>
      <c r="N33" s="1626">
        <f>425+52251+268856</f>
        <v>321532</v>
      </c>
      <c r="O33" s="1623"/>
      <c r="P33" s="1627">
        <f>205.99+47567+219421.52</f>
        <v>267194.51</v>
      </c>
      <c r="Q33" s="1624"/>
      <c r="R33" s="1625">
        <f t="shared" si="7"/>
        <v>0.8310044101364716</v>
      </c>
      <c r="S33" s="1625"/>
    </row>
    <row r="34" spans="1:19" s="1580" customFormat="1" ht="24" customHeight="1">
      <c r="A34" s="1641">
        <v>754</v>
      </c>
      <c r="B34" s="1642"/>
      <c r="C34" s="1614" t="s">
        <v>389</v>
      </c>
      <c r="D34" s="1641"/>
      <c r="E34" s="1641"/>
      <c r="F34" s="1641">
        <f>F35</f>
        <v>1612</v>
      </c>
      <c r="G34" s="1641"/>
      <c r="H34" s="1643">
        <f>H35</f>
        <v>1612.08</v>
      </c>
      <c r="I34" s="1643"/>
      <c r="J34" s="1644">
        <f t="shared" si="9"/>
        <v>1.0000496277915631</v>
      </c>
      <c r="K34" s="1644"/>
      <c r="L34" s="1645"/>
      <c r="M34" s="1641"/>
      <c r="N34" s="1645">
        <f>N35</f>
        <v>1612</v>
      </c>
      <c r="O34" s="1641"/>
      <c r="P34" s="1646">
        <f>P35</f>
        <v>1612.08</v>
      </c>
      <c r="Q34" s="1643"/>
      <c r="R34" s="1644">
        <f t="shared" si="7"/>
        <v>1.0000496277915631</v>
      </c>
      <c r="S34" s="1644"/>
    </row>
    <row r="35" spans="1:19" s="1461" customFormat="1" ht="20.25" customHeight="1">
      <c r="A35" s="1623"/>
      <c r="B35" s="1621">
        <v>75416</v>
      </c>
      <c r="C35" s="1640" t="s">
        <v>210</v>
      </c>
      <c r="D35" s="1623"/>
      <c r="E35" s="1623"/>
      <c r="F35" s="1623">
        <v>1612</v>
      </c>
      <c r="G35" s="1623"/>
      <c r="H35" s="1624">
        <v>1612.08</v>
      </c>
      <c r="I35" s="1624"/>
      <c r="J35" s="1625">
        <f t="shared" si="9"/>
        <v>1.0000496277915631</v>
      </c>
      <c r="K35" s="1625"/>
      <c r="L35" s="1626"/>
      <c r="M35" s="1623"/>
      <c r="N35" s="1626">
        <v>1612</v>
      </c>
      <c r="O35" s="1623"/>
      <c r="P35" s="1627">
        <v>1612.08</v>
      </c>
      <c r="Q35" s="1624"/>
      <c r="R35" s="1625">
        <f t="shared" si="7"/>
        <v>1.0000496277915631</v>
      </c>
      <c r="S35" s="1625"/>
    </row>
    <row r="36" spans="1:46" s="1634" customFormat="1" ht="21" customHeight="1">
      <c r="A36" s="1615">
        <v>801</v>
      </c>
      <c r="B36" s="1613"/>
      <c r="C36" s="1614" t="s">
        <v>42</v>
      </c>
      <c r="D36" s="1615">
        <f>SUM(D37:D46)</f>
        <v>6866270</v>
      </c>
      <c r="E36" s="1615"/>
      <c r="F36" s="1615">
        <f>SUM(F37:F46)</f>
        <v>9105217</v>
      </c>
      <c r="G36" s="1615"/>
      <c r="H36" s="1616">
        <f>SUM(H37:H46)</f>
        <v>8502115.57</v>
      </c>
      <c r="I36" s="1616"/>
      <c r="J36" s="1617">
        <f t="shared" si="9"/>
        <v>0.933763090983993</v>
      </c>
      <c r="K36" s="1617"/>
      <c r="L36" s="1615">
        <f>SUM(L37:L46)</f>
        <v>6866270</v>
      </c>
      <c r="M36" s="1615"/>
      <c r="N36" s="1615">
        <f>SUM(N37:N46)</f>
        <v>9319064</v>
      </c>
      <c r="O36" s="1615"/>
      <c r="P36" s="1616">
        <f>SUM(P37:P46)</f>
        <v>8298016.869999998</v>
      </c>
      <c r="Q36" s="1616"/>
      <c r="R36" s="1617">
        <f t="shared" si="7"/>
        <v>0.8904345833444215</v>
      </c>
      <c r="S36" s="1617"/>
      <c r="T36" s="1461"/>
      <c r="U36" s="1461"/>
      <c r="V36" s="1461"/>
      <c r="W36" s="1461"/>
      <c r="X36" s="1461"/>
      <c r="Y36" s="1461"/>
      <c r="Z36" s="1461"/>
      <c r="AA36" s="1461"/>
      <c r="AB36" s="1461"/>
      <c r="AC36" s="1461"/>
      <c r="AD36" s="1461"/>
      <c r="AE36" s="1461"/>
      <c r="AF36" s="1461"/>
      <c r="AG36" s="1461"/>
      <c r="AH36" s="1461"/>
      <c r="AI36" s="1461"/>
      <c r="AJ36" s="1461"/>
      <c r="AK36" s="1461"/>
      <c r="AL36" s="1461"/>
      <c r="AM36" s="1461"/>
      <c r="AN36" s="1461"/>
      <c r="AO36" s="1461"/>
      <c r="AP36" s="1461"/>
      <c r="AQ36" s="1461"/>
      <c r="AR36" s="1461"/>
      <c r="AS36" s="1461"/>
      <c r="AT36" s="1461"/>
    </row>
    <row r="37" spans="1:19" s="1461" customFormat="1" ht="21" customHeight="1">
      <c r="A37" s="1512"/>
      <c r="B37" s="1587">
        <v>80101</v>
      </c>
      <c r="C37" s="1594" t="s">
        <v>43</v>
      </c>
      <c r="D37" s="1589">
        <v>967550</v>
      </c>
      <c r="E37" s="1589"/>
      <c r="F37" s="1589">
        <v>1517514</v>
      </c>
      <c r="G37" s="1589"/>
      <c r="H37" s="1590">
        <v>1429275.85</v>
      </c>
      <c r="I37" s="1590"/>
      <c r="J37" s="1591">
        <f t="shared" si="9"/>
        <v>0.9418534853714694</v>
      </c>
      <c r="K37" s="1591"/>
      <c r="L37" s="1592">
        <v>967550</v>
      </c>
      <c r="M37" s="1589"/>
      <c r="N37" s="1592">
        <v>1619564</v>
      </c>
      <c r="O37" s="1589"/>
      <c r="P37" s="1593">
        <v>1427761.22</v>
      </c>
      <c r="Q37" s="1590"/>
      <c r="R37" s="1591">
        <f t="shared" si="7"/>
        <v>0.8815713488321548</v>
      </c>
      <c r="S37" s="1591"/>
    </row>
    <row r="38" spans="1:19" s="1461" customFormat="1" ht="19.5" customHeight="1">
      <c r="A38" s="1512"/>
      <c r="B38" s="1587">
        <v>80102</v>
      </c>
      <c r="C38" s="1594" t="s">
        <v>243</v>
      </c>
      <c r="D38" s="1589">
        <v>9000</v>
      </c>
      <c r="E38" s="1589"/>
      <c r="F38" s="1589">
        <v>9050</v>
      </c>
      <c r="G38" s="1589"/>
      <c r="H38" s="1590">
        <v>8999.73</v>
      </c>
      <c r="I38" s="1590"/>
      <c r="J38" s="1591">
        <f t="shared" si="9"/>
        <v>0.9944453038674033</v>
      </c>
      <c r="K38" s="1591"/>
      <c r="L38" s="1592">
        <v>9000</v>
      </c>
      <c r="M38" s="1592"/>
      <c r="N38" s="1592">
        <v>12050</v>
      </c>
      <c r="O38" s="1592"/>
      <c r="P38" s="1593">
        <v>2260.88</v>
      </c>
      <c r="Q38" s="1593"/>
      <c r="R38" s="1647">
        <f t="shared" si="7"/>
        <v>0.18762489626556017</v>
      </c>
      <c r="S38" s="1647"/>
    </row>
    <row r="39" spans="1:19" s="1461" customFormat="1" ht="21" customHeight="1">
      <c r="A39" s="1512"/>
      <c r="B39" s="1648">
        <v>80104</v>
      </c>
      <c r="C39" s="1595" t="s">
        <v>45</v>
      </c>
      <c r="D39" s="1596">
        <v>4084700</v>
      </c>
      <c r="E39" s="1596"/>
      <c r="F39" s="1596">
        <v>4332697</v>
      </c>
      <c r="G39" s="1596"/>
      <c r="H39" s="1597">
        <v>4103653.48</v>
      </c>
      <c r="I39" s="1597"/>
      <c r="J39" s="1598">
        <f t="shared" si="9"/>
        <v>0.9471360402077506</v>
      </c>
      <c r="K39" s="1598"/>
      <c r="L39" s="1599">
        <v>4084700</v>
      </c>
      <c r="M39" s="1599"/>
      <c r="N39" s="1599">
        <v>4376128</v>
      </c>
      <c r="O39" s="1599"/>
      <c r="P39" s="1600">
        <v>4078529.38</v>
      </c>
      <c r="Q39" s="1600"/>
      <c r="R39" s="1649">
        <f t="shared" si="7"/>
        <v>0.9319949919197976</v>
      </c>
      <c r="S39" s="1649"/>
    </row>
    <row r="40" spans="1:19" s="1461" customFormat="1" ht="21" customHeight="1">
      <c r="A40" s="1512"/>
      <c r="B40" s="1648">
        <v>80105</v>
      </c>
      <c r="C40" s="1595" t="s">
        <v>249</v>
      </c>
      <c r="D40" s="1596"/>
      <c r="E40" s="1596"/>
      <c r="F40" s="1596">
        <v>545</v>
      </c>
      <c r="G40" s="1596"/>
      <c r="H40" s="1597">
        <v>544.5</v>
      </c>
      <c r="I40" s="1597"/>
      <c r="J40" s="1598">
        <f t="shared" si="9"/>
        <v>0.9990825688073395</v>
      </c>
      <c r="K40" s="1598"/>
      <c r="L40" s="1599"/>
      <c r="M40" s="1599"/>
      <c r="N40" s="1599">
        <v>545</v>
      </c>
      <c r="O40" s="1599"/>
      <c r="P40" s="1600">
        <v>544.5</v>
      </c>
      <c r="Q40" s="1600"/>
      <c r="R40" s="1649">
        <f t="shared" si="7"/>
        <v>0.9990825688073395</v>
      </c>
      <c r="S40" s="1649"/>
    </row>
    <row r="41" spans="1:19" s="1461" customFormat="1" ht="21" customHeight="1">
      <c r="A41" s="1512"/>
      <c r="B41" s="1648">
        <v>80110</v>
      </c>
      <c r="C41" s="1595" t="s">
        <v>46</v>
      </c>
      <c r="D41" s="1596">
        <v>474440</v>
      </c>
      <c r="E41" s="1596"/>
      <c r="F41" s="1596">
        <v>1029697</v>
      </c>
      <c r="G41" s="1596"/>
      <c r="H41" s="1528">
        <v>944231.18</v>
      </c>
      <c r="I41" s="1597"/>
      <c r="J41" s="1598">
        <f t="shared" si="9"/>
        <v>0.9169990589464668</v>
      </c>
      <c r="K41" s="1598"/>
      <c r="L41" s="1599">
        <v>474440</v>
      </c>
      <c r="M41" s="1596"/>
      <c r="N41" s="1599">
        <v>1056151</v>
      </c>
      <c r="O41" s="1596"/>
      <c r="P41" s="1600">
        <v>831835.06</v>
      </c>
      <c r="Q41" s="1597"/>
      <c r="R41" s="1598">
        <f t="shared" si="7"/>
        <v>0.7876099724376534</v>
      </c>
      <c r="S41" s="1598"/>
    </row>
    <row r="42" spans="1:19" s="1461" customFormat="1" ht="21" customHeight="1">
      <c r="A42" s="1512"/>
      <c r="B42" s="1587">
        <v>80120</v>
      </c>
      <c r="C42" s="1594" t="s">
        <v>47</v>
      </c>
      <c r="D42" s="1589">
        <v>296030</v>
      </c>
      <c r="E42" s="1589"/>
      <c r="F42" s="1589">
        <v>518880</v>
      </c>
      <c r="G42" s="1589"/>
      <c r="H42" s="1650">
        <v>479072.9</v>
      </c>
      <c r="I42" s="1590"/>
      <c r="J42" s="1591">
        <f t="shared" si="9"/>
        <v>0.9232826472402097</v>
      </c>
      <c r="K42" s="1591"/>
      <c r="L42" s="1589">
        <v>296030</v>
      </c>
      <c r="M42" s="1589"/>
      <c r="N42" s="1589">
        <v>518880</v>
      </c>
      <c r="O42" s="1589"/>
      <c r="P42" s="1590">
        <v>474670.55</v>
      </c>
      <c r="Q42" s="1590"/>
      <c r="R42" s="1591">
        <f t="shared" si="7"/>
        <v>0.9147983156028369</v>
      </c>
      <c r="S42" s="1591"/>
    </row>
    <row r="43" spans="1:19" s="1461" customFormat="1" ht="21" customHeight="1">
      <c r="A43" s="1512"/>
      <c r="B43" s="1587">
        <v>80123</v>
      </c>
      <c r="C43" s="1594" t="s">
        <v>48</v>
      </c>
      <c r="D43" s="1589"/>
      <c r="E43" s="1589"/>
      <c r="F43" s="1589">
        <v>15786</v>
      </c>
      <c r="G43" s="1589"/>
      <c r="H43" s="1650">
        <v>15786</v>
      </c>
      <c r="I43" s="1590"/>
      <c r="J43" s="1591">
        <f t="shared" si="9"/>
        <v>1</v>
      </c>
      <c r="K43" s="1591"/>
      <c r="L43" s="1592"/>
      <c r="M43" s="1589"/>
      <c r="N43" s="1592">
        <v>15786</v>
      </c>
      <c r="O43" s="1589"/>
      <c r="P43" s="1593">
        <v>15786</v>
      </c>
      <c r="Q43" s="1590"/>
      <c r="R43" s="1591">
        <f t="shared" si="7"/>
        <v>1</v>
      </c>
      <c r="S43" s="1591"/>
    </row>
    <row r="44" spans="1:19" s="1461" customFormat="1" ht="21" customHeight="1">
      <c r="A44" s="1512"/>
      <c r="B44" s="1587">
        <v>80130</v>
      </c>
      <c r="C44" s="1594" t="s">
        <v>51</v>
      </c>
      <c r="D44" s="1589">
        <v>674200</v>
      </c>
      <c r="E44" s="1589"/>
      <c r="F44" s="1589">
        <v>1051111</v>
      </c>
      <c r="G44" s="1589"/>
      <c r="H44" s="1590">
        <v>1023566.39</v>
      </c>
      <c r="I44" s="1590"/>
      <c r="J44" s="1591">
        <f t="shared" si="9"/>
        <v>0.9737947657288336</v>
      </c>
      <c r="K44" s="1591"/>
      <c r="L44" s="1592">
        <v>674200</v>
      </c>
      <c r="M44" s="1589"/>
      <c r="N44" s="1592">
        <v>1087328</v>
      </c>
      <c r="O44" s="1589"/>
      <c r="P44" s="1593">
        <v>1002774.08</v>
      </c>
      <c r="Q44" s="1590"/>
      <c r="R44" s="1591">
        <f t="shared" si="7"/>
        <v>0.9222369698931693</v>
      </c>
      <c r="S44" s="1591"/>
    </row>
    <row r="45" spans="1:19" s="1461" customFormat="1" ht="21" customHeight="1">
      <c r="A45" s="1512"/>
      <c r="B45" s="1648">
        <v>80132</v>
      </c>
      <c r="C45" s="1651" t="s">
        <v>259</v>
      </c>
      <c r="D45" s="1652">
        <v>22200</v>
      </c>
      <c r="E45" s="1651"/>
      <c r="F45" s="1652">
        <v>22200</v>
      </c>
      <c r="G45" s="1651"/>
      <c r="H45" s="1653">
        <v>17760.91</v>
      </c>
      <c r="I45" s="1653"/>
      <c r="J45" s="1654">
        <f t="shared" si="9"/>
        <v>0.800040990990991</v>
      </c>
      <c r="K45" s="1654"/>
      <c r="L45" s="1652">
        <v>22200</v>
      </c>
      <c r="M45" s="1651"/>
      <c r="N45" s="1652">
        <v>22200</v>
      </c>
      <c r="O45" s="1651"/>
      <c r="P45" s="1653">
        <v>14462.06</v>
      </c>
      <c r="Q45" s="1653"/>
      <c r="R45" s="1654">
        <f t="shared" si="7"/>
        <v>0.6514441441441441</v>
      </c>
      <c r="S45" s="1654"/>
    </row>
    <row r="46" spans="1:19" s="1461" customFormat="1" ht="51.75" customHeight="1">
      <c r="A46" s="1607"/>
      <c r="B46" s="1605">
        <v>80140</v>
      </c>
      <c r="C46" s="1606" t="s">
        <v>262</v>
      </c>
      <c r="D46" s="1607">
        <v>338150</v>
      </c>
      <c r="E46" s="1607"/>
      <c r="F46" s="1607">
        <v>607737</v>
      </c>
      <c r="G46" s="1607"/>
      <c r="H46" s="1608">
        <v>479224.63</v>
      </c>
      <c r="I46" s="1608"/>
      <c r="J46" s="1609">
        <f t="shared" si="9"/>
        <v>0.7885394998165325</v>
      </c>
      <c r="K46" s="1609"/>
      <c r="L46" s="1610">
        <v>338150</v>
      </c>
      <c r="M46" s="1607"/>
      <c r="N46" s="1610">
        <v>610432</v>
      </c>
      <c r="O46" s="1607"/>
      <c r="P46" s="1611">
        <v>449393.14</v>
      </c>
      <c r="Q46" s="1608"/>
      <c r="R46" s="1609">
        <f t="shared" si="7"/>
        <v>0.7361886991507653</v>
      </c>
      <c r="S46" s="1609"/>
    </row>
    <row r="47" spans="1:19" s="1580" customFormat="1" ht="19.5" customHeight="1">
      <c r="A47" s="1615">
        <v>852</v>
      </c>
      <c r="B47" s="1613"/>
      <c r="C47" s="1655" t="s">
        <v>54</v>
      </c>
      <c r="D47" s="1656">
        <f>SUM(D48:D52)</f>
        <v>274200</v>
      </c>
      <c r="E47" s="1615"/>
      <c r="F47" s="1656">
        <f>SUM(F48:F52)</f>
        <v>763522</v>
      </c>
      <c r="G47" s="1615"/>
      <c r="H47" s="1657">
        <f>SUM(H48:H52)</f>
        <v>745236.5900000001</v>
      </c>
      <c r="I47" s="1616"/>
      <c r="J47" s="1617">
        <f t="shared" si="9"/>
        <v>0.9760512336252264</v>
      </c>
      <c r="K47" s="1617"/>
      <c r="L47" s="1615">
        <f>SUM(L48:L50)</f>
        <v>285300</v>
      </c>
      <c r="M47" s="1618"/>
      <c r="N47" s="1615">
        <f>SUM(N48:N52)</f>
        <v>832609</v>
      </c>
      <c r="O47" s="1618"/>
      <c r="P47" s="1616">
        <f>SUM(P48:P52)</f>
        <v>551947.5700000001</v>
      </c>
      <c r="Q47" s="1619"/>
      <c r="R47" s="1658">
        <f t="shared" si="7"/>
        <v>0.6629132882301297</v>
      </c>
      <c r="S47" s="1658"/>
    </row>
    <row r="48" spans="1:19" s="1461" customFormat="1" ht="25.5" customHeight="1">
      <c r="A48" s="1512"/>
      <c r="B48" s="1659">
        <v>85201</v>
      </c>
      <c r="C48" s="1588" t="s">
        <v>55</v>
      </c>
      <c r="D48" s="1660">
        <f>19000+1100+2100+1700</f>
        <v>23900</v>
      </c>
      <c r="E48" s="1512"/>
      <c r="F48" s="1660">
        <f>219202+47308+3050+37727</f>
        <v>307287</v>
      </c>
      <c r="G48" s="1661"/>
      <c r="H48" s="1662">
        <f>1904.63+217563.58+14767.58+27610.31+597.19+100+1828.76+995.57+35627.91+1308.68</f>
        <v>302304.21</v>
      </c>
      <c r="I48" s="1663"/>
      <c r="J48" s="1664">
        <f t="shared" si="9"/>
        <v>0.9837845727284266</v>
      </c>
      <c r="K48" s="1664"/>
      <c r="L48" s="1665">
        <f>19400+1100+2100+1700</f>
        <v>24300</v>
      </c>
      <c r="M48" s="1520"/>
      <c r="N48" s="1665">
        <f>219400+69097+5187+56711</f>
        <v>350395</v>
      </c>
      <c r="O48" s="1520"/>
      <c r="P48" s="1666">
        <f>71044.75+8418.19+15430.87+192.76+100+2318.8+995.57+48097.49</f>
        <v>146598.43</v>
      </c>
      <c r="Q48" s="1667"/>
      <c r="R48" s="1522">
        <f t="shared" si="7"/>
        <v>0.41838048488134816</v>
      </c>
      <c r="S48" s="1522"/>
    </row>
    <row r="49" spans="1:19" s="1461" customFormat="1" ht="22.5" customHeight="1">
      <c r="A49" s="1512"/>
      <c r="B49" s="1648">
        <v>85202</v>
      </c>
      <c r="C49" s="1595" t="s">
        <v>57</v>
      </c>
      <c r="D49" s="1668">
        <f>8000+30000+5900+3000+900</f>
        <v>47800</v>
      </c>
      <c r="E49" s="1596"/>
      <c r="F49" s="1596">
        <f>32500+14000+5900+6400+82060</f>
        <v>140860</v>
      </c>
      <c r="G49" s="1596"/>
      <c r="H49" s="1528">
        <f>14691.02+2503.93+9548.88+68550.66+16514.04+18996.9+5070.93+3830.2+3213.75</f>
        <v>142920.31</v>
      </c>
      <c r="I49" s="1669"/>
      <c r="J49" s="1598">
        <f t="shared" si="9"/>
        <v>1.014626650575039</v>
      </c>
      <c r="K49" s="1598"/>
      <c r="L49" s="1670">
        <f>8000+40000+5900+3000+1600</f>
        <v>58500</v>
      </c>
      <c r="M49" s="1599"/>
      <c r="N49" s="1602">
        <f>37500+16000+5940+6468+92221</f>
        <v>158129</v>
      </c>
      <c r="O49" s="1599"/>
      <c r="P49" s="1603">
        <f>10863.01+93+1067.68+55891.95+14308.04+15374.66+5212.94+40+2946.6+3023.35</f>
        <v>108821.23000000001</v>
      </c>
      <c r="Q49" s="1671"/>
      <c r="R49" s="1649">
        <f t="shared" si="7"/>
        <v>0.6881800934679914</v>
      </c>
      <c r="S49" s="1649"/>
    </row>
    <row r="50" spans="1:19" s="1461" customFormat="1" ht="22.5" customHeight="1">
      <c r="A50" s="1512"/>
      <c r="B50" s="1648">
        <v>85203</v>
      </c>
      <c r="C50" s="1651" t="s">
        <v>59</v>
      </c>
      <c r="D50" s="1672">
        <v>202500</v>
      </c>
      <c r="E50" s="1596"/>
      <c r="F50" s="1673">
        <v>249732</v>
      </c>
      <c r="G50" s="1674"/>
      <c r="H50" s="1675">
        <f>464.14+6563.99+222129.27</f>
        <v>229157.4</v>
      </c>
      <c r="I50" s="1669"/>
      <c r="J50" s="1598">
        <f t="shared" si="9"/>
        <v>0.9176132814377012</v>
      </c>
      <c r="K50" s="1598"/>
      <c r="L50" s="1676">
        <f>202500</f>
        <v>202500</v>
      </c>
      <c r="M50" s="1599"/>
      <c r="N50" s="1599">
        <v>254369</v>
      </c>
      <c r="O50" s="1677"/>
      <c r="P50" s="1600">
        <f>4466.18+227859.69</f>
        <v>232325.87</v>
      </c>
      <c r="Q50" s="1671"/>
      <c r="R50" s="1649">
        <f t="shared" si="7"/>
        <v>0.9133419166643734</v>
      </c>
      <c r="S50" s="1649"/>
    </row>
    <row r="51" spans="1:19" s="1461" customFormat="1" ht="22.5" customHeight="1">
      <c r="A51" s="1512"/>
      <c r="B51" s="1648">
        <v>85219</v>
      </c>
      <c r="C51" s="1651" t="s">
        <v>646</v>
      </c>
      <c r="D51" s="1673"/>
      <c r="E51" s="1596"/>
      <c r="F51" s="1673">
        <v>63927</v>
      </c>
      <c r="G51" s="1596"/>
      <c r="H51" s="1678">
        <f>1953.57+65743.06+1500</f>
        <v>69196.63</v>
      </c>
      <c r="I51" s="1597"/>
      <c r="J51" s="1598">
        <f t="shared" si="9"/>
        <v>1.0824319927417212</v>
      </c>
      <c r="K51" s="1598"/>
      <c r="L51" s="1599"/>
      <c r="M51" s="1599"/>
      <c r="N51" s="1599">
        <v>63930</v>
      </c>
      <c r="O51" s="1599"/>
      <c r="P51" s="1600">
        <f>1500+1846.39+60334.87</f>
        <v>63681.26</v>
      </c>
      <c r="Q51" s="1671"/>
      <c r="R51" s="1649">
        <f t="shared" si="7"/>
        <v>0.9961091819177226</v>
      </c>
      <c r="S51" s="1649"/>
    </row>
    <row r="52" spans="1:19" s="1461" customFormat="1" ht="24.75" customHeight="1">
      <c r="A52" s="1607"/>
      <c r="B52" s="1605">
        <v>85226</v>
      </c>
      <c r="C52" s="1679" t="s">
        <v>654</v>
      </c>
      <c r="D52" s="1680"/>
      <c r="E52" s="1607"/>
      <c r="F52" s="1681">
        <v>1716</v>
      </c>
      <c r="G52" s="1682"/>
      <c r="H52" s="1683">
        <v>1658.04</v>
      </c>
      <c r="I52" s="1684"/>
      <c r="J52" s="1609">
        <f t="shared" si="9"/>
        <v>0.9662237762237762</v>
      </c>
      <c r="K52" s="1609"/>
      <c r="L52" s="1685"/>
      <c r="M52" s="1610"/>
      <c r="N52" s="1610">
        <v>5786</v>
      </c>
      <c r="O52" s="1686"/>
      <c r="P52" s="1611">
        <v>520.78</v>
      </c>
      <c r="Q52" s="1687"/>
      <c r="R52" s="1688">
        <f t="shared" si="7"/>
        <v>0.0900069132388524</v>
      </c>
      <c r="S52" s="1688"/>
    </row>
    <row r="53" spans="1:46" s="1580" customFormat="1" ht="27.75" customHeight="1">
      <c r="A53" s="1615">
        <v>853</v>
      </c>
      <c r="B53" s="1613"/>
      <c r="C53" s="1655" t="s">
        <v>737</v>
      </c>
      <c r="D53" s="1656">
        <f>SUM(D54:D55)</f>
        <v>363040</v>
      </c>
      <c r="E53" s="1615"/>
      <c r="F53" s="1656">
        <f>SUM(F54:F55)</f>
        <v>394095</v>
      </c>
      <c r="G53" s="1615"/>
      <c r="H53" s="1657">
        <f>SUM(H54:H55)</f>
        <v>386440.54</v>
      </c>
      <c r="I53" s="1616"/>
      <c r="J53" s="1617">
        <f t="shared" si="9"/>
        <v>0.9805771197300143</v>
      </c>
      <c r="K53" s="1617"/>
      <c r="L53" s="1618">
        <f>SUM(L54:L55)</f>
        <v>363040</v>
      </c>
      <c r="M53" s="1618"/>
      <c r="N53" s="1618">
        <f>SUM(N54:N55)</f>
        <v>394095</v>
      </c>
      <c r="O53" s="1618"/>
      <c r="P53" s="1619">
        <f>SUM(P54:P55)</f>
        <v>378133.83</v>
      </c>
      <c r="Q53" s="1619"/>
      <c r="R53" s="1658">
        <f t="shared" si="7"/>
        <v>0.9594991816693945</v>
      </c>
      <c r="S53" s="1658"/>
      <c r="T53" s="1461"/>
      <c r="U53" s="1461"/>
      <c r="V53" s="1461"/>
      <c r="W53" s="1461"/>
      <c r="X53" s="1461"/>
      <c r="Y53" s="1461"/>
      <c r="Z53" s="1461"/>
      <c r="AA53" s="1461"/>
      <c r="AB53" s="1461"/>
      <c r="AC53" s="1461"/>
      <c r="AD53" s="1461"/>
      <c r="AE53" s="1461"/>
      <c r="AF53" s="1461"/>
      <c r="AG53" s="1461"/>
      <c r="AH53" s="1461"/>
      <c r="AI53" s="1461"/>
      <c r="AJ53" s="1461"/>
      <c r="AK53" s="1461"/>
      <c r="AL53" s="1461"/>
      <c r="AM53" s="1461"/>
      <c r="AN53" s="1461"/>
      <c r="AO53" s="1461"/>
      <c r="AP53" s="1461"/>
      <c r="AQ53" s="1461"/>
      <c r="AR53" s="1461"/>
      <c r="AS53" s="1461"/>
      <c r="AT53" s="1461"/>
    </row>
    <row r="54" spans="1:19" s="1461" customFormat="1" ht="21" customHeight="1">
      <c r="A54" s="1512"/>
      <c r="B54" s="1605">
        <v>85305</v>
      </c>
      <c r="C54" s="1606" t="s">
        <v>665</v>
      </c>
      <c r="D54" s="1607">
        <v>359400</v>
      </c>
      <c r="E54" s="1607"/>
      <c r="F54" s="1607">
        <v>389400</v>
      </c>
      <c r="G54" s="1607"/>
      <c r="H54" s="1608">
        <v>381748.94</v>
      </c>
      <c r="I54" s="1608"/>
      <c r="J54" s="1609">
        <f t="shared" si="9"/>
        <v>0.9803516692347201</v>
      </c>
      <c r="K54" s="1609"/>
      <c r="L54" s="1610">
        <v>359400</v>
      </c>
      <c r="M54" s="1610"/>
      <c r="N54" s="1610">
        <v>389400</v>
      </c>
      <c r="O54" s="1610"/>
      <c r="P54" s="1611">
        <v>373438.83</v>
      </c>
      <c r="Q54" s="1687"/>
      <c r="R54" s="1688">
        <f t="shared" si="7"/>
        <v>0.9590108628659476</v>
      </c>
      <c r="S54" s="1688"/>
    </row>
    <row r="55" spans="1:19" s="1461" customFormat="1" ht="21" customHeight="1">
      <c r="A55" s="1607"/>
      <c r="B55" s="1605">
        <v>85333</v>
      </c>
      <c r="C55" s="1689" t="s">
        <v>667</v>
      </c>
      <c r="D55" s="1681">
        <v>3640</v>
      </c>
      <c r="E55" s="1607"/>
      <c r="F55" s="1681">
        <v>4695</v>
      </c>
      <c r="G55" s="1607"/>
      <c r="H55" s="1683">
        <v>4691.6</v>
      </c>
      <c r="I55" s="1608"/>
      <c r="J55" s="1609">
        <f t="shared" si="9"/>
        <v>0.9992758253461129</v>
      </c>
      <c r="K55" s="1609"/>
      <c r="L55" s="1610">
        <v>3640</v>
      </c>
      <c r="M55" s="1610"/>
      <c r="N55" s="1610">
        <v>4695</v>
      </c>
      <c r="O55" s="1610"/>
      <c r="P55" s="1611">
        <v>4695</v>
      </c>
      <c r="Q55" s="1611"/>
      <c r="R55" s="1688">
        <f t="shared" si="7"/>
        <v>1</v>
      </c>
      <c r="S55" s="1688"/>
    </row>
    <row r="56" spans="1:46" s="1634" customFormat="1" ht="24.75" customHeight="1">
      <c r="A56" s="1615">
        <v>854</v>
      </c>
      <c r="B56" s="1613"/>
      <c r="C56" s="1614" t="s">
        <v>27</v>
      </c>
      <c r="D56" s="1615">
        <f>SUM(D57:D61)</f>
        <v>5000200</v>
      </c>
      <c r="E56" s="1615"/>
      <c r="F56" s="1615">
        <f>SUM(F57:F61)</f>
        <v>5571070</v>
      </c>
      <c r="G56" s="1615"/>
      <c r="H56" s="1616">
        <f>SUM(H57:H61)</f>
        <v>5193807.149999999</v>
      </c>
      <c r="I56" s="1616"/>
      <c r="J56" s="1617">
        <f t="shared" si="9"/>
        <v>0.9322817968541052</v>
      </c>
      <c r="K56" s="1617"/>
      <c r="L56" s="1618">
        <f>SUM(L57:L61)</f>
        <v>5000200</v>
      </c>
      <c r="M56" s="1615"/>
      <c r="N56" s="1618">
        <f>SUM(N57:N61)</f>
        <v>5599592</v>
      </c>
      <c r="O56" s="1615"/>
      <c r="P56" s="1619">
        <f>SUM(P57:P61)</f>
        <v>5128778.5</v>
      </c>
      <c r="Q56" s="1616"/>
      <c r="R56" s="1617">
        <f t="shared" si="7"/>
        <v>0.9159200348882561</v>
      </c>
      <c r="S56" s="1617"/>
      <c r="T56" s="1461"/>
      <c r="U56" s="1461"/>
      <c r="V56" s="1461"/>
      <c r="W56" s="1461"/>
      <c r="X56" s="1461"/>
      <c r="Y56" s="1461"/>
      <c r="Z56" s="1461"/>
      <c r="AA56" s="1461"/>
      <c r="AB56" s="1461"/>
      <c r="AC56" s="1461"/>
      <c r="AD56" s="1461"/>
      <c r="AE56" s="1461"/>
      <c r="AF56" s="1461"/>
      <c r="AG56" s="1461"/>
      <c r="AH56" s="1461"/>
      <c r="AI56" s="1461"/>
      <c r="AJ56" s="1461"/>
      <c r="AK56" s="1461"/>
      <c r="AL56" s="1461"/>
      <c r="AM56" s="1461"/>
      <c r="AN56" s="1461"/>
      <c r="AO56" s="1461"/>
      <c r="AP56" s="1461"/>
      <c r="AQ56" s="1461"/>
      <c r="AR56" s="1461"/>
      <c r="AS56" s="1461"/>
      <c r="AT56" s="1461"/>
    </row>
    <row r="57" spans="1:19" s="1461" customFormat="1" ht="24.75" customHeight="1">
      <c r="A57" s="1512"/>
      <c r="B57" s="1587">
        <v>85403</v>
      </c>
      <c r="C57" s="1594" t="s">
        <v>676</v>
      </c>
      <c r="D57" s="1589">
        <v>168700</v>
      </c>
      <c r="E57" s="1589"/>
      <c r="F57" s="1589">
        <v>339948</v>
      </c>
      <c r="G57" s="1589"/>
      <c r="H57" s="1590">
        <v>329083.04</v>
      </c>
      <c r="I57" s="1590"/>
      <c r="J57" s="1591">
        <f t="shared" si="9"/>
        <v>0.9680393471942768</v>
      </c>
      <c r="K57" s="1591"/>
      <c r="L57" s="1592">
        <v>168700</v>
      </c>
      <c r="M57" s="1589"/>
      <c r="N57" s="1592">
        <v>361516</v>
      </c>
      <c r="O57" s="1589"/>
      <c r="P57" s="1593">
        <v>299708.57</v>
      </c>
      <c r="Q57" s="1590"/>
      <c r="R57" s="1591">
        <f t="shared" si="7"/>
        <v>0.8290326569225152</v>
      </c>
      <c r="S57" s="1591"/>
    </row>
    <row r="58" spans="1:19" s="1461" customFormat="1" ht="26.25" customHeight="1">
      <c r="A58" s="1512"/>
      <c r="B58" s="1587">
        <v>85407</v>
      </c>
      <c r="C58" s="1651" t="s">
        <v>680</v>
      </c>
      <c r="D58" s="1589">
        <v>19350</v>
      </c>
      <c r="E58" s="1589"/>
      <c r="F58" s="1589">
        <v>22935</v>
      </c>
      <c r="G58" s="1589"/>
      <c r="H58" s="1590">
        <v>15599.83</v>
      </c>
      <c r="I58" s="1590"/>
      <c r="J58" s="1591">
        <f t="shared" si="9"/>
        <v>0.6801757139742751</v>
      </c>
      <c r="K58" s="1591"/>
      <c r="L58" s="1592">
        <v>19350</v>
      </c>
      <c r="M58" s="1589"/>
      <c r="N58" s="1592">
        <v>22935</v>
      </c>
      <c r="O58" s="1589"/>
      <c r="P58" s="1593">
        <v>14876.8</v>
      </c>
      <c r="Q58" s="1590"/>
      <c r="R58" s="1591">
        <f t="shared" si="7"/>
        <v>0.64865053411816</v>
      </c>
      <c r="S58" s="1591"/>
    </row>
    <row r="59" spans="1:19" s="1461" customFormat="1" ht="21.75" customHeight="1">
      <c r="A59" s="1512"/>
      <c r="B59" s="1587">
        <v>85410</v>
      </c>
      <c r="C59" s="1595" t="s">
        <v>62</v>
      </c>
      <c r="D59" s="1589">
        <v>90190</v>
      </c>
      <c r="E59" s="1589"/>
      <c r="F59" s="1589">
        <v>135206</v>
      </c>
      <c r="G59" s="1589"/>
      <c r="H59" s="1590">
        <v>134234.97</v>
      </c>
      <c r="I59" s="1590"/>
      <c r="J59" s="1591">
        <f t="shared" si="9"/>
        <v>0.9928181441651998</v>
      </c>
      <c r="K59" s="1591"/>
      <c r="L59" s="1592">
        <v>90190</v>
      </c>
      <c r="M59" s="1589"/>
      <c r="N59" s="1592">
        <v>135206</v>
      </c>
      <c r="O59" s="1589"/>
      <c r="P59" s="1593">
        <v>133112.2</v>
      </c>
      <c r="Q59" s="1590"/>
      <c r="R59" s="1591">
        <f t="shared" si="7"/>
        <v>0.9845140008579502</v>
      </c>
      <c r="S59" s="1591"/>
    </row>
    <row r="60" spans="1:19" s="1461" customFormat="1" ht="25.5" customHeight="1">
      <c r="A60" s="1690"/>
      <c r="B60" s="1691">
        <v>85421</v>
      </c>
      <c r="C60" s="1692" t="s">
        <v>687</v>
      </c>
      <c r="D60" s="1523">
        <v>6000</v>
      </c>
      <c r="E60" s="1523"/>
      <c r="F60" s="1523">
        <v>6000</v>
      </c>
      <c r="G60" s="1523"/>
      <c r="H60" s="1601">
        <v>3558</v>
      </c>
      <c r="I60" s="1601"/>
      <c r="J60" s="1693">
        <f t="shared" si="9"/>
        <v>0.593</v>
      </c>
      <c r="K60" s="1693"/>
      <c r="L60" s="1602">
        <v>6000</v>
      </c>
      <c r="M60" s="1523"/>
      <c r="N60" s="1602">
        <v>6000</v>
      </c>
      <c r="O60" s="1523"/>
      <c r="P60" s="1603">
        <v>3560.62</v>
      </c>
      <c r="Q60" s="1601"/>
      <c r="R60" s="1693">
        <f t="shared" si="7"/>
        <v>0.5934366666666666</v>
      </c>
      <c r="S60" s="1693"/>
    </row>
    <row r="61" spans="1:19" s="1461" customFormat="1" ht="21.75" customHeight="1">
      <c r="A61" s="1512"/>
      <c r="B61" s="1605">
        <v>85495</v>
      </c>
      <c r="C61" s="1606" t="s">
        <v>13</v>
      </c>
      <c r="D61" s="1607">
        <v>4715960</v>
      </c>
      <c r="E61" s="1607"/>
      <c r="F61" s="1607">
        <v>5066981</v>
      </c>
      <c r="G61" s="1607"/>
      <c r="H61" s="1608">
        <v>4711331.31</v>
      </c>
      <c r="I61" s="1608"/>
      <c r="J61" s="1609">
        <f t="shared" si="9"/>
        <v>0.9298103367666071</v>
      </c>
      <c r="K61" s="1609"/>
      <c r="L61" s="1610">
        <v>4715960</v>
      </c>
      <c r="M61" s="1607"/>
      <c r="N61" s="1610">
        <v>5073935</v>
      </c>
      <c r="O61" s="1607"/>
      <c r="P61" s="1611">
        <v>4677520.31</v>
      </c>
      <c r="Q61" s="1608"/>
      <c r="R61" s="1609">
        <f t="shared" si="7"/>
        <v>0.9218723357709548</v>
      </c>
      <c r="S61" s="1609"/>
    </row>
    <row r="62" spans="1:19" s="1461" customFormat="1" ht="27.75" customHeight="1">
      <c r="A62" s="1694"/>
      <c r="B62" s="1695"/>
      <c r="C62" s="1696" t="s">
        <v>782</v>
      </c>
      <c r="D62" s="1697"/>
      <c r="E62" s="1697"/>
      <c r="F62" s="1697">
        <f>F63</f>
        <v>300</v>
      </c>
      <c r="G62" s="1697"/>
      <c r="H62" s="1698">
        <f>H63</f>
        <v>217.27</v>
      </c>
      <c r="I62" s="1698"/>
      <c r="J62" s="1639">
        <f t="shared" si="9"/>
        <v>0.7242333333333334</v>
      </c>
      <c r="K62" s="1699"/>
      <c r="L62" s="1697"/>
      <c r="M62" s="1697"/>
      <c r="N62" s="1697">
        <f>N63</f>
        <v>690</v>
      </c>
      <c r="O62" s="1697"/>
      <c r="P62" s="1698">
        <f>P63</f>
        <v>607</v>
      </c>
      <c r="Q62" s="1700"/>
      <c r="R62" s="1639">
        <f t="shared" si="7"/>
        <v>0.8797101449275362</v>
      </c>
      <c r="S62" s="1699"/>
    </row>
    <row r="63" spans="1:19" s="1461" customFormat="1" ht="21.75" customHeight="1">
      <c r="A63" s="1701">
        <v>852</v>
      </c>
      <c r="B63" s="1702">
        <v>85203</v>
      </c>
      <c r="C63" s="1689" t="s">
        <v>59</v>
      </c>
      <c r="D63" s="1701"/>
      <c r="E63" s="1701"/>
      <c r="F63" s="1701">
        <v>300</v>
      </c>
      <c r="G63" s="1701"/>
      <c r="H63" s="1703">
        <v>217.27</v>
      </c>
      <c r="I63" s="1703"/>
      <c r="J63" s="1704">
        <f t="shared" si="9"/>
        <v>0.7242333333333334</v>
      </c>
      <c r="K63" s="1704"/>
      <c r="L63" s="1705"/>
      <c r="M63" s="1701"/>
      <c r="N63" s="1705">
        <v>690</v>
      </c>
      <c r="O63" s="1701"/>
      <c r="P63" s="1706">
        <v>607</v>
      </c>
      <c r="Q63" s="1707"/>
      <c r="R63" s="1704">
        <f t="shared" si="7"/>
        <v>0.8797101449275362</v>
      </c>
      <c r="S63" s="1704"/>
    </row>
    <row r="64" spans="1:19" s="1461" customFormat="1" ht="30" customHeight="1">
      <c r="A64" s="1708"/>
      <c r="B64" s="1513"/>
      <c r="C64" s="1470"/>
      <c r="D64" s="1708"/>
      <c r="E64" s="1708"/>
      <c r="F64" s="1708"/>
      <c r="G64" s="1708"/>
      <c r="H64" s="1709"/>
      <c r="I64" s="1709"/>
      <c r="J64" s="1710"/>
      <c r="K64" s="1710"/>
      <c r="L64" s="1708"/>
      <c r="M64" s="1708"/>
      <c r="N64" s="1708"/>
      <c r="O64" s="1708"/>
      <c r="P64" s="1709"/>
      <c r="Q64" s="1711"/>
      <c r="R64" s="1710"/>
      <c r="S64" s="1710"/>
    </row>
    <row r="65" spans="1:19" s="1461" customFormat="1" ht="37.5" customHeight="1">
      <c r="A65" s="1694"/>
      <c r="B65" s="1636"/>
      <c r="C65" s="1712" t="s">
        <v>530</v>
      </c>
      <c r="D65" s="1635">
        <f>D66</f>
        <v>397000</v>
      </c>
      <c r="E65" s="1635"/>
      <c r="F65" s="1635">
        <f>F66</f>
        <v>445838</v>
      </c>
      <c r="G65" s="1635"/>
      <c r="H65" s="1638">
        <f>H66</f>
        <v>286040.02</v>
      </c>
      <c r="I65" s="1638"/>
      <c r="J65" s="1639">
        <f>H65/F65</f>
        <v>0.6415783760020456</v>
      </c>
      <c r="K65" s="1639"/>
      <c r="L65" s="1635">
        <f>L66</f>
        <v>397000</v>
      </c>
      <c r="M65" s="1635"/>
      <c r="N65" s="1635">
        <f>N66</f>
        <v>445838</v>
      </c>
      <c r="O65" s="1635"/>
      <c r="P65" s="1638">
        <f>P66</f>
        <v>288645.04</v>
      </c>
      <c r="Q65" s="1638"/>
      <c r="R65" s="1639">
        <f>P65/N65</f>
        <v>0.6474213503559588</v>
      </c>
      <c r="S65" s="1639"/>
    </row>
    <row r="66" spans="1:19" s="1461" customFormat="1" ht="25.5" customHeight="1">
      <c r="A66" s="1701">
        <v>754</v>
      </c>
      <c r="B66" s="1702">
        <v>75411</v>
      </c>
      <c r="C66" s="1689" t="s">
        <v>205</v>
      </c>
      <c r="D66" s="1701">
        <v>397000</v>
      </c>
      <c r="E66" s="1701"/>
      <c r="F66" s="1701">
        <v>445838</v>
      </c>
      <c r="G66" s="1701"/>
      <c r="H66" s="1703">
        <f>237202.69+57.7+48779.63</f>
        <v>286040.02</v>
      </c>
      <c r="I66" s="1703"/>
      <c r="J66" s="1704">
        <f>H66/F66</f>
        <v>0.6415783760020456</v>
      </c>
      <c r="K66" s="1704"/>
      <c r="L66" s="1705">
        <v>397000</v>
      </c>
      <c r="M66" s="1701"/>
      <c r="N66" s="1705">
        <v>445838</v>
      </c>
      <c r="O66" s="1701"/>
      <c r="P66" s="1706">
        <f>239807.71+57.7+48779.63</f>
        <v>288645.04</v>
      </c>
      <c r="Q66" s="1703"/>
      <c r="R66" s="1704">
        <f>P66/N66</f>
        <v>0.6474213503559588</v>
      </c>
      <c r="S66" s="1704"/>
    </row>
    <row r="67" spans="1:3" s="1461" customFormat="1" ht="12.75">
      <c r="A67" s="1456"/>
      <c r="B67" s="1457"/>
      <c r="C67" s="1466"/>
    </row>
    <row r="68" spans="1:3" s="1461" customFormat="1" ht="12.75">
      <c r="A68" s="1456"/>
      <c r="B68" s="1457"/>
      <c r="C68" s="1466"/>
    </row>
    <row r="69" spans="1:3" s="1461" customFormat="1" ht="12.75">
      <c r="A69" s="1456"/>
      <c r="B69" s="1457"/>
      <c r="C69" s="1466"/>
    </row>
    <row r="70" spans="1:9" s="1461" customFormat="1" ht="12.75">
      <c r="A70" s="1456"/>
      <c r="B70" s="1457"/>
      <c r="C70" s="417" t="s">
        <v>287</v>
      </c>
      <c r="I70" t="s">
        <v>289</v>
      </c>
    </row>
    <row r="71" spans="1:9" s="1461" customFormat="1" ht="12.75">
      <c r="A71" s="1456"/>
      <c r="B71" s="1457"/>
      <c r="C71" s="417" t="s">
        <v>288</v>
      </c>
      <c r="I71" t="s">
        <v>290</v>
      </c>
    </row>
    <row r="72" spans="1:3" s="1461" customFormat="1" ht="12.75">
      <c r="A72" s="1456"/>
      <c r="B72" s="1457"/>
      <c r="C72" s="1466"/>
    </row>
    <row r="73" spans="1:3" s="1461" customFormat="1" ht="12.75">
      <c r="A73" s="1456"/>
      <c r="B73" s="1457"/>
      <c r="C73" s="1466"/>
    </row>
    <row r="74" spans="1:3" s="1461" customFormat="1" ht="12.75">
      <c r="A74" s="1456"/>
      <c r="B74" s="1457"/>
      <c r="C74" s="1466"/>
    </row>
    <row r="75" spans="1:3" s="1461" customFormat="1" ht="12.75">
      <c r="A75" s="1456"/>
      <c r="B75" s="1457"/>
      <c r="C75" s="1466"/>
    </row>
    <row r="76" spans="1:3" s="1461" customFormat="1" ht="12.75">
      <c r="A76" s="1456"/>
      <c r="B76" s="1457"/>
      <c r="C76" s="1466"/>
    </row>
    <row r="77" spans="1:3" s="1461" customFormat="1" ht="12.75">
      <c r="A77" s="1456"/>
      <c r="B77" s="1457"/>
      <c r="C77" s="1466"/>
    </row>
    <row r="78" spans="1:3" s="1461" customFormat="1" ht="12.75">
      <c r="A78" s="1456"/>
      <c r="B78" s="1457"/>
      <c r="C78" s="1466"/>
    </row>
    <row r="79" spans="1:3" s="1461" customFormat="1" ht="12.75">
      <c r="A79" s="1456"/>
      <c r="B79" s="1457"/>
      <c r="C79" s="1466"/>
    </row>
    <row r="80" spans="1:3" s="1461" customFormat="1" ht="12.75">
      <c r="A80" s="1456"/>
      <c r="B80" s="1457"/>
      <c r="C80" s="1466"/>
    </row>
    <row r="81" spans="1:3" s="1461" customFormat="1" ht="12.75">
      <c r="A81" s="1456"/>
      <c r="B81" s="1457"/>
      <c r="C81" s="1466"/>
    </row>
    <row r="82" spans="1:3" s="1461" customFormat="1" ht="12.75">
      <c r="A82" s="1456"/>
      <c r="B82" s="1457"/>
      <c r="C82" s="1466"/>
    </row>
    <row r="83" spans="1:3" s="1461" customFormat="1" ht="12.75">
      <c r="A83" s="1456"/>
      <c r="B83" s="1457"/>
      <c r="C83" s="1466"/>
    </row>
    <row r="84" spans="1:3" s="1461" customFormat="1" ht="12.75">
      <c r="A84" s="1456"/>
      <c r="B84" s="1457"/>
      <c r="C84" s="1466"/>
    </row>
    <row r="85" spans="1:3" s="1461" customFormat="1" ht="12.75">
      <c r="A85" s="1456"/>
      <c r="B85" s="1457"/>
      <c r="C85" s="1466"/>
    </row>
    <row r="86" spans="1:3" s="1461" customFormat="1" ht="12.75">
      <c r="A86" s="1456"/>
      <c r="B86" s="1457"/>
      <c r="C86" s="1466"/>
    </row>
    <row r="87" spans="1:3" s="1461" customFormat="1" ht="12.75">
      <c r="A87" s="1456"/>
      <c r="B87" s="1457"/>
      <c r="C87" s="1466"/>
    </row>
    <row r="88" spans="1:3" s="1461" customFormat="1" ht="12.75">
      <c r="A88" s="1456"/>
      <c r="B88" s="1457"/>
      <c r="C88" s="1466"/>
    </row>
    <row r="89" spans="1:3" s="1461" customFormat="1" ht="12.75">
      <c r="A89" s="1456"/>
      <c r="B89" s="1457"/>
      <c r="C89" s="1466"/>
    </row>
    <row r="90" spans="1:3" s="1461" customFormat="1" ht="12.75">
      <c r="A90" s="1456"/>
      <c r="B90" s="1457"/>
      <c r="C90" s="1466"/>
    </row>
    <row r="91" spans="1:3" s="1461" customFormat="1" ht="12.75">
      <c r="A91" s="1456"/>
      <c r="B91" s="1457"/>
      <c r="C91" s="1466"/>
    </row>
    <row r="92" spans="1:3" s="1461" customFormat="1" ht="12.75">
      <c r="A92" s="1456"/>
      <c r="B92" s="1457"/>
      <c r="C92" s="1466"/>
    </row>
    <row r="93" spans="1:3" s="1461" customFormat="1" ht="12.75">
      <c r="A93" s="1456"/>
      <c r="B93" s="1457"/>
      <c r="C93" s="1466"/>
    </row>
    <row r="94" spans="1:3" s="1461" customFormat="1" ht="12.75">
      <c r="A94" s="1456"/>
      <c r="B94" s="1457"/>
      <c r="C94" s="1466"/>
    </row>
    <row r="95" spans="1:3" s="1461" customFormat="1" ht="12.75">
      <c r="A95" s="1456"/>
      <c r="B95" s="1457"/>
      <c r="C95" s="1466"/>
    </row>
    <row r="96" spans="1:3" s="1461" customFormat="1" ht="12.75">
      <c r="A96" s="1456"/>
      <c r="B96" s="1457"/>
      <c r="C96" s="1466"/>
    </row>
    <row r="97" spans="1:3" s="1461" customFormat="1" ht="12.75">
      <c r="A97" s="1456"/>
      <c r="B97" s="1457"/>
      <c r="C97" s="1466"/>
    </row>
    <row r="98" spans="1:3" s="1461" customFormat="1" ht="12.75">
      <c r="A98" s="1456"/>
      <c r="B98" s="1457"/>
      <c r="C98" s="1466"/>
    </row>
    <row r="99" spans="1:3" s="1461" customFormat="1" ht="12.75">
      <c r="A99" s="1456"/>
      <c r="B99" s="1457"/>
      <c r="C99" s="1466"/>
    </row>
    <row r="100" spans="1:3" s="1461" customFormat="1" ht="12.75">
      <c r="A100" s="1456"/>
      <c r="B100" s="1457"/>
      <c r="C100" s="1466"/>
    </row>
    <row r="101" spans="1:3" s="1461" customFormat="1" ht="12.75">
      <c r="A101" s="1456"/>
      <c r="B101" s="1457"/>
      <c r="C101" s="1466"/>
    </row>
    <row r="102" spans="1:3" s="1461" customFormat="1" ht="12.75">
      <c r="A102" s="1456"/>
      <c r="B102" s="1457"/>
      <c r="C102" s="1466"/>
    </row>
    <row r="103" spans="1:3" s="1461" customFormat="1" ht="12.75">
      <c r="A103" s="1456"/>
      <c r="B103" s="1457"/>
      <c r="C103" s="1466"/>
    </row>
    <row r="104" spans="1:3" s="1461" customFormat="1" ht="12.75">
      <c r="A104" s="1456"/>
      <c r="B104" s="1457"/>
      <c r="C104" s="1466"/>
    </row>
    <row r="105" spans="1:3" s="1461" customFormat="1" ht="12.75">
      <c r="A105" s="1456"/>
      <c r="B105" s="1457"/>
      <c r="C105" s="1466"/>
    </row>
    <row r="106" spans="1:3" s="1461" customFormat="1" ht="12.75">
      <c r="A106" s="1456"/>
      <c r="B106" s="1457"/>
      <c r="C106" s="1466"/>
    </row>
    <row r="107" spans="1:3" s="1461" customFormat="1" ht="12.75">
      <c r="A107" s="1456"/>
      <c r="B107" s="1457"/>
      <c r="C107" s="1466"/>
    </row>
    <row r="108" spans="1:3" s="1461" customFormat="1" ht="12.75">
      <c r="A108" s="1456"/>
      <c r="B108" s="1457"/>
      <c r="C108" s="1466"/>
    </row>
    <row r="109" spans="1:3" s="1461" customFormat="1" ht="12.75">
      <c r="A109" s="1456"/>
      <c r="B109" s="1457"/>
      <c r="C109" s="1466"/>
    </row>
  </sheetData>
  <mergeCells count="7">
    <mergeCell ref="C2:H2"/>
    <mergeCell ref="N8:O8"/>
    <mergeCell ref="P8:Q8"/>
    <mergeCell ref="D8:E8"/>
    <mergeCell ref="F8:G8"/>
    <mergeCell ref="H8:I8"/>
    <mergeCell ref="L8:M8"/>
  </mergeCells>
  <printOptions horizontalCentered="1"/>
  <pageMargins left="0.1968503937007874" right="0.1968503937007874" top="0.6692913385826772" bottom="0.5118110236220472" header="0.5118110236220472" footer="0.35433070866141736"/>
  <pageSetup firstPageNumber="70" useFirstPageNumber="1" horizontalDpi="300" verticalDpi="300" orientation="landscape" paperSize="9" scale="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workbookViewId="0" topLeftCell="A1">
      <selection activeCell="H5" sqref="H5"/>
    </sheetView>
  </sheetViews>
  <sheetFormatPr defaultColWidth="9.00390625" defaultRowHeight="12.75"/>
  <cols>
    <col min="1" max="1" width="8.875" style="1713" customWidth="1"/>
    <col min="2" max="2" width="12.00390625" style="1713" customWidth="1"/>
    <col min="3" max="3" width="67.75390625" style="6" customWidth="1"/>
    <col min="4" max="4" width="11.25390625" style="6" hidden="1" customWidth="1"/>
    <col min="5" max="5" width="0.12890625" style="6" hidden="1" customWidth="1"/>
    <col min="6" max="6" width="20.75390625" style="1713" customWidth="1"/>
    <col min="7" max="7" width="21.125" style="6" customWidth="1"/>
    <col min="8" max="8" width="20.75390625" style="6" customWidth="1"/>
    <col min="9" max="9" width="11.375" style="6" customWidth="1"/>
    <col min="10" max="16384" width="9.125" style="6" customWidth="1"/>
  </cols>
  <sheetData>
    <row r="1" spans="6:8" ht="15.75" customHeight="1">
      <c r="F1" s="482"/>
      <c r="G1" s="1714"/>
      <c r="H1" s="482" t="s">
        <v>562</v>
      </c>
    </row>
    <row r="2" spans="4:8" ht="15.75" customHeight="1">
      <c r="D2" s="36"/>
      <c r="E2" s="36"/>
      <c r="F2" s="482"/>
      <c r="G2" s="1714"/>
      <c r="H2" s="482" t="s">
        <v>293</v>
      </c>
    </row>
    <row r="3" spans="3:8" ht="15.75" customHeight="1">
      <c r="C3" s="1715"/>
      <c r="D3" s="481"/>
      <c r="E3" s="481"/>
      <c r="F3" s="482"/>
      <c r="G3" s="1714"/>
      <c r="H3" s="482" t="s">
        <v>893</v>
      </c>
    </row>
    <row r="4" spans="2:8" ht="15.75" customHeight="1">
      <c r="B4" s="1716" t="s">
        <v>563</v>
      </c>
      <c r="D4" s="36"/>
      <c r="E4" s="36"/>
      <c r="F4" s="482"/>
      <c r="G4" s="1714"/>
      <c r="H4" s="482" t="s">
        <v>294</v>
      </c>
    </row>
    <row r="5" spans="1:5" ht="18" customHeight="1">
      <c r="A5" s="1717"/>
      <c r="D5" s="36"/>
      <c r="E5" s="36"/>
    </row>
    <row r="6" spans="1:9" ht="20.25" customHeight="1" thickBot="1">
      <c r="A6" s="1718"/>
      <c r="B6" s="1718"/>
      <c r="C6" s="47"/>
      <c r="D6" s="1718"/>
      <c r="E6" s="47"/>
      <c r="F6" s="1718"/>
      <c r="G6" s="1718"/>
      <c r="H6" s="1719" t="s">
        <v>725</v>
      </c>
      <c r="I6" s="1718"/>
    </row>
    <row r="7" spans="1:9" s="76" customFormat="1" ht="65.25" customHeight="1" thickBot="1" thickTop="1">
      <c r="A7" s="1720" t="s">
        <v>11</v>
      </c>
      <c r="B7" s="1720" t="s">
        <v>12</v>
      </c>
      <c r="C7" s="1720" t="s">
        <v>564</v>
      </c>
      <c r="D7" s="1721" t="s">
        <v>565</v>
      </c>
      <c r="E7" s="1721" t="s">
        <v>566</v>
      </c>
      <c r="F7" s="1721" t="s">
        <v>567</v>
      </c>
      <c r="G7" s="1721" t="s">
        <v>568</v>
      </c>
      <c r="H7" s="1722" t="s">
        <v>569</v>
      </c>
      <c r="I7" s="1721" t="s">
        <v>570</v>
      </c>
    </row>
    <row r="8" spans="1:9" s="47" customFormat="1" ht="14.25" customHeight="1" thickBot="1" thickTop="1">
      <c r="A8" s="39">
        <v>1</v>
      </c>
      <c r="B8" s="39">
        <v>2</v>
      </c>
      <c r="C8" s="39">
        <v>3</v>
      </c>
      <c r="D8" s="39">
        <v>3</v>
      </c>
      <c r="E8" s="39">
        <v>4</v>
      </c>
      <c r="F8" s="39">
        <v>4</v>
      </c>
      <c r="G8" s="39">
        <v>5</v>
      </c>
      <c r="H8" s="39">
        <v>6</v>
      </c>
      <c r="I8" s="39">
        <v>7</v>
      </c>
    </row>
    <row r="9" spans="1:9" s="76" customFormat="1" ht="23.25" customHeight="1" thickBot="1" thickTop="1">
      <c r="A9" s="1723">
        <v>921</v>
      </c>
      <c r="B9" s="1724"/>
      <c r="C9" s="1725" t="s">
        <v>571</v>
      </c>
      <c r="D9" s="1723" t="e">
        <f>SUM(#REF!+#REF!)+#REF!</f>
        <v>#REF!</v>
      </c>
      <c r="E9" s="1723">
        <f>SUM(E12:E19)</f>
        <v>1259600</v>
      </c>
      <c r="F9" s="1723">
        <f>F10+F22</f>
        <v>13009000</v>
      </c>
      <c r="G9" s="1723">
        <f>G10+G22</f>
        <v>13490626</v>
      </c>
      <c r="H9" s="1726">
        <f>H10+H22</f>
        <v>13473722.120000001</v>
      </c>
      <c r="I9" s="1727">
        <f aca="true" t="shared" si="0" ref="I9:I15">H9/G9</f>
        <v>0.9987469906882009</v>
      </c>
    </row>
    <row r="10" spans="1:9" s="100" customFormat="1" ht="22.5" customHeight="1" thickBot="1">
      <c r="A10" s="103"/>
      <c r="B10" s="1728"/>
      <c r="C10" s="1729" t="s">
        <v>133</v>
      </c>
      <c r="D10" s="1730"/>
      <c r="E10" s="1731"/>
      <c r="F10" s="1732">
        <f>F12+F14+F15+F16+F18+F19+F20</f>
        <v>13009000</v>
      </c>
      <c r="G10" s="1732">
        <f>G12+G14+G15+G16+G18+G19+G20</f>
        <v>13452626</v>
      </c>
      <c r="H10" s="1733">
        <f>H12+H14+H15+H16+H18+H19+H20</f>
        <v>13435722.120000001</v>
      </c>
      <c r="I10" s="1734">
        <f t="shared" si="0"/>
        <v>0.9987434512785831</v>
      </c>
    </row>
    <row r="11" spans="1:9" s="100" customFormat="1" ht="22.5" customHeight="1" thickTop="1">
      <c r="A11" s="103"/>
      <c r="B11" s="1728"/>
      <c r="C11" s="1735" t="s">
        <v>164</v>
      </c>
      <c r="D11" s="1736"/>
      <c r="E11" s="1737"/>
      <c r="F11" s="1738">
        <f>F13+F17+F21</f>
        <v>177000</v>
      </c>
      <c r="G11" s="1738">
        <f>G13+G17+G21</f>
        <v>97000</v>
      </c>
      <c r="H11" s="1739">
        <f>H13+H17+H21</f>
        <v>80093.92</v>
      </c>
      <c r="I11" s="1740">
        <f t="shared" si="0"/>
        <v>0.8257105154639175</v>
      </c>
    </row>
    <row r="12" spans="1:9" s="47" customFormat="1" ht="22.5" customHeight="1">
      <c r="A12" s="1741"/>
      <c r="B12" s="1742">
        <v>92106</v>
      </c>
      <c r="C12" s="1743" t="s">
        <v>572</v>
      </c>
      <c r="D12" s="689">
        <v>2000</v>
      </c>
      <c r="E12" s="1744">
        <v>30000</v>
      </c>
      <c r="F12" s="1745">
        <v>2307000</v>
      </c>
      <c r="G12" s="1745">
        <v>2307000</v>
      </c>
      <c r="H12" s="1746">
        <v>2307000</v>
      </c>
      <c r="I12" s="1747">
        <f t="shared" si="0"/>
        <v>1</v>
      </c>
    </row>
    <row r="13" spans="1:9" s="104" customFormat="1" ht="22.5" customHeight="1">
      <c r="A13" s="103"/>
      <c r="B13" s="1748"/>
      <c r="C13" s="1749" t="s">
        <v>573</v>
      </c>
      <c r="D13" s="1750"/>
      <c r="E13" s="1751"/>
      <c r="F13" s="1752">
        <v>37000</v>
      </c>
      <c r="G13" s="1752">
        <v>37000</v>
      </c>
      <c r="H13" s="1753">
        <v>37000</v>
      </c>
      <c r="I13" s="1754">
        <f t="shared" si="0"/>
        <v>1</v>
      </c>
    </row>
    <row r="14" spans="1:9" s="47" customFormat="1" ht="22.5" customHeight="1">
      <c r="A14" s="45"/>
      <c r="B14" s="1755">
        <v>92109</v>
      </c>
      <c r="C14" s="1756" t="s">
        <v>574</v>
      </c>
      <c r="D14" s="1757">
        <v>11200</v>
      </c>
      <c r="E14" s="1758"/>
      <c r="F14" s="1759">
        <v>570000</v>
      </c>
      <c r="G14" s="1759">
        <v>570000</v>
      </c>
      <c r="H14" s="1760">
        <v>570000</v>
      </c>
      <c r="I14" s="1761">
        <f t="shared" si="0"/>
        <v>1</v>
      </c>
    </row>
    <row r="15" spans="1:9" ht="22.5" customHeight="1">
      <c r="A15" s="45"/>
      <c r="B15" s="1742">
        <v>92109</v>
      </c>
      <c r="C15" s="710" t="s">
        <v>575</v>
      </c>
      <c r="D15" s="689">
        <v>14615</v>
      </c>
      <c r="E15" s="1762">
        <v>14000</v>
      </c>
      <c r="F15" s="1745">
        <v>1020000</v>
      </c>
      <c r="G15" s="1745">
        <v>1020000</v>
      </c>
      <c r="H15" s="1746">
        <v>1020000</v>
      </c>
      <c r="I15" s="1747">
        <f t="shared" si="0"/>
        <v>1</v>
      </c>
    </row>
    <row r="16" spans="1:9" ht="22.5" customHeight="1">
      <c r="A16" s="45"/>
      <c r="B16" s="1763">
        <v>92109</v>
      </c>
      <c r="C16" s="1764" t="s">
        <v>576</v>
      </c>
      <c r="D16" s="1103">
        <v>9600</v>
      </c>
      <c r="E16" s="1765">
        <f>2493600-1445000</f>
        <v>1048600</v>
      </c>
      <c r="F16" s="1766">
        <v>735000</v>
      </c>
      <c r="G16" s="1766">
        <v>808626</v>
      </c>
      <c r="H16" s="1767">
        <f>795000+13628.2</f>
        <v>808628.2</v>
      </c>
      <c r="I16" s="1768">
        <f>H16/G16+0.01%</f>
        <v>1.0001027206644357</v>
      </c>
    </row>
    <row r="17" spans="1:9" s="100" customFormat="1" ht="22.5" customHeight="1">
      <c r="A17" s="103"/>
      <c r="B17" s="1769"/>
      <c r="C17" s="1770" t="s">
        <v>573</v>
      </c>
      <c r="D17" s="1771"/>
      <c r="E17" s="1772"/>
      <c r="F17" s="1773">
        <v>10000</v>
      </c>
      <c r="G17" s="1773">
        <v>10000</v>
      </c>
      <c r="H17" s="1774">
        <v>10000</v>
      </c>
      <c r="I17" s="1775">
        <f aca="true" t="shared" si="1" ref="I17:I25">H17/G17</f>
        <v>1</v>
      </c>
    </row>
    <row r="18" spans="1:9" ht="22.5" customHeight="1">
      <c r="A18" s="45"/>
      <c r="B18" s="1742">
        <v>92110</v>
      </c>
      <c r="C18" s="1743" t="s">
        <v>577</v>
      </c>
      <c r="D18" s="689">
        <v>4079</v>
      </c>
      <c r="E18" s="1762">
        <v>167000</v>
      </c>
      <c r="F18" s="1745">
        <v>747000</v>
      </c>
      <c r="G18" s="1745">
        <v>747000</v>
      </c>
      <c r="H18" s="1746">
        <v>747000</v>
      </c>
      <c r="I18" s="1747">
        <f t="shared" si="1"/>
        <v>1</v>
      </c>
    </row>
    <row r="19" spans="1:9" ht="22.5" customHeight="1">
      <c r="A19" s="45"/>
      <c r="B19" s="1776">
        <v>92113</v>
      </c>
      <c r="C19" s="1764" t="s">
        <v>578</v>
      </c>
      <c r="D19" s="1103"/>
      <c r="E19" s="1765"/>
      <c r="F19" s="1766">
        <v>2130000</v>
      </c>
      <c r="G19" s="1766">
        <v>2230000</v>
      </c>
      <c r="H19" s="1767">
        <f>2130000+100000</f>
        <v>2230000</v>
      </c>
      <c r="I19" s="1768">
        <f t="shared" si="1"/>
        <v>1</v>
      </c>
    </row>
    <row r="20" spans="1:9" ht="22.5" customHeight="1">
      <c r="A20" s="45"/>
      <c r="B20" s="1777">
        <v>92116</v>
      </c>
      <c r="C20" s="1778" t="s">
        <v>579</v>
      </c>
      <c r="D20" s="527"/>
      <c r="E20" s="1316"/>
      <c r="F20" s="1779">
        <v>5500000</v>
      </c>
      <c r="G20" s="1779">
        <v>5770000</v>
      </c>
      <c r="H20" s="1780">
        <f>5750000+3093.92</f>
        <v>5753093.92</v>
      </c>
      <c r="I20" s="1781">
        <f t="shared" si="1"/>
        <v>0.9970700034662044</v>
      </c>
    </row>
    <row r="21" spans="1:9" s="100" customFormat="1" ht="22.5" customHeight="1">
      <c r="A21" s="103"/>
      <c r="B21" s="1748"/>
      <c r="C21" s="1782" t="s">
        <v>573</v>
      </c>
      <c r="D21" s="1783"/>
      <c r="E21" s="1783"/>
      <c r="F21" s="1784">
        <v>130000</v>
      </c>
      <c r="G21" s="1784">
        <v>50000</v>
      </c>
      <c r="H21" s="1785">
        <f>30000+3093.92</f>
        <v>33093.92</v>
      </c>
      <c r="I21" s="1786">
        <f t="shared" si="1"/>
        <v>0.6618784</v>
      </c>
    </row>
    <row r="22" spans="1:9" s="100" customFormat="1" ht="27" customHeight="1" thickBot="1">
      <c r="A22" s="103"/>
      <c r="B22" s="1728"/>
      <c r="C22" s="1787" t="s">
        <v>776</v>
      </c>
      <c r="D22" s="1788"/>
      <c r="E22" s="1789"/>
      <c r="F22" s="1790"/>
      <c r="G22" s="1790">
        <f>G24</f>
        <v>38000</v>
      </c>
      <c r="H22" s="1791">
        <f>H24</f>
        <v>38000</v>
      </c>
      <c r="I22" s="1792">
        <f t="shared" si="1"/>
        <v>1</v>
      </c>
    </row>
    <row r="23" spans="1:9" s="100" customFormat="1" ht="22.5" customHeight="1" thickTop="1">
      <c r="A23" s="103"/>
      <c r="B23" s="1728"/>
      <c r="C23" s="1735" t="s">
        <v>164</v>
      </c>
      <c r="D23" s="1736"/>
      <c r="E23" s="1737"/>
      <c r="F23" s="1738"/>
      <c r="G23" s="1738">
        <f>G25</f>
        <v>38000</v>
      </c>
      <c r="H23" s="1739">
        <f>H25</f>
        <v>38000</v>
      </c>
      <c r="I23" s="1740">
        <f t="shared" si="1"/>
        <v>1</v>
      </c>
    </row>
    <row r="24" spans="1:9" s="47" customFormat="1" ht="22.5" customHeight="1">
      <c r="A24" s="1741"/>
      <c r="B24" s="1777">
        <v>92109</v>
      </c>
      <c r="C24" s="710" t="s">
        <v>575</v>
      </c>
      <c r="D24" s="527">
        <v>2000</v>
      </c>
      <c r="E24" s="1793">
        <v>30000</v>
      </c>
      <c r="F24" s="1779"/>
      <c r="G24" s="1779">
        <v>38000</v>
      </c>
      <c r="H24" s="1780">
        <v>38000</v>
      </c>
      <c r="I24" s="1781">
        <f t="shared" si="1"/>
        <v>1</v>
      </c>
    </row>
    <row r="25" spans="1:9" s="104" customFormat="1" ht="22.5" customHeight="1">
      <c r="A25" s="101"/>
      <c r="B25" s="1794"/>
      <c r="C25" s="1795" t="s">
        <v>573</v>
      </c>
      <c r="D25" s="1783"/>
      <c r="E25" s="1796"/>
      <c r="F25" s="1784"/>
      <c r="G25" s="1784">
        <v>38000</v>
      </c>
      <c r="H25" s="1785">
        <v>38000</v>
      </c>
      <c r="I25" s="1786">
        <f t="shared" si="1"/>
        <v>1</v>
      </c>
    </row>
    <row r="26" ht="19.5" customHeight="1"/>
    <row r="28" spans="3:7" ht="12.75">
      <c r="C28" s="417" t="s">
        <v>287</v>
      </c>
      <c r="G28" t="s">
        <v>289</v>
      </c>
    </row>
    <row r="29" spans="3:7" ht="12.75">
      <c r="C29" s="417" t="s">
        <v>288</v>
      </c>
      <c r="G29" t="s">
        <v>290</v>
      </c>
    </row>
  </sheetData>
  <printOptions horizontalCentered="1"/>
  <pageMargins left="0.5905511811023623" right="0.5905511811023623" top="0.6692913385826772" bottom="0.6692913385826772" header="0.5118110236220472" footer="0.5118110236220472"/>
  <pageSetup firstPageNumber="73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2007-03-19T10:42:21Z</cp:lastPrinted>
  <dcterms:created xsi:type="dcterms:W3CDTF">2000-10-16T12:51:24Z</dcterms:created>
  <dcterms:modified xsi:type="dcterms:W3CDTF">2007-03-22T11:51:02Z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