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ozab" sheetId="1" r:id="rId1"/>
  </sheets>
  <definedNames>
    <definedName name="_xlnm.Print_Titles" localSheetId="0">'pozab'!$7:$10</definedName>
  </definedNames>
  <calcPr fullCalcOnLoad="1"/>
</workbook>
</file>

<file path=xl/sharedStrings.xml><?xml version="1.0" encoding="utf-8"?>
<sst xmlns="http://schemas.openxmlformats.org/spreadsheetml/2006/main" count="97" uniqueCount="77">
  <si>
    <t>w  złotych</t>
  </si>
  <si>
    <t>Dział</t>
  </si>
  <si>
    <t>Rozdz.</t>
  </si>
  <si>
    <t>Treść</t>
  </si>
  <si>
    <t xml:space="preserve">Zadania własne </t>
  </si>
  <si>
    <t xml:space="preserve">Razem zakłady budżetowe </t>
  </si>
  <si>
    <t>Lubelski Ośrodek Informacji Turystycznej</t>
  </si>
  <si>
    <t>Zarząd Nieruchomości Komunalnych</t>
  </si>
  <si>
    <t>Razem gospodarstwa pomocnicze</t>
  </si>
  <si>
    <t>Oświata i wychowanie</t>
  </si>
  <si>
    <t>Lubelskie Centrum Edukacji Zawodowej                                      Warsztaty Szkolne</t>
  </si>
  <si>
    <t>Edukacyjna opieka wychowawcza</t>
  </si>
  <si>
    <t>Szkoły podstawowe</t>
  </si>
  <si>
    <t>Licea ogólnokształcące</t>
  </si>
  <si>
    <t>Szkoły artystyczne</t>
  </si>
  <si>
    <t>Żłobki</t>
  </si>
  <si>
    <t>Placówki wychowania pozaszkolnego</t>
  </si>
  <si>
    <t>Komendy powiatowe Państwowej Straży Pożarnej</t>
  </si>
  <si>
    <t>Urzędy miast i miast na prawach powiatu</t>
  </si>
  <si>
    <t>Domy pomocy społecznej</t>
  </si>
  <si>
    <t>Gimnazja</t>
  </si>
  <si>
    <t>Szkoły zawodowe</t>
  </si>
  <si>
    <t>Pozostała działalność</t>
  </si>
  <si>
    <t>Ośrodki wsparcia</t>
  </si>
  <si>
    <t>Specjalne ośrodki szkolno - wychowawcze</t>
  </si>
  <si>
    <t>Przedszkola</t>
  </si>
  <si>
    <t>Administracja publiczna</t>
  </si>
  <si>
    <t>Młodzieżowe ośrodki socjoterapii</t>
  </si>
  <si>
    <t>Szkoły podstawowe specjalne</t>
  </si>
  <si>
    <t>Internaty i bursy szkolne</t>
  </si>
  <si>
    <t>Pomoc społeczna</t>
  </si>
  <si>
    <t>Pozostałe zadania w zakresie polityki społecznej</t>
  </si>
  <si>
    <t>Zadania z zakresu administracji rządowej wykonywane przez powiat</t>
  </si>
  <si>
    <t>dotacje celowe na inwestycje</t>
  </si>
  <si>
    <t>ogółem</t>
  </si>
  <si>
    <t>Zespół Szkół Samochodowych 
im. St. Syroczyńskiego
Warsztaty Szkolne</t>
  </si>
  <si>
    <t xml:space="preserve">w tym: dotacja
z budżetu                                </t>
  </si>
  <si>
    <t xml:space="preserve">w tym:             wynagrodzenia  </t>
  </si>
  <si>
    <t xml:space="preserve">Ogółem </t>
  </si>
  <si>
    <t>Zespół Szkół nr 3                             Warsztaty Szkolne</t>
  </si>
  <si>
    <t>Zespół Szkół nr 5                          Warsztaty Szkolne</t>
  </si>
  <si>
    <t>Specjalny Ośrodek Szkolno - Wychowawczy nr 1 
Warsztaty Szkolne</t>
  </si>
  <si>
    <t>Placówki opiekuńczo - wychowawcze</t>
  </si>
  <si>
    <t>Razem rachunki dochodów własnych</t>
  </si>
  <si>
    <t>Powiatowe urzędy pracy</t>
  </si>
  <si>
    <t>Centrum Integracji Społecznej "Integro"</t>
  </si>
  <si>
    <t>%</t>
  </si>
  <si>
    <t>Przychody</t>
  </si>
  <si>
    <t>Plan na 2006 rok
wg uchwały budżetowej</t>
  </si>
  <si>
    <t>Plan na 2006 rok 
po zmianach</t>
  </si>
  <si>
    <t>16:14</t>
  </si>
  <si>
    <t>17:15</t>
  </si>
  <si>
    <t>8:6</t>
  </si>
  <si>
    <t>9:7</t>
  </si>
  <si>
    <t>Wydatki</t>
  </si>
  <si>
    <t>Straż Miejska</t>
  </si>
  <si>
    <t>Ośrodki pomocy społecznej</t>
  </si>
  <si>
    <t>Ośrodki adopcyjno-opiekuńcze</t>
  </si>
  <si>
    <t>Załącznik nr 8</t>
  </si>
  <si>
    <t>Miejski Ośrodek Sportu 
i Rekreacji "Bystrzyca"</t>
  </si>
  <si>
    <t>Państwowe Szkoły Budownictwa i Geodezji 
Warsztaty Szkolne</t>
  </si>
  <si>
    <t>Centra kształcenia ustawicznego i praktycznego oraz ośrodki dokształcania zawodowego</t>
  </si>
  <si>
    <t>Plan na 2006 rok
po zmianach</t>
  </si>
  <si>
    <t>Bezpieczeństwo publiczne 
i ochrona przeciwpożarowa</t>
  </si>
  <si>
    <t xml:space="preserve">Zestawienie przychodów i wydatków zakładów budżetowych, gospodarstw pomocniczych </t>
  </si>
  <si>
    <t>oraz dochodów i wydatków rachunków dochodów własnych</t>
  </si>
  <si>
    <t>Wykonanie na
31 grudnia 2006 roku</t>
  </si>
  <si>
    <t>Wydatki na zadania ustawowo zlecone gminie</t>
  </si>
  <si>
    <t>Przedszkola specjalne</t>
  </si>
  <si>
    <t>Licea profilowane</t>
  </si>
  <si>
    <t>do uchwały nr</t>
  </si>
  <si>
    <t>Rady Miasta Lublin</t>
  </si>
  <si>
    <t>z dnia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</si>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</sst>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wrapText="1"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11" xfId="0" applyNumberFormat="1" applyFont="1" applyBorder="1" applyAlignment="1" quotePrefix="1">
      <alignment horizontal="right"/>
    </xf>
    <xf numFmtId="0" fontId="1" fillId="0" borderId="5" xfId="0" applyNumberFormat="1" applyFont="1" applyBorder="1" applyAlignment="1">
      <alignment/>
    </xf>
    <xf numFmtId="3" fontId="1" fillId="0" borderId="12" xfId="0" applyNumberFormat="1" applyFont="1" applyBorder="1" applyAlignment="1" quotePrefix="1">
      <alignment horizontal="right"/>
    </xf>
    <xf numFmtId="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8" fillId="2" borderId="9" xfId="0" applyNumberFormat="1" applyFont="1" applyFill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/>
    </xf>
    <xf numFmtId="0" fontId="1" fillId="2" borderId="22" xfId="0" applyNumberFormat="1" applyFont="1" applyFill="1" applyBorder="1" applyAlignment="1">
      <alignment/>
    </xf>
    <xf numFmtId="0" fontId="1" fillId="2" borderId="23" xfId="0" applyFont="1" applyFill="1" applyBorder="1" applyAlignment="1">
      <alignment wrapText="1"/>
    </xf>
    <xf numFmtId="3" fontId="1" fillId="2" borderId="17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3" fontId="1" fillId="2" borderId="9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2" borderId="12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3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2" borderId="18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0" fontId="1" fillId="0" borderId="17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 horizontal="right"/>
    </xf>
    <xf numFmtId="10" fontId="1" fillId="0" borderId="8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10" fontId="1" fillId="2" borderId="12" xfId="0" applyNumberFormat="1" applyFont="1" applyFill="1" applyBorder="1" applyAlignment="1">
      <alignment/>
    </xf>
    <xf numFmtId="10" fontId="1" fillId="0" borderId="8" xfId="0" applyNumberFormat="1" applyFont="1" applyBorder="1" applyAlignment="1">
      <alignment wrapText="1"/>
    </xf>
    <xf numFmtId="10" fontId="1" fillId="0" borderId="11" xfId="0" applyNumberFormat="1" applyFont="1" applyBorder="1" applyAlignment="1">
      <alignment/>
    </xf>
    <xf numFmtId="10" fontId="1" fillId="2" borderId="8" xfId="0" applyNumberFormat="1" applyFont="1" applyFill="1" applyBorder="1" applyAlignment="1">
      <alignment/>
    </xf>
    <xf numFmtId="10" fontId="3" fillId="0" borderId="16" xfId="0" applyNumberFormat="1" applyFont="1" applyBorder="1" applyAlignment="1">
      <alignment/>
    </xf>
    <xf numFmtId="10" fontId="1" fillId="0" borderId="8" xfId="0" applyNumberFormat="1" applyFont="1" applyFill="1" applyBorder="1" applyAlignment="1">
      <alignment/>
    </xf>
    <xf numFmtId="10" fontId="3" fillId="0" borderId="20" xfId="0" applyNumberFormat="1" applyFont="1" applyFill="1" applyBorder="1" applyAlignment="1">
      <alignment horizontal="right" vertical="center" wrapText="1"/>
    </xf>
    <xf numFmtId="10" fontId="1" fillId="0" borderId="16" xfId="0" applyNumberFormat="1" applyFont="1" applyFill="1" applyBorder="1" applyAlignment="1">
      <alignment/>
    </xf>
    <xf numFmtId="10" fontId="1" fillId="2" borderId="19" xfId="0" applyNumberFormat="1" applyFont="1" applyFill="1" applyBorder="1" applyAlignment="1">
      <alignment/>
    </xf>
    <xf numFmtId="10" fontId="1" fillId="0" borderId="19" xfId="0" applyNumberFormat="1" applyFont="1" applyBorder="1" applyAlignment="1">
      <alignment/>
    </xf>
    <xf numFmtId="10" fontId="1" fillId="0" borderId="29" xfId="0" applyNumberFormat="1" applyFont="1" applyBorder="1" applyAlignment="1">
      <alignment vertical="center"/>
    </xf>
    <xf numFmtId="10" fontId="1" fillId="0" borderId="16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0" fontId="3" fillId="0" borderId="20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wrapText="1"/>
    </xf>
    <xf numFmtId="4" fontId="1" fillId="2" borderId="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2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3" fillId="3" borderId="31" xfId="0" applyNumberFormat="1" applyFont="1" applyFill="1" applyBorder="1" applyAlignment="1">
      <alignment horizontal="right"/>
    </xf>
    <xf numFmtId="0" fontId="3" fillId="3" borderId="31" xfId="0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 wrapText="1"/>
    </xf>
    <xf numFmtId="3" fontId="7" fillId="3" borderId="31" xfId="0" applyNumberFormat="1" applyFont="1" applyFill="1" applyBorder="1" applyAlignment="1">
      <alignment horizontal="right"/>
    </xf>
    <xf numFmtId="4" fontId="7" fillId="3" borderId="31" xfId="0" applyNumberFormat="1" applyFont="1" applyFill="1" applyBorder="1" applyAlignment="1">
      <alignment horizontal="right"/>
    </xf>
    <xf numFmtId="10" fontId="7" fillId="3" borderId="3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10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left" wrapText="1"/>
    </xf>
    <xf numFmtId="4" fontId="4" fillId="0" borderId="35" xfId="0" applyNumberFormat="1" applyFont="1" applyBorder="1" applyAlignment="1">
      <alignment/>
    </xf>
    <xf numFmtId="10" fontId="4" fillId="0" borderId="35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left" wrapText="1"/>
    </xf>
    <xf numFmtId="4" fontId="4" fillId="0" borderId="37" xfId="0" applyNumberFormat="1" applyFont="1" applyBorder="1" applyAlignment="1">
      <alignment/>
    </xf>
    <xf numFmtId="10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 horizontal="left" wrapText="1"/>
    </xf>
    <xf numFmtId="3" fontId="4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10" fontId="4" fillId="0" borderId="37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" fillId="2" borderId="12" xfId="0" applyNumberFormat="1" applyFont="1" applyFill="1" applyBorder="1" applyAlignment="1" quotePrefix="1">
      <alignment horizontal="right"/>
    </xf>
    <xf numFmtId="0" fontId="1" fillId="2" borderId="14" xfId="0" applyFont="1" applyFill="1" applyBorder="1" applyAlignment="1">
      <alignment wrapText="1"/>
    </xf>
    <xf numFmtId="3" fontId="5" fillId="0" borderId="39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39" xfId="0" applyFont="1" applyBorder="1" applyAlignment="1">
      <alignment horizontal="left" wrapText="1"/>
    </xf>
    <xf numFmtId="4" fontId="5" fillId="0" borderId="39" xfId="0" applyNumberFormat="1" applyFont="1" applyBorder="1" applyAlignment="1">
      <alignment/>
    </xf>
    <xf numFmtId="10" fontId="5" fillId="0" borderId="39" xfId="0" applyNumberFormat="1" applyFont="1" applyBorder="1" applyAlignment="1">
      <alignment/>
    </xf>
    <xf numFmtId="3" fontId="5" fillId="0" borderId="16" xfId="0" applyNumberFormat="1" applyFont="1" applyBorder="1" applyAlignment="1" quotePrefix="1">
      <alignment horizontal="right"/>
    </xf>
    <xf numFmtId="0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10" fontId="5" fillId="0" borderId="16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5" fillId="2" borderId="16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10" fontId="5" fillId="2" borderId="16" xfId="0" applyNumberFormat="1" applyFont="1" applyFill="1" applyBorder="1" applyAlignment="1">
      <alignment/>
    </xf>
    <xf numFmtId="3" fontId="5" fillId="2" borderId="29" xfId="0" applyNumberFormat="1" applyFont="1" applyFill="1" applyBorder="1" applyAlignment="1">
      <alignment/>
    </xf>
    <xf numFmtId="4" fontId="5" fillId="2" borderId="29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6" fillId="3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tabSelected="1" zoomScale="85" zoomScaleNormal="85" workbookViewId="0" topLeftCell="A1">
      <selection activeCell="I84" sqref="I84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25.125" style="0" customWidth="1"/>
    <col min="4" max="7" width="13.25390625" style="0" customWidth="1"/>
    <col min="8" max="8" width="14.625" style="0" customWidth="1"/>
    <col min="9" max="9" width="13.25390625" style="0" customWidth="1"/>
    <col min="10" max="11" width="9.75390625" style="0" customWidth="1"/>
    <col min="12" max="12" width="13.75390625" style="0" customWidth="1"/>
    <col min="13" max="13" width="14.875" style="0" customWidth="1"/>
    <col min="14" max="14" width="13.75390625" style="0" customWidth="1"/>
    <col min="15" max="15" width="14.875" style="0" customWidth="1"/>
    <col min="16" max="16" width="14.75390625" style="0" customWidth="1"/>
    <col min="17" max="17" width="14.875" style="0" customWidth="1"/>
    <col min="18" max="19" width="9.75390625" style="0" customWidth="1"/>
    <col min="21" max="21" width="9.75390625" style="0" bestFit="1" customWidth="1"/>
  </cols>
  <sheetData>
    <row r="1" spans="1:17" s="4" customFormat="1" ht="16.5" customHeight="1">
      <c r="A1" s="1"/>
      <c r="B1" s="2"/>
      <c r="C1" s="193" t="s">
        <v>64</v>
      </c>
      <c r="D1" s="194"/>
      <c r="E1" s="195"/>
      <c r="F1" s="194"/>
      <c r="G1" s="195"/>
      <c r="H1" s="194"/>
      <c r="Q1" s="144" t="s">
        <v>58</v>
      </c>
    </row>
    <row r="2" spans="1:19" s="4" customFormat="1" ht="16.5" customHeight="1">
      <c r="A2" s="1"/>
      <c r="B2" s="2"/>
      <c r="C2" s="258" t="s">
        <v>65</v>
      </c>
      <c r="D2" s="259"/>
      <c r="E2" s="259"/>
      <c r="F2" s="259"/>
      <c r="G2" s="259"/>
      <c r="H2" s="259"/>
      <c r="I2" s="7"/>
      <c r="J2" s="7"/>
      <c r="K2" s="7"/>
      <c r="Q2" s="144" t="s">
        <v>70</v>
      </c>
      <c r="R2" s="7"/>
      <c r="S2" s="7"/>
    </row>
    <row r="3" spans="1:19" s="4" customFormat="1" ht="16.5" customHeight="1">
      <c r="A3" s="1"/>
      <c r="B3" s="5"/>
      <c r="I3" s="8"/>
      <c r="J3" s="8"/>
      <c r="K3" s="8"/>
      <c r="Q3" s="144" t="s">
        <v>71</v>
      </c>
      <c r="R3" s="8"/>
      <c r="S3" s="8"/>
    </row>
    <row r="4" spans="1:19" s="4" customFormat="1" ht="16.5" customHeight="1">
      <c r="A4" s="1"/>
      <c r="B4" s="5"/>
      <c r="I4" s="8"/>
      <c r="J4" s="8"/>
      <c r="K4" s="8"/>
      <c r="Q4" s="144" t="s">
        <v>72</v>
      </c>
      <c r="R4" s="8"/>
      <c r="S4" s="8"/>
    </row>
    <row r="5" spans="1:19" s="4" customFormat="1" ht="9.75" customHeight="1">
      <c r="A5" s="1"/>
      <c r="B5" s="2"/>
      <c r="C5" s="3"/>
      <c r="D5" s="6"/>
      <c r="E5" s="7"/>
      <c r="F5" s="6"/>
      <c r="G5" s="7"/>
      <c r="H5" s="6"/>
      <c r="I5" s="7"/>
      <c r="J5" s="7"/>
      <c r="K5" s="7"/>
      <c r="Q5" s="144"/>
      <c r="R5" s="7"/>
      <c r="S5" s="7"/>
    </row>
    <row r="6" spans="1:19" s="4" customFormat="1" ht="15" customHeight="1" thickBot="1">
      <c r="A6" s="77"/>
      <c r="B6" s="78"/>
      <c r="C6" s="7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R6" s="16" t="s">
        <v>0</v>
      </c>
      <c r="S6" s="16"/>
    </row>
    <row r="7" spans="1:19" s="4" customFormat="1" ht="19.5" customHeight="1" thickBot="1" thickTop="1">
      <c r="A7" s="83"/>
      <c r="B7" s="84"/>
      <c r="C7" s="85"/>
      <c r="D7" s="86"/>
      <c r="E7" s="87"/>
      <c r="F7" s="87"/>
      <c r="G7" s="90" t="s">
        <v>47</v>
      </c>
      <c r="H7" s="87"/>
      <c r="I7" s="87"/>
      <c r="J7" s="87"/>
      <c r="K7" s="88"/>
      <c r="L7" s="86"/>
      <c r="M7" s="87"/>
      <c r="N7" s="87"/>
      <c r="O7" s="90" t="s">
        <v>54</v>
      </c>
      <c r="P7" s="87"/>
      <c r="Q7" s="87"/>
      <c r="R7" s="87"/>
      <c r="S7" s="88"/>
    </row>
    <row r="8" spans="1:46" s="6" customFormat="1" ht="32.25" customHeight="1" thickBot="1" thickTop="1">
      <c r="A8" s="80"/>
      <c r="B8" s="81"/>
      <c r="C8" s="82"/>
      <c r="D8" s="262" t="s">
        <v>48</v>
      </c>
      <c r="E8" s="263"/>
      <c r="F8" s="260" t="s">
        <v>62</v>
      </c>
      <c r="G8" s="261"/>
      <c r="H8" s="260" t="s">
        <v>66</v>
      </c>
      <c r="I8" s="261"/>
      <c r="J8" s="9" t="s">
        <v>46</v>
      </c>
      <c r="K8" s="9" t="s">
        <v>46</v>
      </c>
      <c r="L8" s="262" t="s">
        <v>48</v>
      </c>
      <c r="M8" s="263"/>
      <c r="N8" s="260" t="s">
        <v>49</v>
      </c>
      <c r="O8" s="261"/>
      <c r="P8" s="260" t="s">
        <v>66</v>
      </c>
      <c r="Q8" s="261"/>
      <c r="R8" s="9" t="s">
        <v>46</v>
      </c>
      <c r="S8" s="9" t="s">
        <v>46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15" customFormat="1" ht="39" customHeight="1" thickBot="1" thickTop="1">
      <c r="A9" s="10" t="s">
        <v>1</v>
      </c>
      <c r="B9" s="11" t="s">
        <v>2</v>
      </c>
      <c r="C9" s="12" t="s">
        <v>3</v>
      </c>
      <c r="D9" s="14" t="s">
        <v>34</v>
      </c>
      <c r="E9" s="13" t="s">
        <v>36</v>
      </c>
      <c r="F9" s="142" t="s">
        <v>34</v>
      </c>
      <c r="G9" s="141" t="s">
        <v>36</v>
      </c>
      <c r="H9" s="143" t="s">
        <v>34</v>
      </c>
      <c r="I9" s="141" t="s">
        <v>36</v>
      </c>
      <c r="J9" s="91" t="s">
        <v>52</v>
      </c>
      <c r="K9" s="91" t="s">
        <v>53</v>
      </c>
      <c r="L9" s="89" t="s">
        <v>34</v>
      </c>
      <c r="M9" s="13" t="s">
        <v>37</v>
      </c>
      <c r="N9" s="140" t="s">
        <v>34</v>
      </c>
      <c r="O9" s="141" t="s">
        <v>37</v>
      </c>
      <c r="P9" s="140" t="s">
        <v>34</v>
      </c>
      <c r="Q9" s="141" t="s">
        <v>37</v>
      </c>
      <c r="R9" s="91" t="s">
        <v>50</v>
      </c>
      <c r="S9" s="91" t="s">
        <v>51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6" customFormat="1" ht="14.25" thickBot="1" thickTop="1">
      <c r="A10" s="42">
        <v>1</v>
      </c>
      <c r="B10" s="43">
        <v>2</v>
      </c>
      <c r="C10" s="44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42">
        <v>18</v>
      </c>
      <c r="S10" s="42">
        <v>19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192" customFormat="1" ht="28.5" customHeight="1" thickBot="1" thickTop="1">
      <c r="A11" s="196"/>
      <c r="B11" s="197"/>
      <c r="C11" s="198" t="s">
        <v>38</v>
      </c>
      <c r="D11" s="199">
        <f aca="true" t="shared" si="0" ref="D11:I11">D12+D19+D30</f>
        <v>91014410</v>
      </c>
      <c r="E11" s="199">
        <f t="shared" si="0"/>
        <v>7593000</v>
      </c>
      <c r="F11" s="199">
        <f>F12+F19+F30</f>
        <v>97015238</v>
      </c>
      <c r="G11" s="199">
        <f t="shared" si="0"/>
        <v>8717454</v>
      </c>
      <c r="H11" s="200">
        <f t="shared" si="0"/>
        <v>93385742.86999999</v>
      </c>
      <c r="I11" s="200">
        <f t="shared" si="0"/>
        <v>8456262.31</v>
      </c>
      <c r="J11" s="201">
        <f aca="true" t="shared" si="1" ref="J11:K15">H11/F11</f>
        <v>0.9625884015251294</v>
      </c>
      <c r="K11" s="201">
        <f t="shared" si="1"/>
        <v>0.970038076484258</v>
      </c>
      <c r="L11" s="199">
        <f aca="true" t="shared" si="2" ref="L11:Q11">L12+L19+L30</f>
        <v>90712510</v>
      </c>
      <c r="M11" s="199">
        <f t="shared" si="2"/>
        <v>7498790</v>
      </c>
      <c r="N11" s="199">
        <f t="shared" si="2"/>
        <v>96997917</v>
      </c>
      <c r="O11" s="199">
        <f t="shared" si="2"/>
        <v>7762910</v>
      </c>
      <c r="P11" s="200">
        <f t="shared" si="2"/>
        <v>92873395.15</v>
      </c>
      <c r="Q11" s="200">
        <f t="shared" si="2"/>
        <v>7618251.390000001</v>
      </c>
      <c r="R11" s="201">
        <f>P11/N11</f>
        <v>0.9574782430637145</v>
      </c>
      <c r="S11" s="201">
        <f>Q11/O11</f>
        <v>0.9813654145159484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</row>
    <row r="12" spans="1:46" s="17" customFormat="1" ht="19.5" customHeight="1" thickBot="1">
      <c r="A12" s="210"/>
      <c r="B12" s="211"/>
      <c r="C12" s="212" t="s">
        <v>5</v>
      </c>
      <c r="D12" s="210">
        <f aca="true" t="shared" si="3" ref="D12:I12">SUM(D13:D15)</f>
        <v>74774900</v>
      </c>
      <c r="E12" s="210">
        <f t="shared" si="3"/>
        <v>6985000</v>
      </c>
      <c r="F12" s="210">
        <f>SUM(F13:F15)</f>
        <v>76491213</v>
      </c>
      <c r="G12" s="210">
        <f t="shared" si="3"/>
        <v>7445000</v>
      </c>
      <c r="H12" s="213">
        <f t="shared" si="3"/>
        <v>74448471.13</v>
      </c>
      <c r="I12" s="213">
        <f t="shared" si="3"/>
        <v>7420939.9</v>
      </c>
      <c r="J12" s="214">
        <f t="shared" si="1"/>
        <v>0.9732944244197042</v>
      </c>
      <c r="K12" s="214">
        <f t="shared" si="1"/>
        <v>0.9967682874412358</v>
      </c>
      <c r="L12" s="210">
        <f aca="true" t="shared" si="4" ref="L12:Q12">SUM(L13:L15)</f>
        <v>74461900</v>
      </c>
      <c r="M12" s="210">
        <f t="shared" si="4"/>
        <v>6326700</v>
      </c>
      <c r="N12" s="210">
        <f t="shared" si="4"/>
        <v>76104836</v>
      </c>
      <c r="O12" s="210">
        <f t="shared" si="4"/>
        <v>6426700</v>
      </c>
      <c r="P12" s="213">
        <f t="shared" si="4"/>
        <v>74403946.88</v>
      </c>
      <c r="Q12" s="213">
        <f t="shared" si="4"/>
        <v>6402128.620000001</v>
      </c>
      <c r="R12" s="214">
        <f aca="true" t="shared" si="5" ref="R12:R66">P12/N12</f>
        <v>0.977650709082403</v>
      </c>
      <c r="S12" s="214">
        <f>Q12/O12</f>
        <v>0.9961766723201645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19" s="4" customFormat="1" ht="29.25" customHeight="1" thickTop="1">
      <c r="A13" s="36">
        <v>630</v>
      </c>
      <c r="B13" s="202">
        <v>63001</v>
      </c>
      <c r="C13" s="203" t="s">
        <v>6</v>
      </c>
      <c r="D13" s="204">
        <f>201700+170000+15000</f>
        <v>386700</v>
      </c>
      <c r="E13" s="205">
        <f>15000+163000+7000</f>
        <v>185000</v>
      </c>
      <c r="F13" s="204">
        <v>386700</v>
      </c>
      <c r="G13" s="205">
        <v>185000</v>
      </c>
      <c r="H13" s="206">
        <v>337757.15</v>
      </c>
      <c r="I13" s="207">
        <v>184865</v>
      </c>
      <c r="J13" s="208">
        <f t="shared" si="1"/>
        <v>0.8734345746056376</v>
      </c>
      <c r="K13" s="208">
        <f t="shared" si="1"/>
        <v>0.9992702702702703</v>
      </c>
      <c r="L13" s="40">
        <f>15000+371700</f>
        <v>386700</v>
      </c>
      <c r="M13" s="40">
        <v>180900</v>
      </c>
      <c r="N13" s="40">
        <v>386700</v>
      </c>
      <c r="O13" s="40">
        <v>180900</v>
      </c>
      <c r="P13" s="209">
        <v>345273.87</v>
      </c>
      <c r="Q13" s="209">
        <f>156784.22+11096+7374</f>
        <v>175254.22</v>
      </c>
      <c r="R13" s="138">
        <f t="shared" si="5"/>
        <v>0.8928726920093095</v>
      </c>
      <c r="S13" s="138">
        <f>Q13/O13</f>
        <v>0.9687906025428413</v>
      </c>
    </row>
    <row r="14" spans="1:19" s="4" customFormat="1" ht="28.5" customHeight="1">
      <c r="A14" s="63">
        <v>700</v>
      </c>
      <c r="B14" s="64">
        <v>70001</v>
      </c>
      <c r="C14" s="65" t="s">
        <v>7</v>
      </c>
      <c r="D14" s="66">
        <f>67252000+1000000</f>
        <v>68252000</v>
      </c>
      <c r="E14" s="63">
        <v>5000000</v>
      </c>
      <c r="F14" s="66">
        <v>68324723</v>
      </c>
      <c r="G14" s="63">
        <v>5000000</v>
      </c>
      <c r="H14" s="171">
        <v>66330924.91</v>
      </c>
      <c r="I14" s="115">
        <v>5000000</v>
      </c>
      <c r="J14" s="128">
        <f t="shared" si="1"/>
        <v>0.9708187900008024</v>
      </c>
      <c r="K14" s="128">
        <f t="shared" si="1"/>
        <v>1</v>
      </c>
      <c r="L14" s="67">
        <f>66939000+1000000</f>
        <v>67939000</v>
      </c>
      <c r="M14" s="67">
        <v>3520000</v>
      </c>
      <c r="N14" s="67">
        <v>68011723</v>
      </c>
      <c r="O14" s="67">
        <v>3520000</v>
      </c>
      <c r="P14" s="172">
        <v>66371318.6</v>
      </c>
      <c r="Q14" s="173">
        <f>3192520.85+250077.1+77402</f>
        <v>3519999.95</v>
      </c>
      <c r="R14" s="131">
        <f t="shared" si="5"/>
        <v>0.9758805640021795</v>
      </c>
      <c r="S14" s="131">
        <f>Q14/O14</f>
        <v>0.9999999857954546</v>
      </c>
    </row>
    <row r="15" spans="1:19" s="4" customFormat="1" ht="30.75" customHeight="1">
      <c r="A15" s="186">
        <v>926</v>
      </c>
      <c r="B15" s="187">
        <v>92604</v>
      </c>
      <c r="C15" s="39" t="s">
        <v>59</v>
      </c>
      <c r="D15" s="41">
        <f>4336200+1800000</f>
        <v>6136200</v>
      </c>
      <c r="E15" s="41">
        <v>1800000</v>
      </c>
      <c r="F15" s="41">
        <v>7779790</v>
      </c>
      <c r="G15" s="41">
        <v>2260000</v>
      </c>
      <c r="H15" s="174">
        <v>7779789.07</v>
      </c>
      <c r="I15" s="171">
        <v>2236074.9</v>
      </c>
      <c r="J15" s="117">
        <f t="shared" si="1"/>
        <v>0.9999998804594983</v>
      </c>
      <c r="K15" s="117">
        <f t="shared" si="1"/>
        <v>0.9894136725663717</v>
      </c>
      <c r="L15" s="46">
        <v>6136200</v>
      </c>
      <c r="M15" s="47">
        <v>2625800</v>
      </c>
      <c r="N15" s="46">
        <v>7706413</v>
      </c>
      <c r="O15" s="47">
        <v>2725800</v>
      </c>
      <c r="P15" s="175">
        <v>7687354.41</v>
      </c>
      <c r="Q15" s="176">
        <f>2332086.24+156382.95+218405.26</f>
        <v>2706874.45</v>
      </c>
      <c r="R15" s="132">
        <f t="shared" si="5"/>
        <v>0.9975269181654293</v>
      </c>
      <c r="S15" s="132">
        <f>Q15/O15</f>
        <v>0.9930568823831536</v>
      </c>
    </row>
    <row r="16" spans="1:19" s="4" customFormat="1" ht="23.25" customHeight="1">
      <c r="A16" s="51"/>
      <c r="B16" s="49"/>
      <c r="C16" s="52" t="s">
        <v>33</v>
      </c>
      <c r="D16" s="50"/>
      <c r="E16" s="62">
        <f>E17+E18</f>
        <v>8900000</v>
      </c>
      <c r="F16" s="62">
        <f>F17</f>
        <v>350634</v>
      </c>
      <c r="G16" s="62">
        <f>G17+G18</f>
        <v>16047114</v>
      </c>
      <c r="H16" s="183">
        <f>H17</f>
        <v>350634</v>
      </c>
      <c r="I16" s="183">
        <f>I17+I18</f>
        <v>14343651.49</v>
      </c>
      <c r="J16" s="129"/>
      <c r="K16" s="129">
        <f>I16/G16</f>
        <v>0.8938461763280301</v>
      </c>
      <c r="L16" s="61">
        <f>L17+L18</f>
        <v>8900000</v>
      </c>
      <c r="M16" s="50"/>
      <c r="N16" s="61">
        <f>N17+N18</f>
        <v>16397748</v>
      </c>
      <c r="O16" s="50"/>
      <c r="P16" s="184">
        <f>P17+P18</f>
        <v>14694285.49</v>
      </c>
      <c r="Q16" s="182"/>
      <c r="R16" s="145">
        <f t="shared" si="5"/>
        <v>0.896116069718842</v>
      </c>
      <c r="S16" s="133"/>
    </row>
    <row r="17" spans="1:19" s="4" customFormat="1" ht="27" customHeight="1">
      <c r="A17" s="111">
        <v>700</v>
      </c>
      <c r="B17" s="188">
        <v>70001</v>
      </c>
      <c r="C17" s="60" t="s">
        <v>7</v>
      </c>
      <c r="D17" s="111"/>
      <c r="E17" s="111">
        <v>1500000</v>
      </c>
      <c r="F17" s="181">
        <v>350634</v>
      </c>
      <c r="G17" s="111">
        <v>1745000</v>
      </c>
      <c r="H17" s="179">
        <v>350634</v>
      </c>
      <c r="I17" s="185">
        <v>1745000</v>
      </c>
      <c r="J17" s="130"/>
      <c r="K17" s="130">
        <f aca="true" t="shared" si="6" ref="K17:K27">I17/G17</f>
        <v>1</v>
      </c>
      <c r="L17" s="111">
        <v>1500000</v>
      </c>
      <c r="M17" s="111"/>
      <c r="N17" s="111">
        <v>2095634</v>
      </c>
      <c r="O17" s="111"/>
      <c r="P17" s="185">
        <v>2095634</v>
      </c>
      <c r="Q17" s="179"/>
      <c r="R17" s="134">
        <f t="shared" si="5"/>
        <v>1</v>
      </c>
      <c r="S17" s="134"/>
    </row>
    <row r="18" spans="1:19" s="4" customFormat="1" ht="28.5" customHeight="1">
      <c r="A18" s="111">
        <v>926</v>
      </c>
      <c r="B18" s="189">
        <v>92604</v>
      </c>
      <c r="C18" s="92" t="s">
        <v>59</v>
      </c>
      <c r="D18" s="112"/>
      <c r="E18" s="113">
        <v>7400000</v>
      </c>
      <c r="F18" s="112"/>
      <c r="G18" s="113">
        <v>14302114</v>
      </c>
      <c r="H18" s="177"/>
      <c r="I18" s="178">
        <v>12598651.49</v>
      </c>
      <c r="J18" s="118"/>
      <c r="K18" s="118">
        <f t="shared" si="6"/>
        <v>0.8808943551981196</v>
      </c>
      <c r="L18" s="111">
        <v>7400000</v>
      </c>
      <c r="M18" s="114"/>
      <c r="N18" s="111">
        <v>14302114</v>
      </c>
      <c r="O18" s="114"/>
      <c r="P18" s="179">
        <v>12598651.49</v>
      </c>
      <c r="Q18" s="180"/>
      <c r="R18" s="135">
        <f t="shared" si="5"/>
        <v>0.8808943551981196</v>
      </c>
      <c r="S18" s="135"/>
    </row>
    <row r="19" spans="1:46" s="25" customFormat="1" ht="26.25" customHeight="1" thickBot="1">
      <c r="A19" s="215"/>
      <c r="B19" s="216"/>
      <c r="C19" s="217" t="s">
        <v>8</v>
      </c>
      <c r="D19" s="215">
        <f aca="true" t="shared" si="7" ref="D19:I19">D20+D26+D28</f>
        <v>3088800</v>
      </c>
      <c r="E19" s="215">
        <f t="shared" si="7"/>
        <v>608000</v>
      </c>
      <c r="F19" s="215">
        <f t="shared" si="7"/>
        <v>3949871</v>
      </c>
      <c r="G19" s="215">
        <f t="shared" si="7"/>
        <v>1272454</v>
      </c>
      <c r="H19" s="218">
        <f t="shared" si="7"/>
        <v>3533292.78</v>
      </c>
      <c r="I19" s="218">
        <f t="shared" si="7"/>
        <v>1035322.41</v>
      </c>
      <c r="J19" s="219">
        <f aca="true" t="shared" si="8" ref="J19:J66">H19/F19</f>
        <v>0.89453371515171</v>
      </c>
      <c r="K19" s="219">
        <f t="shared" si="6"/>
        <v>0.813642308484236</v>
      </c>
      <c r="L19" s="215">
        <f aca="true" t="shared" si="9" ref="L19:Q19">L20+L26+L28</f>
        <v>3088800</v>
      </c>
      <c r="M19" s="215">
        <f t="shared" si="9"/>
        <v>1172090</v>
      </c>
      <c r="N19" s="215">
        <f t="shared" si="9"/>
        <v>3978049</v>
      </c>
      <c r="O19" s="215">
        <f t="shared" si="9"/>
        <v>1336210</v>
      </c>
      <c r="P19" s="218">
        <f t="shared" si="9"/>
        <v>3554512.87</v>
      </c>
      <c r="Q19" s="218">
        <f t="shared" si="9"/>
        <v>1216122.77</v>
      </c>
      <c r="R19" s="219">
        <f t="shared" si="5"/>
        <v>0.8935316960650812</v>
      </c>
      <c r="S19" s="219">
        <f aca="true" t="shared" si="10" ref="S19:S27">Q19/O19</f>
        <v>0.9101284753145089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s="25" customFormat="1" ht="21.75" customHeight="1" thickTop="1">
      <c r="A20" s="231">
        <v>801</v>
      </c>
      <c r="B20" s="232"/>
      <c r="C20" s="233" t="s">
        <v>9</v>
      </c>
      <c r="D20" s="231">
        <f aca="true" t="shared" si="11" ref="D20:I20">SUM(D21:D25)</f>
        <v>2392900</v>
      </c>
      <c r="E20" s="231">
        <f t="shared" si="11"/>
        <v>95000</v>
      </c>
      <c r="F20" s="231">
        <f t="shared" si="11"/>
        <v>2480950</v>
      </c>
      <c r="G20" s="231">
        <f t="shared" si="11"/>
        <v>95000</v>
      </c>
      <c r="H20" s="234">
        <f t="shared" si="11"/>
        <v>2325098.9</v>
      </c>
      <c r="I20" s="234">
        <f t="shared" si="11"/>
        <v>88550</v>
      </c>
      <c r="J20" s="235">
        <f t="shared" si="8"/>
        <v>0.9371808782925894</v>
      </c>
      <c r="K20" s="235">
        <f t="shared" si="6"/>
        <v>0.9321052631578948</v>
      </c>
      <c r="L20" s="231">
        <f aca="true" t="shared" si="12" ref="L20:Q20">SUM(L21:L25)</f>
        <v>2392900</v>
      </c>
      <c r="M20" s="231">
        <f t="shared" si="12"/>
        <v>864890</v>
      </c>
      <c r="N20" s="231">
        <f t="shared" si="12"/>
        <v>2480950</v>
      </c>
      <c r="O20" s="231">
        <f t="shared" si="12"/>
        <v>864890</v>
      </c>
      <c r="P20" s="234">
        <f>SUM(P21:P25)</f>
        <v>2312514.49</v>
      </c>
      <c r="Q20" s="234">
        <f t="shared" si="12"/>
        <v>780170.81</v>
      </c>
      <c r="R20" s="235">
        <f t="shared" si="5"/>
        <v>0.9321084624841292</v>
      </c>
      <c r="S20" s="235">
        <f t="shared" si="10"/>
        <v>0.9020462833423905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19" s="4" customFormat="1" ht="54" customHeight="1">
      <c r="A21" s="26"/>
      <c r="B21" s="27">
        <v>80197</v>
      </c>
      <c r="C21" s="224" t="s">
        <v>35</v>
      </c>
      <c r="D21" s="18">
        <v>430600</v>
      </c>
      <c r="E21" s="18">
        <v>15400</v>
      </c>
      <c r="F21" s="18">
        <v>454990</v>
      </c>
      <c r="G21" s="18">
        <v>15400</v>
      </c>
      <c r="H21" s="166">
        <v>454378.24</v>
      </c>
      <c r="I21" s="166">
        <v>15400</v>
      </c>
      <c r="J21" s="120">
        <f t="shared" si="8"/>
        <v>0.9986554429767687</v>
      </c>
      <c r="K21" s="120">
        <f t="shared" si="6"/>
        <v>1</v>
      </c>
      <c r="L21" s="20">
        <v>430600</v>
      </c>
      <c r="M21" s="18">
        <v>157400</v>
      </c>
      <c r="N21" s="20">
        <v>454990</v>
      </c>
      <c r="O21" s="18">
        <v>157400</v>
      </c>
      <c r="P21" s="167">
        <v>454571.83</v>
      </c>
      <c r="Q21" s="166">
        <f>111996.7+8999.97+36319.33</f>
        <v>157316</v>
      </c>
      <c r="R21" s="120">
        <f t="shared" si="5"/>
        <v>0.9990809248554914</v>
      </c>
      <c r="S21" s="120">
        <f t="shared" si="10"/>
        <v>0.9994663278271919</v>
      </c>
    </row>
    <row r="22" spans="1:19" s="4" customFormat="1" ht="28.5" customHeight="1">
      <c r="A22" s="26"/>
      <c r="B22" s="27">
        <v>80197</v>
      </c>
      <c r="C22" s="19" t="s">
        <v>39</v>
      </c>
      <c r="D22" s="18">
        <v>79200</v>
      </c>
      <c r="E22" s="18">
        <v>12900</v>
      </c>
      <c r="F22" s="18">
        <v>79200</v>
      </c>
      <c r="G22" s="18">
        <v>12900</v>
      </c>
      <c r="H22" s="166">
        <v>46010.02</v>
      </c>
      <c r="I22" s="166">
        <v>6450</v>
      </c>
      <c r="J22" s="120">
        <f t="shared" si="8"/>
        <v>0.580934595959596</v>
      </c>
      <c r="K22" s="120">
        <f t="shared" si="6"/>
        <v>0.5</v>
      </c>
      <c r="L22" s="20">
        <v>79200</v>
      </c>
      <c r="M22" s="18">
        <v>40000</v>
      </c>
      <c r="N22" s="20">
        <v>79200</v>
      </c>
      <c r="O22" s="18">
        <v>40000</v>
      </c>
      <c r="P22" s="167">
        <v>46003.56</v>
      </c>
      <c r="Q22" s="166">
        <f>16563.43+1213.79</f>
        <v>17777.22</v>
      </c>
      <c r="R22" s="120">
        <f t="shared" si="5"/>
        <v>0.5808530303030303</v>
      </c>
      <c r="S22" s="120">
        <f t="shared" si="10"/>
        <v>0.4444305</v>
      </c>
    </row>
    <row r="23" spans="1:19" s="4" customFormat="1" ht="27.75" customHeight="1">
      <c r="A23" s="26"/>
      <c r="B23" s="27">
        <v>80197</v>
      </c>
      <c r="C23" s="30" t="s">
        <v>40</v>
      </c>
      <c r="D23" s="21">
        <v>1388200</v>
      </c>
      <c r="E23" s="21">
        <v>6100</v>
      </c>
      <c r="F23" s="21">
        <v>1434640</v>
      </c>
      <c r="G23" s="21">
        <v>6100</v>
      </c>
      <c r="H23" s="161">
        <v>1433733.68</v>
      </c>
      <c r="I23" s="161">
        <v>6100</v>
      </c>
      <c r="J23" s="119">
        <f t="shared" si="8"/>
        <v>0.9993682596330786</v>
      </c>
      <c r="K23" s="119">
        <f t="shared" si="6"/>
        <v>1</v>
      </c>
      <c r="L23" s="23">
        <v>1388200</v>
      </c>
      <c r="M23" s="18">
        <v>517140</v>
      </c>
      <c r="N23" s="23">
        <v>1434640</v>
      </c>
      <c r="O23" s="18">
        <v>517140</v>
      </c>
      <c r="P23" s="107">
        <v>1380166.75</v>
      </c>
      <c r="Q23" s="166">
        <f>429719.73+31260.55+7790</f>
        <v>468770.27999999997</v>
      </c>
      <c r="R23" s="120">
        <f t="shared" si="5"/>
        <v>0.9620300214688006</v>
      </c>
      <c r="S23" s="120">
        <f t="shared" si="10"/>
        <v>0.9064668755075994</v>
      </c>
    </row>
    <row r="24" spans="1:19" s="4" customFormat="1" ht="39.75" customHeight="1">
      <c r="A24" s="26"/>
      <c r="B24" s="27">
        <v>80197</v>
      </c>
      <c r="C24" s="30" t="s">
        <v>10</v>
      </c>
      <c r="D24" s="63">
        <v>459400</v>
      </c>
      <c r="E24" s="21">
        <v>57900</v>
      </c>
      <c r="F24" s="63">
        <v>459400</v>
      </c>
      <c r="G24" s="21">
        <v>57900</v>
      </c>
      <c r="H24" s="170">
        <v>339290.61</v>
      </c>
      <c r="I24" s="161">
        <v>57900</v>
      </c>
      <c r="J24" s="119">
        <f t="shared" si="8"/>
        <v>0.7385516107966913</v>
      </c>
      <c r="K24" s="119">
        <f t="shared" si="6"/>
        <v>1</v>
      </c>
      <c r="L24" s="71">
        <v>459400</v>
      </c>
      <c r="M24" s="18">
        <v>143700</v>
      </c>
      <c r="N24" s="71">
        <v>459400</v>
      </c>
      <c r="O24" s="18">
        <v>143700</v>
      </c>
      <c r="P24" s="108">
        <v>379978.72</v>
      </c>
      <c r="Q24" s="166">
        <f>113590.85+9487.66+7500</f>
        <v>130578.51000000001</v>
      </c>
      <c r="R24" s="120">
        <f t="shared" si="5"/>
        <v>0.8271195472355245</v>
      </c>
      <c r="S24" s="120">
        <f t="shared" si="10"/>
        <v>0.9086883089770356</v>
      </c>
    </row>
    <row r="25" spans="1:19" s="4" customFormat="1" ht="40.5" customHeight="1">
      <c r="A25" s="28"/>
      <c r="B25" s="29">
        <v>80197</v>
      </c>
      <c r="C25" s="31" t="s">
        <v>60</v>
      </c>
      <c r="D25" s="32">
        <v>35500</v>
      </c>
      <c r="E25" s="32">
        <v>2700</v>
      </c>
      <c r="F25" s="32">
        <v>52720</v>
      </c>
      <c r="G25" s="32">
        <v>2700</v>
      </c>
      <c r="H25" s="104">
        <v>51686.35</v>
      </c>
      <c r="I25" s="104">
        <v>2700</v>
      </c>
      <c r="J25" s="121">
        <f t="shared" si="8"/>
        <v>0.9803935887708649</v>
      </c>
      <c r="K25" s="121">
        <f t="shared" si="6"/>
        <v>1</v>
      </c>
      <c r="L25" s="33">
        <v>35500</v>
      </c>
      <c r="M25" s="32">
        <v>6650</v>
      </c>
      <c r="N25" s="33">
        <v>52720</v>
      </c>
      <c r="O25" s="32">
        <v>6650</v>
      </c>
      <c r="P25" s="109">
        <v>51793.63</v>
      </c>
      <c r="Q25" s="104">
        <f>5280+448.8</f>
        <v>5728.8</v>
      </c>
      <c r="R25" s="121">
        <f t="shared" si="5"/>
        <v>0.9824284901365705</v>
      </c>
      <c r="S25" s="121">
        <f t="shared" si="10"/>
        <v>0.8614736842105264</v>
      </c>
    </row>
    <row r="26" spans="1:19" s="25" customFormat="1" ht="21.75" customHeight="1">
      <c r="A26" s="236">
        <v>852</v>
      </c>
      <c r="B26" s="237"/>
      <c r="C26" s="238" t="s">
        <v>30</v>
      </c>
      <c r="D26" s="48">
        <f aca="true" t="shared" si="13" ref="D26:I26">D27</f>
        <v>595000</v>
      </c>
      <c r="E26" s="48">
        <f t="shared" si="13"/>
        <v>480000</v>
      </c>
      <c r="F26" s="48">
        <f t="shared" si="13"/>
        <v>1259454</v>
      </c>
      <c r="G26" s="48">
        <f t="shared" si="13"/>
        <v>1144454</v>
      </c>
      <c r="H26" s="162">
        <f t="shared" si="13"/>
        <v>999265.42</v>
      </c>
      <c r="I26" s="162">
        <f t="shared" si="13"/>
        <v>913772.41</v>
      </c>
      <c r="J26" s="239">
        <f t="shared" si="8"/>
        <v>0.7934116053464438</v>
      </c>
      <c r="K26" s="239">
        <f t="shared" si="6"/>
        <v>0.7984352451037787</v>
      </c>
      <c r="L26" s="240">
        <f aca="true" t="shared" si="14" ref="L26:Q26">L27</f>
        <v>595000</v>
      </c>
      <c r="M26" s="48">
        <f t="shared" si="14"/>
        <v>287600</v>
      </c>
      <c r="N26" s="240">
        <f>N27</f>
        <v>1287632</v>
      </c>
      <c r="O26" s="48">
        <f t="shared" si="14"/>
        <v>451720</v>
      </c>
      <c r="P26" s="241">
        <f t="shared" si="14"/>
        <v>1033824.56</v>
      </c>
      <c r="Q26" s="162">
        <f t="shared" si="14"/>
        <v>417640.98</v>
      </c>
      <c r="R26" s="239">
        <f t="shared" si="5"/>
        <v>0.8028882165090647</v>
      </c>
      <c r="S26" s="239">
        <f t="shared" si="10"/>
        <v>0.9245572035774373</v>
      </c>
    </row>
    <row r="27" spans="1:19" s="4" customFormat="1" ht="27" customHeight="1">
      <c r="A27" s="229"/>
      <c r="B27" s="93">
        <v>85232</v>
      </c>
      <c r="C27" s="230" t="s">
        <v>45</v>
      </c>
      <c r="D27" s="72">
        <f>480000+115000</f>
        <v>595000</v>
      </c>
      <c r="E27" s="72">
        <v>480000</v>
      </c>
      <c r="F27" s="72">
        <v>1259454</v>
      </c>
      <c r="G27" s="72">
        <v>1144454</v>
      </c>
      <c r="H27" s="164">
        <v>999265.42</v>
      </c>
      <c r="I27" s="164">
        <v>913772.41</v>
      </c>
      <c r="J27" s="123">
        <f t="shared" si="8"/>
        <v>0.7934116053464438</v>
      </c>
      <c r="K27" s="123">
        <f t="shared" si="6"/>
        <v>0.7984352451037787</v>
      </c>
      <c r="L27" s="73">
        <v>595000</v>
      </c>
      <c r="M27" s="72">
        <v>287600</v>
      </c>
      <c r="N27" s="73">
        <v>1287632</v>
      </c>
      <c r="O27" s="72">
        <v>451720</v>
      </c>
      <c r="P27" s="165">
        <v>1033824.56</v>
      </c>
      <c r="Q27" s="164">
        <v>417640.98</v>
      </c>
      <c r="R27" s="123">
        <f t="shared" si="5"/>
        <v>0.8028882165090647</v>
      </c>
      <c r="S27" s="123">
        <f t="shared" si="10"/>
        <v>0.9245572035774373</v>
      </c>
    </row>
    <row r="28" spans="1:46" s="25" customFormat="1" ht="24.75" customHeight="1">
      <c r="A28" s="236">
        <v>854</v>
      </c>
      <c r="B28" s="237"/>
      <c r="C28" s="238" t="s">
        <v>11</v>
      </c>
      <c r="D28" s="48">
        <f aca="true" t="shared" si="15" ref="D28:I28">D29</f>
        <v>100900</v>
      </c>
      <c r="E28" s="48">
        <f t="shared" si="15"/>
        <v>33000</v>
      </c>
      <c r="F28" s="48">
        <f t="shared" si="15"/>
        <v>209467</v>
      </c>
      <c r="G28" s="48">
        <f t="shared" si="15"/>
        <v>33000</v>
      </c>
      <c r="H28" s="162">
        <f t="shared" si="15"/>
        <v>208928.46</v>
      </c>
      <c r="I28" s="162">
        <f t="shared" si="15"/>
        <v>33000</v>
      </c>
      <c r="J28" s="239">
        <f t="shared" si="8"/>
        <v>0.9974289983625105</v>
      </c>
      <c r="K28" s="239">
        <f>I28/G28</f>
        <v>1</v>
      </c>
      <c r="L28" s="240">
        <f aca="true" t="shared" si="16" ref="L28:Q28">L29</f>
        <v>100900</v>
      </c>
      <c r="M28" s="48">
        <f t="shared" si="16"/>
        <v>19600</v>
      </c>
      <c r="N28" s="240">
        <f t="shared" si="16"/>
        <v>209467</v>
      </c>
      <c r="O28" s="48">
        <f t="shared" si="16"/>
        <v>19600</v>
      </c>
      <c r="P28" s="241">
        <f t="shared" si="16"/>
        <v>208173.82</v>
      </c>
      <c r="Q28" s="162">
        <f t="shared" si="16"/>
        <v>18310.98</v>
      </c>
      <c r="R28" s="239">
        <f t="shared" si="5"/>
        <v>0.9938263306391938</v>
      </c>
      <c r="S28" s="239">
        <f>Q28/O28</f>
        <v>0.9342336734693877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19" s="4" customFormat="1" ht="39" customHeight="1">
      <c r="A29" s="26"/>
      <c r="B29" s="29">
        <v>85497</v>
      </c>
      <c r="C29" s="31" t="s">
        <v>41</v>
      </c>
      <c r="D29" s="72">
        <v>100900</v>
      </c>
      <c r="E29" s="32">
        <v>33000</v>
      </c>
      <c r="F29" s="72">
        <v>209467</v>
      </c>
      <c r="G29" s="32">
        <v>33000</v>
      </c>
      <c r="H29" s="164">
        <v>208928.46</v>
      </c>
      <c r="I29" s="104">
        <v>33000</v>
      </c>
      <c r="J29" s="121">
        <f t="shared" si="8"/>
        <v>0.9974289983625105</v>
      </c>
      <c r="K29" s="121">
        <f>I29/G29</f>
        <v>1</v>
      </c>
      <c r="L29" s="73">
        <v>100900</v>
      </c>
      <c r="M29" s="32">
        <v>19600</v>
      </c>
      <c r="N29" s="73">
        <v>209467</v>
      </c>
      <c r="O29" s="32">
        <v>19600</v>
      </c>
      <c r="P29" s="165">
        <v>208173.82</v>
      </c>
      <c r="Q29" s="104">
        <f>16876.48+1434.5</f>
        <v>18310.98</v>
      </c>
      <c r="R29" s="121">
        <f t="shared" si="5"/>
        <v>0.9938263306391938</v>
      </c>
      <c r="S29" s="121">
        <f>Q29/O29</f>
        <v>0.9342336734693877</v>
      </c>
    </row>
    <row r="30" spans="1:46" s="34" customFormat="1" ht="28.5" customHeight="1" thickBot="1">
      <c r="A30" s="96"/>
      <c r="B30" s="97"/>
      <c r="C30" s="220" t="s">
        <v>43</v>
      </c>
      <c r="D30" s="221">
        <f>D31+D65</f>
        <v>13150710</v>
      </c>
      <c r="E30" s="221"/>
      <c r="F30" s="221">
        <f>F31+F65+F62</f>
        <v>16574154</v>
      </c>
      <c r="G30" s="221"/>
      <c r="H30" s="222">
        <f>H31+H65+H62</f>
        <v>15403978.959999997</v>
      </c>
      <c r="I30" s="222"/>
      <c r="J30" s="223">
        <f t="shared" si="8"/>
        <v>0.9293976006256487</v>
      </c>
      <c r="K30" s="223"/>
      <c r="L30" s="221">
        <f>L31+L65</f>
        <v>13161810</v>
      </c>
      <c r="M30" s="221"/>
      <c r="N30" s="221">
        <f>N31+N65+N62</f>
        <v>16915032</v>
      </c>
      <c r="O30" s="221"/>
      <c r="P30" s="222">
        <f>P31+P65+P62</f>
        <v>14914935.399999999</v>
      </c>
      <c r="Q30" s="222"/>
      <c r="R30" s="223">
        <f t="shared" si="5"/>
        <v>0.8817562627135437</v>
      </c>
      <c r="S30" s="22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s="6" customFormat="1" ht="19.5" customHeight="1" thickTop="1">
      <c r="A31" s="101"/>
      <c r="B31" s="102"/>
      <c r="C31" s="103" t="s">
        <v>4</v>
      </c>
      <c r="D31" s="101">
        <f>D32+D34+D36+D47+D53+D56</f>
        <v>12753710</v>
      </c>
      <c r="E31" s="101"/>
      <c r="F31" s="101">
        <f>F32+F34+F36+F47+F53+F56</f>
        <v>16128016</v>
      </c>
      <c r="G31" s="101"/>
      <c r="H31" s="163">
        <f>H32+H34+H36+H47+H53+H56</f>
        <v>15117721.669999998</v>
      </c>
      <c r="I31" s="163"/>
      <c r="J31" s="122">
        <f t="shared" si="8"/>
        <v>0.9373578045805508</v>
      </c>
      <c r="K31" s="122"/>
      <c r="L31" s="101">
        <f>L32+L34+L36+L47+L53+L56</f>
        <v>12764810</v>
      </c>
      <c r="M31" s="101"/>
      <c r="N31" s="101">
        <f>N32+N34+N36+N47+N53+N56</f>
        <v>16468504</v>
      </c>
      <c r="O31" s="101"/>
      <c r="P31" s="163">
        <f>P32+P34+P36+P47+P53+P56</f>
        <v>14625683.36</v>
      </c>
      <c r="Q31" s="163"/>
      <c r="R31" s="122">
        <f t="shared" si="5"/>
        <v>0.8881003010352366</v>
      </c>
      <c r="S31" s="12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s="25" customFormat="1" ht="19.5" customHeight="1">
      <c r="A32" s="48">
        <v>750</v>
      </c>
      <c r="B32" s="237"/>
      <c r="C32" s="238" t="s">
        <v>26</v>
      </c>
      <c r="D32" s="48">
        <f>D33</f>
        <v>250000</v>
      </c>
      <c r="E32" s="48"/>
      <c r="F32" s="48">
        <f>F33</f>
        <v>292500</v>
      </c>
      <c r="G32" s="48"/>
      <c r="H32" s="162">
        <f>H33</f>
        <v>288509.74</v>
      </c>
      <c r="I32" s="162"/>
      <c r="J32" s="239">
        <f t="shared" si="8"/>
        <v>0.9863580854700854</v>
      </c>
      <c r="K32" s="239"/>
      <c r="L32" s="48">
        <f>L33</f>
        <v>250000</v>
      </c>
      <c r="M32" s="48"/>
      <c r="N32" s="48">
        <f>N33</f>
        <v>321532</v>
      </c>
      <c r="O32" s="48"/>
      <c r="P32" s="162">
        <f>P33</f>
        <v>267194.51</v>
      </c>
      <c r="Q32" s="162"/>
      <c r="R32" s="239">
        <f t="shared" si="5"/>
        <v>0.8310044101364716</v>
      </c>
      <c r="S32" s="239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19" s="4" customFormat="1" ht="24" customHeight="1">
      <c r="A33" s="72"/>
      <c r="B33" s="93">
        <v>75023</v>
      </c>
      <c r="C33" s="74" t="s">
        <v>18</v>
      </c>
      <c r="D33" s="72">
        <v>250000</v>
      </c>
      <c r="E33" s="72"/>
      <c r="F33" s="72">
        <f>42500+250000</f>
        <v>292500</v>
      </c>
      <c r="G33" s="72"/>
      <c r="H33" s="164">
        <f>42500+246009.74</f>
        <v>288509.74</v>
      </c>
      <c r="I33" s="164"/>
      <c r="J33" s="123">
        <f t="shared" si="8"/>
        <v>0.9863580854700854</v>
      </c>
      <c r="K33" s="123"/>
      <c r="L33" s="73">
        <v>250000</v>
      </c>
      <c r="M33" s="72"/>
      <c r="N33" s="73">
        <f>425+52251+268856</f>
        <v>321532</v>
      </c>
      <c r="O33" s="72"/>
      <c r="P33" s="165">
        <f>205.99+47567+219421.52</f>
        <v>267194.51</v>
      </c>
      <c r="Q33" s="164"/>
      <c r="R33" s="123">
        <f t="shared" si="5"/>
        <v>0.8310044101364716</v>
      </c>
      <c r="S33" s="123"/>
    </row>
    <row r="34" spans="1:19" s="25" customFormat="1" ht="24" customHeight="1">
      <c r="A34" s="242">
        <v>754</v>
      </c>
      <c r="B34" s="243"/>
      <c r="C34" s="238" t="s">
        <v>63</v>
      </c>
      <c r="D34" s="242"/>
      <c r="E34" s="242"/>
      <c r="F34" s="242">
        <f>F35</f>
        <v>1612</v>
      </c>
      <c r="G34" s="242"/>
      <c r="H34" s="244">
        <f>H35</f>
        <v>1612.08</v>
      </c>
      <c r="I34" s="244"/>
      <c r="J34" s="245">
        <f t="shared" si="8"/>
        <v>1.0000496277915631</v>
      </c>
      <c r="K34" s="245"/>
      <c r="L34" s="246"/>
      <c r="M34" s="242"/>
      <c r="N34" s="246">
        <f>N35</f>
        <v>1612</v>
      </c>
      <c r="O34" s="242"/>
      <c r="P34" s="247">
        <f>P35</f>
        <v>1612.08</v>
      </c>
      <c r="Q34" s="244"/>
      <c r="R34" s="245">
        <f t="shared" si="5"/>
        <v>1.0000496277915631</v>
      </c>
      <c r="S34" s="245"/>
    </row>
    <row r="35" spans="1:19" s="4" customFormat="1" ht="20.25" customHeight="1">
      <c r="A35" s="72"/>
      <c r="B35" s="93">
        <v>75416</v>
      </c>
      <c r="C35" s="74" t="s">
        <v>55</v>
      </c>
      <c r="D35" s="72"/>
      <c r="E35" s="72"/>
      <c r="F35" s="72">
        <v>1612</v>
      </c>
      <c r="G35" s="72"/>
      <c r="H35" s="164">
        <v>1612.08</v>
      </c>
      <c r="I35" s="164"/>
      <c r="J35" s="123">
        <f t="shared" si="8"/>
        <v>1.0000496277915631</v>
      </c>
      <c r="K35" s="123"/>
      <c r="L35" s="73"/>
      <c r="M35" s="72"/>
      <c r="N35" s="73">
        <v>1612</v>
      </c>
      <c r="O35" s="72"/>
      <c r="P35" s="165">
        <v>1612.08</v>
      </c>
      <c r="Q35" s="164"/>
      <c r="R35" s="123">
        <f t="shared" si="5"/>
        <v>1.0000496277915631</v>
      </c>
      <c r="S35" s="123"/>
    </row>
    <row r="36" spans="1:46" s="34" customFormat="1" ht="21" customHeight="1">
      <c r="A36" s="48">
        <v>801</v>
      </c>
      <c r="B36" s="237"/>
      <c r="C36" s="238" t="s">
        <v>9</v>
      </c>
      <c r="D36" s="48">
        <f>SUM(D37:D46)</f>
        <v>6866270</v>
      </c>
      <c r="E36" s="48"/>
      <c r="F36" s="48">
        <f>SUM(F37:F46)</f>
        <v>9105217</v>
      </c>
      <c r="G36" s="48"/>
      <c r="H36" s="162">
        <f>SUM(H37:H46)</f>
        <v>8502115.57</v>
      </c>
      <c r="I36" s="162"/>
      <c r="J36" s="239">
        <f t="shared" si="8"/>
        <v>0.933763090983993</v>
      </c>
      <c r="K36" s="239"/>
      <c r="L36" s="48">
        <f>SUM(L37:L46)</f>
        <v>6866270</v>
      </c>
      <c r="M36" s="48"/>
      <c r="N36" s="48">
        <f>SUM(N37:N46)</f>
        <v>9319064</v>
      </c>
      <c r="O36" s="48"/>
      <c r="P36" s="162">
        <f>SUM(P37:P46)</f>
        <v>8298016.869999998</v>
      </c>
      <c r="Q36" s="162"/>
      <c r="R36" s="239">
        <f t="shared" si="5"/>
        <v>0.8904345833444215</v>
      </c>
      <c r="S36" s="239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19" s="4" customFormat="1" ht="21" customHeight="1">
      <c r="A37" s="36"/>
      <c r="B37" s="27">
        <v>80101</v>
      </c>
      <c r="C37" s="19" t="s">
        <v>12</v>
      </c>
      <c r="D37" s="18">
        <v>967550</v>
      </c>
      <c r="E37" s="18"/>
      <c r="F37" s="18">
        <v>1517514</v>
      </c>
      <c r="G37" s="18"/>
      <c r="H37" s="166">
        <v>1429275.85</v>
      </c>
      <c r="I37" s="166"/>
      <c r="J37" s="120">
        <f t="shared" si="8"/>
        <v>0.9418534853714694</v>
      </c>
      <c r="K37" s="120"/>
      <c r="L37" s="20">
        <v>967550</v>
      </c>
      <c r="M37" s="18"/>
      <c r="N37" s="20">
        <v>1619564</v>
      </c>
      <c r="O37" s="18"/>
      <c r="P37" s="167">
        <v>1427761.22</v>
      </c>
      <c r="Q37" s="166"/>
      <c r="R37" s="120">
        <f t="shared" si="5"/>
        <v>0.8815713488321548</v>
      </c>
      <c r="S37" s="120"/>
    </row>
    <row r="38" spans="1:19" s="4" customFormat="1" ht="19.5" customHeight="1">
      <c r="A38" s="36"/>
      <c r="B38" s="27">
        <v>80102</v>
      </c>
      <c r="C38" s="19" t="s">
        <v>28</v>
      </c>
      <c r="D38" s="18">
        <v>9000</v>
      </c>
      <c r="E38" s="18"/>
      <c r="F38" s="18">
        <v>9050</v>
      </c>
      <c r="G38" s="18"/>
      <c r="H38" s="166">
        <v>8999.73</v>
      </c>
      <c r="I38" s="166"/>
      <c r="J38" s="120">
        <f t="shared" si="8"/>
        <v>0.9944453038674033</v>
      </c>
      <c r="K38" s="120"/>
      <c r="L38" s="20">
        <v>9000</v>
      </c>
      <c r="M38" s="20"/>
      <c r="N38" s="20">
        <v>12050</v>
      </c>
      <c r="O38" s="20"/>
      <c r="P38" s="167">
        <v>2260.88</v>
      </c>
      <c r="Q38" s="167"/>
      <c r="R38" s="136">
        <f>P38/N38</f>
        <v>0.18762489626556017</v>
      </c>
      <c r="S38" s="136"/>
    </row>
    <row r="39" spans="1:19" s="4" customFormat="1" ht="21" customHeight="1">
      <c r="A39" s="36"/>
      <c r="B39" s="37">
        <v>80104</v>
      </c>
      <c r="C39" s="30" t="s">
        <v>25</v>
      </c>
      <c r="D39" s="21">
        <v>4084700</v>
      </c>
      <c r="E39" s="21"/>
      <c r="F39" s="21">
        <v>4332697</v>
      </c>
      <c r="G39" s="21"/>
      <c r="H39" s="161">
        <v>4103653.48</v>
      </c>
      <c r="I39" s="161"/>
      <c r="J39" s="119">
        <f t="shared" si="8"/>
        <v>0.9471360402077506</v>
      </c>
      <c r="K39" s="119"/>
      <c r="L39" s="23">
        <v>4084700</v>
      </c>
      <c r="M39" s="23"/>
      <c r="N39" s="23">
        <v>4376128</v>
      </c>
      <c r="O39" s="23"/>
      <c r="P39" s="107">
        <v>4078529.38</v>
      </c>
      <c r="Q39" s="107"/>
      <c r="R39" s="137">
        <f t="shared" si="5"/>
        <v>0.9319949919197976</v>
      </c>
      <c r="S39" s="137"/>
    </row>
    <row r="40" spans="1:19" s="4" customFormat="1" ht="21" customHeight="1">
      <c r="A40" s="36"/>
      <c r="B40" s="37">
        <v>80105</v>
      </c>
      <c r="C40" s="30" t="s">
        <v>68</v>
      </c>
      <c r="D40" s="21"/>
      <c r="E40" s="21"/>
      <c r="F40" s="21">
        <v>545</v>
      </c>
      <c r="G40" s="21"/>
      <c r="H40" s="161">
        <v>544.5</v>
      </c>
      <c r="I40" s="161"/>
      <c r="J40" s="119">
        <f t="shared" si="8"/>
        <v>0.9990825688073395</v>
      </c>
      <c r="K40" s="119"/>
      <c r="L40" s="23"/>
      <c r="M40" s="23"/>
      <c r="N40" s="23">
        <v>545</v>
      </c>
      <c r="O40" s="23"/>
      <c r="P40" s="107">
        <v>544.5</v>
      </c>
      <c r="Q40" s="107"/>
      <c r="R40" s="137">
        <f t="shared" si="5"/>
        <v>0.9990825688073395</v>
      </c>
      <c r="S40" s="137"/>
    </row>
    <row r="41" spans="1:19" s="4" customFormat="1" ht="21" customHeight="1">
      <c r="A41" s="36"/>
      <c r="B41" s="37">
        <v>80110</v>
      </c>
      <c r="C41" s="30" t="s">
        <v>20</v>
      </c>
      <c r="D41" s="21">
        <v>474440</v>
      </c>
      <c r="E41" s="21"/>
      <c r="F41" s="21">
        <v>1029697</v>
      </c>
      <c r="G41" s="21"/>
      <c r="H41" s="115">
        <v>944231.18</v>
      </c>
      <c r="I41" s="161"/>
      <c r="J41" s="119">
        <f t="shared" si="8"/>
        <v>0.9169990589464668</v>
      </c>
      <c r="K41" s="119"/>
      <c r="L41" s="23">
        <v>474440</v>
      </c>
      <c r="M41" s="21"/>
      <c r="N41" s="23">
        <v>1056151</v>
      </c>
      <c r="O41" s="21"/>
      <c r="P41" s="107">
        <v>831835.06</v>
      </c>
      <c r="Q41" s="161"/>
      <c r="R41" s="119">
        <f t="shared" si="5"/>
        <v>0.7876099724376534</v>
      </c>
      <c r="S41" s="119"/>
    </row>
    <row r="42" spans="1:19" s="4" customFormat="1" ht="21" customHeight="1">
      <c r="A42" s="36"/>
      <c r="B42" s="27">
        <v>80120</v>
      </c>
      <c r="C42" s="19" t="s">
        <v>13</v>
      </c>
      <c r="D42" s="18">
        <v>296030</v>
      </c>
      <c r="E42" s="18"/>
      <c r="F42" s="18">
        <v>518880</v>
      </c>
      <c r="G42" s="18"/>
      <c r="H42" s="168">
        <v>479072.9</v>
      </c>
      <c r="I42" s="166"/>
      <c r="J42" s="120">
        <f t="shared" si="8"/>
        <v>0.9232826472402097</v>
      </c>
      <c r="K42" s="120"/>
      <c r="L42" s="18">
        <v>296030</v>
      </c>
      <c r="M42" s="18"/>
      <c r="N42" s="18">
        <v>518880</v>
      </c>
      <c r="O42" s="18"/>
      <c r="P42" s="166">
        <v>474670.55</v>
      </c>
      <c r="Q42" s="166"/>
      <c r="R42" s="120">
        <f t="shared" si="5"/>
        <v>0.9147983156028369</v>
      </c>
      <c r="S42" s="120"/>
    </row>
    <row r="43" spans="1:19" s="4" customFormat="1" ht="21" customHeight="1">
      <c r="A43" s="36"/>
      <c r="B43" s="27">
        <v>80123</v>
      </c>
      <c r="C43" s="19" t="s">
        <v>69</v>
      </c>
      <c r="D43" s="18"/>
      <c r="E43" s="18"/>
      <c r="F43" s="18">
        <v>15786</v>
      </c>
      <c r="G43" s="18"/>
      <c r="H43" s="168">
        <v>15786</v>
      </c>
      <c r="I43" s="166"/>
      <c r="J43" s="120">
        <f t="shared" si="8"/>
        <v>1</v>
      </c>
      <c r="K43" s="120"/>
      <c r="L43" s="20"/>
      <c r="M43" s="18"/>
      <c r="N43" s="20">
        <v>15786</v>
      </c>
      <c r="O43" s="18"/>
      <c r="P43" s="167">
        <v>15786</v>
      </c>
      <c r="Q43" s="166"/>
      <c r="R43" s="120">
        <f t="shared" si="5"/>
        <v>1</v>
      </c>
      <c r="S43" s="120"/>
    </row>
    <row r="44" spans="1:19" s="4" customFormat="1" ht="21" customHeight="1">
      <c r="A44" s="36"/>
      <c r="B44" s="27">
        <v>80130</v>
      </c>
      <c r="C44" s="19" t="s">
        <v>21</v>
      </c>
      <c r="D44" s="18">
        <v>674200</v>
      </c>
      <c r="E44" s="18"/>
      <c r="F44" s="18">
        <v>1051111</v>
      </c>
      <c r="G44" s="18"/>
      <c r="H44" s="166">
        <v>1023566.39</v>
      </c>
      <c r="I44" s="166"/>
      <c r="J44" s="120">
        <f t="shared" si="8"/>
        <v>0.9737947657288336</v>
      </c>
      <c r="K44" s="120"/>
      <c r="L44" s="20">
        <v>674200</v>
      </c>
      <c r="M44" s="18"/>
      <c r="N44" s="20">
        <v>1087328</v>
      </c>
      <c r="O44" s="18"/>
      <c r="P44" s="167">
        <v>1002774.08</v>
      </c>
      <c r="Q44" s="166"/>
      <c r="R44" s="120">
        <f t="shared" si="5"/>
        <v>0.9222369698931693</v>
      </c>
      <c r="S44" s="120"/>
    </row>
    <row r="45" spans="1:19" s="4" customFormat="1" ht="21" customHeight="1">
      <c r="A45" s="36"/>
      <c r="B45" s="37">
        <v>80132</v>
      </c>
      <c r="C45" s="22" t="s">
        <v>14</v>
      </c>
      <c r="D45" s="54">
        <v>22200</v>
      </c>
      <c r="E45" s="22"/>
      <c r="F45" s="54">
        <v>22200</v>
      </c>
      <c r="G45" s="22"/>
      <c r="H45" s="169">
        <v>17760.91</v>
      </c>
      <c r="I45" s="169"/>
      <c r="J45" s="124">
        <f t="shared" si="8"/>
        <v>0.800040990990991</v>
      </c>
      <c r="K45" s="124"/>
      <c r="L45" s="54">
        <v>22200</v>
      </c>
      <c r="M45" s="22"/>
      <c r="N45" s="54">
        <v>22200</v>
      </c>
      <c r="O45" s="22"/>
      <c r="P45" s="169">
        <v>14462.06</v>
      </c>
      <c r="Q45" s="169"/>
      <c r="R45" s="124">
        <f t="shared" si="5"/>
        <v>0.6514441441441441</v>
      </c>
      <c r="S45" s="124"/>
    </row>
    <row r="46" spans="1:19" s="4" customFormat="1" ht="51.75" customHeight="1">
      <c r="A46" s="32"/>
      <c r="B46" s="29">
        <v>80140</v>
      </c>
      <c r="C46" s="31" t="s">
        <v>61</v>
      </c>
      <c r="D46" s="32">
        <v>338150</v>
      </c>
      <c r="E46" s="32"/>
      <c r="F46" s="32">
        <v>607737</v>
      </c>
      <c r="G46" s="32"/>
      <c r="H46" s="104">
        <v>479224.63</v>
      </c>
      <c r="I46" s="104"/>
      <c r="J46" s="121">
        <f t="shared" si="8"/>
        <v>0.7885394998165325</v>
      </c>
      <c r="K46" s="121"/>
      <c r="L46" s="33">
        <v>338150</v>
      </c>
      <c r="M46" s="32"/>
      <c r="N46" s="33">
        <v>610432</v>
      </c>
      <c r="O46" s="32"/>
      <c r="P46" s="109">
        <v>449393.14</v>
      </c>
      <c r="Q46" s="104"/>
      <c r="R46" s="121">
        <f t="shared" si="5"/>
        <v>0.7361886991507653</v>
      </c>
      <c r="S46" s="121"/>
    </row>
    <row r="47" spans="1:19" s="25" customFormat="1" ht="19.5" customHeight="1">
      <c r="A47" s="48">
        <v>852</v>
      </c>
      <c r="B47" s="237"/>
      <c r="C47" s="248" t="s">
        <v>30</v>
      </c>
      <c r="D47" s="249">
        <f>SUM(D48:D52)</f>
        <v>274200</v>
      </c>
      <c r="E47" s="48"/>
      <c r="F47" s="249">
        <f>SUM(F48:F52)</f>
        <v>763522</v>
      </c>
      <c r="G47" s="48"/>
      <c r="H47" s="250">
        <f>SUM(H48:H52)</f>
        <v>745236.5900000001</v>
      </c>
      <c r="I47" s="162"/>
      <c r="J47" s="239">
        <f t="shared" si="8"/>
        <v>0.9760512336252264</v>
      </c>
      <c r="K47" s="239"/>
      <c r="L47" s="48">
        <f>SUM(L48:L50)</f>
        <v>285300</v>
      </c>
      <c r="M47" s="240"/>
      <c r="N47" s="48">
        <f>SUM(N48:N52)</f>
        <v>832609</v>
      </c>
      <c r="O47" s="240"/>
      <c r="P47" s="162">
        <f>SUM(P48:P52)</f>
        <v>551947.5700000001</v>
      </c>
      <c r="Q47" s="241"/>
      <c r="R47" s="251">
        <f t="shared" si="5"/>
        <v>0.6629132882301297</v>
      </c>
      <c r="S47" s="251"/>
    </row>
    <row r="48" spans="1:19" s="4" customFormat="1" ht="25.5" customHeight="1">
      <c r="A48" s="36"/>
      <c r="B48" s="45">
        <v>85201</v>
      </c>
      <c r="C48" s="224" t="s">
        <v>42</v>
      </c>
      <c r="D48" s="75">
        <f>19000+1100+2100+1700</f>
        <v>23900</v>
      </c>
      <c r="E48" s="36"/>
      <c r="F48" s="75">
        <f>219202+47308+3050+37727</f>
        <v>307287</v>
      </c>
      <c r="G48" s="155"/>
      <c r="H48" s="116">
        <f>1904.63+217563.58+14767.58+27610.31+597.19+100+1828.76+995.57+35627.91+1308.68</f>
        <v>302304.21</v>
      </c>
      <c r="I48" s="148"/>
      <c r="J48" s="125">
        <f t="shared" si="8"/>
        <v>0.9837845727284266</v>
      </c>
      <c r="K48" s="125"/>
      <c r="L48" s="76">
        <f>19400+1100+2100+1700</f>
        <v>24300</v>
      </c>
      <c r="M48" s="40"/>
      <c r="N48" s="76">
        <f>219400+69097+5187+56711</f>
        <v>350395</v>
      </c>
      <c r="O48" s="40"/>
      <c r="P48" s="110">
        <f>71044.75+8418.19+15430.87+192.76+100+2318.8+995.57+48097.49</f>
        <v>146598.43</v>
      </c>
      <c r="Q48" s="152"/>
      <c r="R48" s="138">
        <f t="shared" si="5"/>
        <v>0.41838048488134816</v>
      </c>
      <c r="S48" s="138"/>
    </row>
    <row r="49" spans="1:19" s="4" customFormat="1" ht="22.5" customHeight="1">
      <c r="A49" s="36"/>
      <c r="B49" s="37">
        <v>85202</v>
      </c>
      <c r="C49" s="30" t="s">
        <v>19</v>
      </c>
      <c r="D49" s="56">
        <f>8000+30000+5900+3000+900</f>
        <v>47800</v>
      </c>
      <c r="E49" s="21"/>
      <c r="F49" s="21">
        <f>32500+14000+5900+6400+82060</f>
        <v>140860</v>
      </c>
      <c r="G49" s="21"/>
      <c r="H49" s="115">
        <f>14691.02+2503.93+9548.88+68550.66+16514.04+18996.9+5070.93+3830.2+3213.75</f>
        <v>142920.31</v>
      </c>
      <c r="I49" s="146"/>
      <c r="J49" s="119">
        <f t="shared" si="8"/>
        <v>1.014626650575039</v>
      </c>
      <c r="K49" s="119"/>
      <c r="L49" s="55">
        <f>8000+40000+5900+3000+1600</f>
        <v>58500</v>
      </c>
      <c r="M49" s="23"/>
      <c r="N49" s="71">
        <f>37500+16000+5940+6468+92221</f>
        <v>158129</v>
      </c>
      <c r="O49" s="23"/>
      <c r="P49" s="108">
        <f>10863.01+93+1067.68+55891.95+14308.04+15374.66+5212.94+40+2946.6+3023.35</f>
        <v>108821.23000000001</v>
      </c>
      <c r="Q49" s="150"/>
      <c r="R49" s="137">
        <f t="shared" si="5"/>
        <v>0.6881800934679914</v>
      </c>
      <c r="S49" s="137"/>
    </row>
    <row r="50" spans="1:19" s="4" customFormat="1" ht="22.5" customHeight="1">
      <c r="A50" s="36"/>
      <c r="B50" s="37">
        <v>85203</v>
      </c>
      <c r="C50" s="22" t="s">
        <v>23</v>
      </c>
      <c r="D50" s="94">
        <v>202500</v>
      </c>
      <c r="E50" s="21"/>
      <c r="F50" s="159">
        <v>249732</v>
      </c>
      <c r="G50" s="153"/>
      <c r="H50" s="158">
        <f>464.14+6563.99+222129.27</f>
        <v>229157.4</v>
      </c>
      <c r="I50" s="146"/>
      <c r="J50" s="119">
        <f t="shared" si="8"/>
        <v>0.9176132814377012</v>
      </c>
      <c r="K50" s="119"/>
      <c r="L50" s="95">
        <f>202500</f>
        <v>202500</v>
      </c>
      <c r="M50" s="23"/>
      <c r="N50" s="23">
        <v>254369</v>
      </c>
      <c r="O50" s="156"/>
      <c r="P50" s="107">
        <f>4466.18+227859.69</f>
        <v>232325.87</v>
      </c>
      <c r="Q50" s="150"/>
      <c r="R50" s="137">
        <f t="shared" si="5"/>
        <v>0.9133419166643734</v>
      </c>
      <c r="S50" s="137"/>
    </row>
    <row r="51" spans="1:19" s="4" customFormat="1" ht="22.5" customHeight="1">
      <c r="A51" s="36"/>
      <c r="B51" s="37">
        <v>85219</v>
      </c>
      <c r="C51" s="22" t="s">
        <v>56</v>
      </c>
      <c r="D51" s="159"/>
      <c r="E51" s="21"/>
      <c r="F51" s="159">
        <v>63927</v>
      </c>
      <c r="G51" s="21"/>
      <c r="H51" s="160">
        <f>1953.57+65743.06+1500</f>
        <v>69196.63</v>
      </c>
      <c r="I51" s="161"/>
      <c r="J51" s="119">
        <f t="shared" si="8"/>
        <v>1.0824319927417212</v>
      </c>
      <c r="K51" s="119"/>
      <c r="L51" s="23"/>
      <c r="M51" s="23"/>
      <c r="N51" s="23">
        <v>63930</v>
      </c>
      <c r="O51" s="23"/>
      <c r="P51" s="107">
        <f>1500+1846.39+60334.87</f>
        <v>63681.26</v>
      </c>
      <c r="Q51" s="150"/>
      <c r="R51" s="137">
        <f t="shared" si="5"/>
        <v>0.9961091819177226</v>
      </c>
      <c r="S51" s="137"/>
    </row>
    <row r="52" spans="1:19" s="4" customFormat="1" ht="24.75" customHeight="1">
      <c r="A52" s="32"/>
      <c r="B52" s="29">
        <v>85226</v>
      </c>
      <c r="C52" s="38" t="s">
        <v>57</v>
      </c>
      <c r="D52" s="57"/>
      <c r="E52" s="32"/>
      <c r="F52" s="24">
        <v>1716</v>
      </c>
      <c r="G52" s="154"/>
      <c r="H52" s="105">
        <v>1658.04</v>
      </c>
      <c r="I52" s="147"/>
      <c r="J52" s="121">
        <f t="shared" si="8"/>
        <v>0.9662237762237762</v>
      </c>
      <c r="K52" s="121"/>
      <c r="L52" s="58"/>
      <c r="M52" s="33"/>
      <c r="N52" s="33">
        <v>5786</v>
      </c>
      <c r="O52" s="157"/>
      <c r="P52" s="109">
        <v>520.78</v>
      </c>
      <c r="Q52" s="151"/>
      <c r="R52" s="139">
        <f t="shared" si="5"/>
        <v>0.0900069132388524</v>
      </c>
      <c r="S52" s="139"/>
    </row>
    <row r="53" spans="1:46" s="25" customFormat="1" ht="27.75" customHeight="1">
      <c r="A53" s="48">
        <v>853</v>
      </c>
      <c r="B53" s="237"/>
      <c r="C53" s="248" t="s">
        <v>31</v>
      </c>
      <c r="D53" s="249">
        <f>SUM(D54:D55)</f>
        <v>363040</v>
      </c>
      <c r="E53" s="48"/>
      <c r="F53" s="249">
        <f>SUM(F54:F55)</f>
        <v>394095</v>
      </c>
      <c r="G53" s="48"/>
      <c r="H53" s="250">
        <f>SUM(H54:H55)</f>
        <v>386440.54</v>
      </c>
      <c r="I53" s="162"/>
      <c r="J53" s="239">
        <f t="shared" si="8"/>
        <v>0.9805771197300143</v>
      </c>
      <c r="K53" s="239"/>
      <c r="L53" s="240">
        <f>SUM(L54:L55)</f>
        <v>363040</v>
      </c>
      <c r="M53" s="240"/>
      <c r="N53" s="240">
        <f>SUM(N54:N55)</f>
        <v>394095</v>
      </c>
      <c r="O53" s="240"/>
      <c r="P53" s="241">
        <f>SUM(P54:P55)</f>
        <v>378133.83</v>
      </c>
      <c r="Q53" s="241"/>
      <c r="R53" s="251">
        <f t="shared" si="5"/>
        <v>0.9594991816693945</v>
      </c>
      <c r="S53" s="251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19" s="4" customFormat="1" ht="21" customHeight="1">
      <c r="A54" s="36"/>
      <c r="B54" s="29">
        <v>85305</v>
      </c>
      <c r="C54" s="31" t="s">
        <v>15</v>
      </c>
      <c r="D54" s="32">
        <v>359400</v>
      </c>
      <c r="E54" s="32"/>
      <c r="F54" s="32">
        <v>389400</v>
      </c>
      <c r="G54" s="32"/>
      <c r="H54" s="104">
        <v>381748.94</v>
      </c>
      <c r="I54" s="104"/>
      <c r="J54" s="121">
        <f t="shared" si="8"/>
        <v>0.9803516692347201</v>
      </c>
      <c r="K54" s="121"/>
      <c r="L54" s="33">
        <v>359400</v>
      </c>
      <c r="M54" s="33"/>
      <c r="N54" s="33">
        <v>389400</v>
      </c>
      <c r="O54" s="33"/>
      <c r="P54" s="109">
        <v>373438.83</v>
      </c>
      <c r="Q54" s="151"/>
      <c r="R54" s="139">
        <f t="shared" si="5"/>
        <v>0.9590108628659476</v>
      </c>
      <c r="S54" s="139"/>
    </row>
    <row r="55" spans="1:19" s="4" customFormat="1" ht="21" customHeight="1">
      <c r="A55" s="32"/>
      <c r="B55" s="29">
        <v>85333</v>
      </c>
      <c r="C55" s="59" t="s">
        <v>44</v>
      </c>
      <c r="D55" s="24">
        <v>3640</v>
      </c>
      <c r="E55" s="32"/>
      <c r="F55" s="24">
        <v>4695</v>
      </c>
      <c r="G55" s="32"/>
      <c r="H55" s="105">
        <v>4691.6</v>
      </c>
      <c r="I55" s="104"/>
      <c r="J55" s="121">
        <f t="shared" si="8"/>
        <v>0.9992758253461129</v>
      </c>
      <c r="K55" s="121"/>
      <c r="L55" s="33">
        <v>3640</v>
      </c>
      <c r="M55" s="33"/>
      <c r="N55" s="33">
        <v>4695</v>
      </c>
      <c r="O55" s="33"/>
      <c r="P55" s="109">
        <v>4695</v>
      </c>
      <c r="Q55" s="109"/>
      <c r="R55" s="139">
        <f>P55/N55</f>
        <v>1</v>
      </c>
      <c r="S55" s="139"/>
    </row>
    <row r="56" spans="1:46" s="34" customFormat="1" ht="24.75" customHeight="1">
      <c r="A56" s="48">
        <v>854</v>
      </c>
      <c r="B56" s="237"/>
      <c r="C56" s="238" t="s">
        <v>11</v>
      </c>
      <c r="D56" s="48">
        <f>SUM(D57:D61)</f>
        <v>5000200</v>
      </c>
      <c r="E56" s="48"/>
      <c r="F56" s="48">
        <f>SUM(F57:F61)</f>
        <v>5571070</v>
      </c>
      <c r="G56" s="48"/>
      <c r="H56" s="162">
        <f>SUM(H57:H61)</f>
        <v>5193807.149999999</v>
      </c>
      <c r="I56" s="162"/>
      <c r="J56" s="239">
        <f t="shared" si="8"/>
        <v>0.9322817968541052</v>
      </c>
      <c r="K56" s="239"/>
      <c r="L56" s="240">
        <f>SUM(L57:L61)</f>
        <v>5000200</v>
      </c>
      <c r="M56" s="48"/>
      <c r="N56" s="240">
        <f>SUM(N57:N61)</f>
        <v>5599592</v>
      </c>
      <c r="O56" s="48"/>
      <c r="P56" s="241">
        <f>SUM(P57:P61)</f>
        <v>5128778.5</v>
      </c>
      <c r="Q56" s="162"/>
      <c r="R56" s="239">
        <f t="shared" si="5"/>
        <v>0.9159200348882561</v>
      </c>
      <c r="S56" s="239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19" s="4" customFormat="1" ht="24.75" customHeight="1">
      <c r="A57" s="36"/>
      <c r="B57" s="27">
        <v>85403</v>
      </c>
      <c r="C57" s="19" t="s">
        <v>24</v>
      </c>
      <c r="D57" s="18">
        <v>168700</v>
      </c>
      <c r="E57" s="18"/>
      <c r="F57" s="18">
        <v>339948</v>
      </c>
      <c r="G57" s="18"/>
      <c r="H57" s="166">
        <v>329083.04</v>
      </c>
      <c r="I57" s="166"/>
      <c r="J57" s="120">
        <f t="shared" si="8"/>
        <v>0.9680393471942768</v>
      </c>
      <c r="K57" s="120"/>
      <c r="L57" s="20">
        <v>168700</v>
      </c>
      <c r="M57" s="18"/>
      <c r="N57" s="20">
        <v>361516</v>
      </c>
      <c r="O57" s="18"/>
      <c r="P57" s="167">
        <v>299708.57</v>
      </c>
      <c r="Q57" s="166"/>
      <c r="R57" s="120">
        <f t="shared" si="5"/>
        <v>0.8290326569225152</v>
      </c>
      <c r="S57" s="120"/>
    </row>
    <row r="58" spans="1:19" s="4" customFormat="1" ht="26.25" customHeight="1">
      <c r="A58" s="36"/>
      <c r="B58" s="27">
        <v>85407</v>
      </c>
      <c r="C58" s="22" t="s">
        <v>16</v>
      </c>
      <c r="D58" s="18">
        <v>19350</v>
      </c>
      <c r="E58" s="18"/>
      <c r="F58" s="18">
        <v>22935</v>
      </c>
      <c r="G58" s="18"/>
      <c r="H58" s="166">
        <v>15599.83</v>
      </c>
      <c r="I58" s="166"/>
      <c r="J58" s="120">
        <f t="shared" si="8"/>
        <v>0.6801757139742751</v>
      </c>
      <c r="K58" s="120"/>
      <c r="L58" s="20">
        <v>19350</v>
      </c>
      <c r="M58" s="18"/>
      <c r="N58" s="20">
        <v>22935</v>
      </c>
      <c r="O58" s="18"/>
      <c r="P58" s="167">
        <v>14876.8</v>
      </c>
      <c r="Q58" s="166"/>
      <c r="R58" s="120">
        <f t="shared" si="5"/>
        <v>0.64865053411816</v>
      </c>
      <c r="S58" s="120"/>
    </row>
    <row r="59" spans="1:19" s="4" customFormat="1" ht="21.75" customHeight="1">
      <c r="A59" s="36"/>
      <c r="B59" s="27">
        <v>85410</v>
      </c>
      <c r="C59" s="30" t="s">
        <v>29</v>
      </c>
      <c r="D59" s="18">
        <v>90190</v>
      </c>
      <c r="E59" s="18"/>
      <c r="F59" s="18">
        <v>135206</v>
      </c>
      <c r="G59" s="18"/>
      <c r="H59" s="166">
        <v>134234.97</v>
      </c>
      <c r="I59" s="166"/>
      <c r="J59" s="120">
        <f t="shared" si="8"/>
        <v>0.9928181441651998</v>
      </c>
      <c r="K59" s="120"/>
      <c r="L59" s="20">
        <v>90190</v>
      </c>
      <c r="M59" s="18"/>
      <c r="N59" s="20">
        <v>135206</v>
      </c>
      <c r="O59" s="18"/>
      <c r="P59" s="167">
        <v>133112.2</v>
      </c>
      <c r="Q59" s="166"/>
      <c r="R59" s="120">
        <f t="shared" si="5"/>
        <v>0.9845140008579502</v>
      </c>
      <c r="S59" s="120"/>
    </row>
    <row r="60" spans="1:19" s="4" customFormat="1" ht="25.5" customHeight="1">
      <c r="A60" s="68"/>
      <c r="B60" s="69">
        <v>85421</v>
      </c>
      <c r="C60" s="70" t="s">
        <v>27</v>
      </c>
      <c r="D60" s="63">
        <v>6000</v>
      </c>
      <c r="E60" s="63"/>
      <c r="F60" s="63">
        <v>6000</v>
      </c>
      <c r="G60" s="63"/>
      <c r="H60" s="170">
        <v>3558</v>
      </c>
      <c r="I60" s="170"/>
      <c r="J60" s="126">
        <f t="shared" si="8"/>
        <v>0.593</v>
      </c>
      <c r="K60" s="126"/>
      <c r="L60" s="71">
        <v>6000</v>
      </c>
      <c r="M60" s="63"/>
      <c r="N60" s="71">
        <v>6000</v>
      </c>
      <c r="O60" s="63"/>
      <c r="P60" s="108">
        <v>3560.62</v>
      </c>
      <c r="Q60" s="170"/>
      <c r="R60" s="126">
        <f t="shared" si="5"/>
        <v>0.5934366666666666</v>
      </c>
      <c r="S60" s="126"/>
    </row>
    <row r="61" spans="1:19" s="4" customFormat="1" ht="21.75" customHeight="1">
      <c r="A61" s="36"/>
      <c r="B61" s="29">
        <v>85495</v>
      </c>
      <c r="C61" s="31" t="s">
        <v>22</v>
      </c>
      <c r="D61" s="32">
        <v>4715960</v>
      </c>
      <c r="E61" s="32"/>
      <c r="F61" s="32">
        <v>5066981</v>
      </c>
      <c r="G61" s="32"/>
      <c r="H61" s="104">
        <v>4711331.31</v>
      </c>
      <c r="I61" s="104"/>
      <c r="J61" s="121">
        <f t="shared" si="8"/>
        <v>0.9298103367666071</v>
      </c>
      <c r="K61" s="121"/>
      <c r="L61" s="33">
        <v>4715960</v>
      </c>
      <c r="M61" s="32"/>
      <c r="N61" s="33">
        <v>5073935</v>
      </c>
      <c r="O61" s="32"/>
      <c r="P61" s="109">
        <v>4677520.31</v>
      </c>
      <c r="Q61" s="104"/>
      <c r="R61" s="121">
        <f t="shared" si="5"/>
        <v>0.9218723357709548</v>
      </c>
      <c r="S61" s="121"/>
    </row>
    <row r="62" spans="1:19" s="4" customFormat="1" ht="27.75" customHeight="1">
      <c r="A62" s="53"/>
      <c r="B62" s="100"/>
      <c r="C62" s="98" t="s">
        <v>67</v>
      </c>
      <c r="D62" s="99"/>
      <c r="E62" s="99"/>
      <c r="F62" s="99">
        <f>F63</f>
        <v>300</v>
      </c>
      <c r="G62" s="99"/>
      <c r="H62" s="106">
        <f>H63</f>
        <v>217.27</v>
      </c>
      <c r="I62" s="106"/>
      <c r="J62" s="122">
        <f t="shared" si="8"/>
        <v>0.7242333333333334</v>
      </c>
      <c r="K62" s="127"/>
      <c r="L62" s="99"/>
      <c r="M62" s="99"/>
      <c r="N62" s="99">
        <f>N63</f>
        <v>690</v>
      </c>
      <c r="O62" s="99"/>
      <c r="P62" s="106">
        <f>P63</f>
        <v>607</v>
      </c>
      <c r="Q62" s="149"/>
      <c r="R62" s="122">
        <f t="shared" si="5"/>
        <v>0.8797101449275362</v>
      </c>
      <c r="S62" s="127"/>
    </row>
    <row r="63" spans="1:19" s="4" customFormat="1" ht="21.75" customHeight="1">
      <c r="A63" s="35">
        <v>852</v>
      </c>
      <c r="B63" s="252">
        <v>85203</v>
      </c>
      <c r="C63" s="59" t="s">
        <v>23</v>
      </c>
      <c r="D63" s="35"/>
      <c r="E63" s="35"/>
      <c r="F63" s="35">
        <v>300</v>
      </c>
      <c r="G63" s="35"/>
      <c r="H63" s="253">
        <v>217.27</v>
      </c>
      <c r="I63" s="253"/>
      <c r="J63" s="254">
        <f t="shared" si="8"/>
        <v>0.7242333333333334</v>
      </c>
      <c r="K63" s="254"/>
      <c r="L63" s="255"/>
      <c r="M63" s="35"/>
      <c r="N63" s="255">
        <v>690</v>
      </c>
      <c r="O63" s="35"/>
      <c r="P63" s="256">
        <v>607</v>
      </c>
      <c r="Q63" s="257"/>
      <c r="R63" s="254">
        <f t="shared" si="5"/>
        <v>0.8797101449275362</v>
      </c>
      <c r="S63" s="254"/>
    </row>
    <row r="64" spans="1:19" s="4" customFormat="1" ht="30" customHeight="1">
      <c r="A64" s="225"/>
      <c r="B64" s="202"/>
      <c r="C64" s="79"/>
      <c r="D64" s="225"/>
      <c r="E64" s="225"/>
      <c r="F64" s="225"/>
      <c r="G64" s="225"/>
      <c r="H64" s="226"/>
      <c r="I64" s="226"/>
      <c r="J64" s="227"/>
      <c r="K64" s="227"/>
      <c r="L64" s="225"/>
      <c r="M64" s="225"/>
      <c r="N64" s="225"/>
      <c r="O64" s="225"/>
      <c r="P64" s="226"/>
      <c r="Q64" s="228"/>
      <c r="R64" s="227"/>
      <c r="S64" s="227"/>
    </row>
    <row r="65" spans="1:19" s="4" customFormat="1" ht="37.5" customHeight="1">
      <c r="A65" s="53"/>
      <c r="B65" s="102"/>
      <c r="C65" s="190" t="s">
        <v>32</v>
      </c>
      <c r="D65" s="101">
        <f>D66</f>
        <v>397000</v>
      </c>
      <c r="E65" s="101"/>
      <c r="F65" s="101">
        <f>F66</f>
        <v>445838</v>
      </c>
      <c r="G65" s="101"/>
      <c r="H65" s="163">
        <f>H66</f>
        <v>286040.02</v>
      </c>
      <c r="I65" s="163"/>
      <c r="J65" s="122">
        <f t="shared" si="8"/>
        <v>0.6415783760020456</v>
      </c>
      <c r="K65" s="122"/>
      <c r="L65" s="101">
        <f>L66</f>
        <v>397000</v>
      </c>
      <c r="M65" s="101"/>
      <c r="N65" s="101">
        <f>N66</f>
        <v>445838</v>
      </c>
      <c r="O65" s="101"/>
      <c r="P65" s="163">
        <f>P66</f>
        <v>288645.04</v>
      </c>
      <c r="Q65" s="163"/>
      <c r="R65" s="122">
        <f t="shared" si="5"/>
        <v>0.6474213503559588</v>
      </c>
      <c r="S65" s="122"/>
    </row>
    <row r="66" spans="1:19" s="4" customFormat="1" ht="25.5" customHeight="1">
      <c r="A66" s="35">
        <v>754</v>
      </c>
      <c r="B66" s="252">
        <v>75411</v>
      </c>
      <c r="C66" s="59" t="s">
        <v>17</v>
      </c>
      <c r="D66" s="35">
        <v>397000</v>
      </c>
      <c r="E66" s="35"/>
      <c r="F66" s="35">
        <v>445838</v>
      </c>
      <c r="G66" s="35"/>
      <c r="H66" s="253">
        <f>237202.69+57.7+48779.63</f>
        <v>286040.02</v>
      </c>
      <c r="I66" s="253"/>
      <c r="J66" s="254">
        <f t="shared" si="8"/>
        <v>0.6415783760020456</v>
      </c>
      <c r="K66" s="254"/>
      <c r="L66" s="255">
        <v>397000</v>
      </c>
      <c r="M66" s="35"/>
      <c r="N66" s="255">
        <v>445838</v>
      </c>
      <c r="O66" s="35"/>
      <c r="P66" s="256">
        <f>239807.71+57.7+48779.63</f>
        <v>288645.04</v>
      </c>
      <c r="Q66" s="253"/>
      <c r="R66" s="254">
        <f t="shared" si="5"/>
        <v>0.6474213503559588</v>
      </c>
      <c r="S66" s="254"/>
    </row>
    <row r="67" spans="1:3" s="4" customFormat="1" ht="12.75">
      <c r="A67" s="1"/>
      <c r="B67" s="2"/>
      <c r="C67" s="3"/>
    </row>
    <row r="68" spans="1:3" s="4" customFormat="1" ht="12.75">
      <c r="A68" s="1"/>
      <c r="B68" s="2"/>
      <c r="C68" s="3"/>
    </row>
    <row r="69" spans="1:3" s="4" customFormat="1" ht="12.75">
      <c r="A69" s="1"/>
      <c r="B69" s="2"/>
      <c r="C69" s="3"/>
    </row>
    <row r="70" spans="1:14" s="144" customFormat="1" ht="15">
      <c r="A70" s="264"/>
      <c r="B70" s="265"/>
      <c r="C70" s="266"/>
      <c r="E70" s="267" t="s">
        <v>73</v>
      </c>
      <c r="F70" s="268"/>
      <c r="N70" s="269" t="s">
        <v>74</v>
      </c>
    </row>
    <row r="71" spans="1:14" s="144" customFormat="1" ht="15">
      <c r="A71" s="264"/>
      <c r="B71" s="265"/>
      <c r="C71" s="266"/>
      <c r="E71" s="267" t="s">
        <v>75</v>
      </c>
      <c r="F71" s="268"/>
      <c r="N71" s="269" t="s">
        <v>76</v>
      </c>
    </row>
    <row r="72" spans="1:3" s="4" customFormat="1" ht="12.75">
      <c r="A72" s="1"/>
      <c r="B72" s="2"/>
      <c r="C72" s="3"/>
    </row>
    <row r="73" spans="1:3" s="4" customFormat="1" ht="12.75">
      <c r="A73" s="1"/>
      <c r="B73" s="2"/>
      <c r="C73" s="3"/>
    </row>
    <row r="74" spans="1:3" s="4" customFormat="1" ht="12.75">
      <c r="A74" s="1"/>
      <c r="B74" s="2"/>
      <c r="C74" s="3"/>
    </row>
    <row r="75" spans="1:3" s="4" customFormat="1" ht="12.75">
      <c r="A75" s="1"/>
      <c r="B75" s="2"/>
      <c r="C75" s="3"/>
    </row>
    <row r="76" spans="1:3" s="4" customFormat="1" ht="12.75">
      <c r="A76" s="1"/>
      <c r="B76" s="2"/>
      <c r="C76" s="3"/>
    </row>
    <row r="77" spans="1:3" s="4" customFormat="1" ht="12.75">
      <c r="A77" s="1"/>
      <c r="B77" s="2"/>
      <c r="C77" s="3"/>
    </row>
    <row r="78" spans="1:3" s="4" customFormat="1" ht="12.75">
      <c r="A78" s="1"/>
      <c r="B78" s="2"/>
      <c r="C78" s="3"/>
    </row>
    <row r="79" spans="1:3" s="4" customFormat="1" ht="12.75">
      <c r="A79" s="1"/>
      <c r="B79" s="2"/>
      <c r="C79" s="3"/>
    </row>
    <row r="80" spans="1:3" s="4" customFormat="1" ht="12.75">
      <c r="A80" s="1"/>
      <c r="B80" s="2"/>
      <c r="C80" s="3"/>
    </row>
    <row r="81" spans="1:3" s="4" customFormat="1" ht="12.75">
      <c r="A81" s="1"/>
      <c r="B81" s="2"/>
      <c r="C81" s="3"/>
    </row>
    <row r="82" spans="1:3" s="4" customFormat="1" ht="12.75">
      <c r="A82" s="1"/>
      <c r="B82" s="2"/>
      <c r="C82" s="3"/>
    </row>
    <row r="83" spans="1:3" s="4" customFormat="1" ht="12.75">
      <c r="A83" s="1"/>
      <c r="B83" s="2"/>
      <c r="C83" s="3"/>
    </row>
    <row r="84" spans="1:3" s="4" customFormat="1" ht="12.75">
      <c r="A84" s="1"/>
      <c r="B84" s="2"/>
      <c r="C84" s="3"/>
    </row>
    <row r="85" spans="1:3" s="4" customFormat="1" ht="12.75">
      <c r="A85" s="1"/>
      <c r="B85" s="2"/>
      <c r="C85" s="3"/>
    </row>
    <row r="86" spans="1:3" s="4" customFormat="1" ht="12.75">
      <c r="A86" s="1"/>
      <c r="B86" s="2"/>
      <c r="C86" s="3"/>
    </row>
    <row r="87" spans="1:3" s="4" customFormat="1" ht="12.75">
      <c r="A87" s="1"/>
      <c r="B87" s="2"/>
      <c r="C87" s="3"/>
    </row>
    <row r="88" spans="1:3" s="4" customFormat="1" ht="12.75">
      <c r="A88" s="1"/>
      <c r="B88" s="2"/>
      <c r="C88" s="3"/>
    </row>
    <row r="89" spans="1:3" s="4" customFormat="1" ht="12.75">
      <c r="A89" s="1"/>
      <c r="B89" s="2"/>
      <c r="C89" s="3"/>
    </row>
    <row r="90" spans="1:3" s="4" customFormat="1" ht="12.75">
      <c r="A90" s="1"/>
      <c r="B90" s="2"/>
      <c r="C90" s="3"/>
    </row>
    <row r="91" spans="1:3" s="4" customFormat="1" ht="12.75">
      <c r="A91" s="1"/>
      <c r="B91" s="2"/>
      <c r="C91" s="3"/>
    </row>
    <row r="92" spans="1:3" s="4" customFormat="1" ht="12.75">
      <c r="A92" s="1"/>
      <c r="B92" s="2"/>
      <c r="C92" s="3"/>
    </row>
    <row r="93" spans="1:3" s="4" customFormat="1" ht="12.75">
      <c r="A93" s="1"/>
      <c r="B93" s="2"/>
      <c r="C93" s="3"/>
    </row>
    <row r="94" spans="1:3" s="4" customFormat="1" ht="12.75">
      <c r="A94" s="1"/>
      <c r="B94" s="2"/>
      <c r="C94" s="3"/>
    </row>
    <row r="95" spans="1:3" s="4" customFormat="1" ht="12.75">
      <c r="A95" s="1"/>
      <c r="B95" s="2"/>
      <c r="C95" s="3"/>
    </row>
    <row r="96" spans="1:3" s="4" customFormat="1" ht="12.75">
      <c r="A96" s="1"/>
      <c r="B96" s="2"/>
      <c r="C96" s="3"/>
    </row>
    <row r="97" spans="1:3" s="4" customFormat="1" ht="12.75">
      <c r="A97" s="1"/>
      <c r="B97" s="2"/>
      <c r="C97" s="3"/>
    </row>
    <row r="98" spans="1:3" s="4" customFormat="1" ht="12.75">
      <c r="A98" s="1"/>
      <c r="B98" s="2"/>
      <c r="C98" s="3"/>
    </row>
    <row r="99" spans="1:3" s="4" customFormat="1" ht="12.75">
      <c r="A99" s="1"/>
      <c r="B99" s="2"/>
      <c r="C99" s="3"/>
    </row>
    <row r="100" spans="1:3" s="4" customFormat="1" ht="12.75">
      <c r="A100" s="1"/>
      <c r="B100" s="2"/>
      <c r="C100" s="3"/>
    </row>
    <row r="101" spans="1:3" s="4" customFormat="1" ht="12.75">
      <c r="A101" s="1"/>
      <c r="B101" s="2"/>
      <c r="C101" s="3"/>
    </row>
    <row r="102" spans="1:3" s="4" customFormat="1" ht="12.75">
      <c r="A102" s="1"/>
      <c r="B102" s="2"/>
      <c r="C102" s="3"/>
    </row>
    <row r="103" spans="1:3" s="4" customFormat="1" ht="12.75">
      <c r="A103" s="1"/>
      <c r="B103" s="2"/>
      <c r="C103" s="3"/>
    </row>
    <row r="104" spans="1:3" s="4" customFormat="1" ht="12.75">
      <c r="A104" s="1"/>
      <c r="B104" s="2"/>
      <c r="C104" s="3"/>
    </row>
    <row r="105" spans="1:3" s="4" customFormat="1" ht="12.75">
      <c r="A105" s="1"/>
      <c r="B105" s="2"/>
      <c r="C105" s="3"/>
    </row>
    <row r="106" spans="1:3" s="4" customFormat="1" ht="12.75">
      <c r="A106" s="1"/>
      <c r="B106" s="2"/>
      <c r="C106" s="3"/>
    </row>
    <row r="107" spans="1:3" s="4" customFormat="1" ht="12.75">
      <c r="A107" s="1"/>
      <c r="B107" s="2"/>
      <c r="C107" s="3"/>
    </row>
    <row r="108" spans="1:3" s="4" customFormat="1" ht="12.75">
      <c r="A108" s="1"/>
      <c r="B108" s="2"/>
      <c r="C108" s="3"/>
    </row>
    <row r="109" spans="1:3" s="4" customFormat="1" ht="12.75">
      <c r="A109" s="1"/>
      <c r="B109" s="2"/>
      <c r="C109" s="3"/>
    </row>
  </sheetData>
  <mergeCells count="7">
    <mergeCell ref="C2:H2"/>
    <mergeCell ref="N8:O8"/>
    <mergeCell ref="P8:Q8"/>
    <mergeCell ref="D8:E8"/>
    <mergeCell ref="F8:G8"/>
    <mergeCell ref="H8:I8"/>
    <mergeCell ref="L8:M8"/>
  </mergeCells>
  <printOptions horizontalCentered="1"/>
  <pageMargins left="0.1968503937007874" right="0.1968503937007874" top="0.6692913385826772" bottom="0.5118110236220472" header="0.5118110236220472" footer="0.35433070866141736"/>
  <pageSetup firstPageNumber="70" useFirstPageNumber="1" horizontalDpi="300" verticalDpi="3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2007-03-16T07:07:29Z</cp:lastPrinted>
  <dcterms:created xsi:type="dcterms:W3CDTF">2000-11-06T16:35:03Z</dcterms:created>
  <dcterms:modified xsi:type="dcterms:W3CDTF">2007-03-29T09:25:12Z</dcterms:modified>
  <cp:category/>
  <cp:version/>
  <cp:contentType/>
  <cp:contentStatus/>
</cp:coreProperties>
</file>