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9120" tabRatio="599" activeTab="0"/>
  </bookViews>
  <sheets>
    <sheet name="pozabudzetówka " sheetId="1" r:id="rId1"/>
    <sheet name="Arkusz1" sheetId="2" r:id="rId2"/>
    <sheet name="Arkusz2" sheetId="3" r:id="rId3"/>
    <sheet name="Arkusz3" sheetId="4" r:id="rId4"/>
  </sheets>
  <definedNames>
    <definedName name="_xlnm.Print_Area" localSheetId="0">'pozabudzetówka '!$A$1:$AP$71</definedName>
    <definedName name="_xlnm.Print_Titles" localSheetId="0">'pozabudzetówka '!$7:$10</definedName>
  </definedNames>
  <calcPr fullCalcOnLoad="1"/>
</workbook>
</file>

<file path=xl/sharedStrings.xml><?xml version="1.0" encoding="utf-8"?>
<sst xmlns="http://schemas.openxmlformats.org/spreadsheetml/2006/main" count="118" uniqueCount="98">
  <si>
    <t>w  złotych</t>
  </si>
  <si>
    <t xml:space="preserve">                 Wydatki</t>
  </si>
  <si>
    <t>Dział</t>
  </si>
  <si>
    <t>Rozdz.</t>
  </si>
  <si>
    <t>Treść</t>
  </si>
  <si>
    <t>ogółem</t>
  </si>
  <si>
    <t>Lubelski Ośrodek Informacji Turystycznej</t>
  </si>
  <si>
    <t>Zarząd Nieruchomości Komunalnych</t>
  </si>
  <si>
    <t>Oświata i wychowanie</t>
  </si>
  <si>
    <t>Zespół Szkół Samochodowych nr 2 
Warsztaty Szkolne</t>
  </si>
  <si>
    <t>Zespół Szkół Samochodowych 
im. St. Syroczyńskiego
Warsztaty Szkolne</t>
  </si>
  <si>
    <t>Zespół Szkół  Mechanicznych                                Warsztaty Szkolne</t>
  </si>
  <si>
    <t>Lubelskie Centrum Edukacji Zawodowej                                      Warsztaty Szkolne</t>
  </si>
  <si>
    <t>Zespół Szkół nr 3                             Warsztaty Szkolne</t>
  </si>
  <si>
    <t>Zespół Szkół nr 5                          Warsztaty Szkolne</t>
  </si>
  <si>
    <t>Edukacyjna opieka wychowawcza</t>
  </si>
  <si>
    <t>Specjalny Ośrodek Szkolno - Wychowawczy nr 1 
Warsztaty Szkolne</t>
  </si>
  <si>
    <t>Administracja publiczna</t>
  </si>
  <si>
    <t>Urzędy miast i miast na prawach powiatu</t>
  </si>
  <si>
    <t>Szkoły podstawowe</t>
  </si>
  <si>
    <t>Szkoły podstawowe specjalne</t>
  </si>
  <si>
    <t>Przedszkola</t>
  </si>
  <si>
    <t>Gimnazja</t>
  </si>
  <si>
    <t>Licea ogólnokształcące</t>
  </si>
  <si>
    <t>Szkoły zawodowe</t>
  </si>
  <si>
    <t>Szkoły artystyczne</t>
  </si>
  <si>
    <t>Pomoc społeczna</t>
  </si>
  <si>
    <t>Placówki opiekuńczo - wychowawcze</t>
  </si>
  <si>
    <t>Domy pomocy społecznej</t>
  </si>
  <si>
    <t>Żłobki</t>
  </si>
  <si>
    <t>Powiatowe Urzędy Pracy</t>
  </si>
  <si>
    <t>Specjalne ośrodki szkolno - wychowawcze</t>
  </si>
  <si>
    <t>Internaty i bursy szkolne</t>
  </si>
  <si>
    <t>Młodzieżowe ośrodki socjoterapii</t>
  </si>
  <si>
    <t>Pozostała działalność</t>
  </si>
  <si>
    <t>Zadania z zakresu administracji rządowej wykonywane przez powiat</t>
  </si>
  <si>
    <t>Komendy powiatowe Państwowej Straży Pożarnej</t>
  </si>
  <si>
    <t>Zakłady budżetowe 
i gospodarstwa pomocnicze, z tego:</t>
  </si>
  <si>
    <t>Zadania własne</t>
  </si>
  <si>
    <t>Ola</t>
  </si>
  <si>
    <t>Dorota</t>
  </si>
  <si>
    <t>Ania</t>
  </si>
  <si>
    <t>Mariusz</t>
  </si>
  <si>
    <t>Lucyna</t>
  </si>
  <si>
    <t>Ela i Stasia</t>
  </si>
  <si>
    <t>Gienia</t>
  </si>
  <si>
    <t>Tomek</t>
  </si>
  <si>
    <t>Gosia</t>
  </si>
  <si>
    <t>Grażynka</t>
  </si>
  <si>
    <t xml:space="preserve">       "</t>
  </si>
  <si>
    <t>Benia</t>
  </si>
  <si>
    <t>Ochal</t>
  </si>
  <si>
    <t>Krysia i Rysio</t>
  </si>
  <si>
    <t>Bicka</t>
  </si>
  <si>
    <t>Plan na 2005 rok 
wg uchwały budżetowej</t>
  </si>
  <si>
    <t>%</t>
  </si>
  <si>
    <t>9:7</t>
  </si>
  <si>
    <t>16:14</t>
  </si>
  <si>
    <t>17:15</t>
  </si>
  <si>
    <t xml:space="preserve">Ośrodki wsparcia </t>
  </si>
  <si>
    <t xml:space="preserve">Placówki wychowania pozaszkolnego </t>
  </si>
  <si>
    <t>Ośrodki adopcyjno-opiekuńcze</t>
  </si>
  <si>
    <t>8:6</t>
  </si>
  <si>
    <t xml:space="preserve">Plan na 2005 rok
 po zmianach </t>
  </si>
  <si>
    <t>Plan na 2005 rok
 po zmianach</t>
  </si>
  <si>
    <t>Załącznik nr 6</t>
  </si>
  <si>
    <t xml:space="preserve">w tym:             wynagro-
dzenia  </t>
  </si>
  <si>
    <t xml:space="preserve">razem zakłady budżetowe </t>
  </si>
  <si>
    <t>razem gospodarstwa pomocnicze</t>
  </si>
  <si>
    <t>Miejski Ośrodek Sportu 
i Rekreacji "Bystrzyca"</t>
  </si>
  <si>
    <t>Państwowe Szkoły Budownictwa i Geodezji 
Warsztaty Szkolne</t>
  </si>
  <si>
    <t>Dotacje celowe 
na inwestycje</t>
  </si>
  <si>
    <t>Pozostałe zadania 
w zakresie polityki społecznej</t>
  </si>
  <si>
    <t>w tym: wynagro-
dzenia</t>
  </si>
  <si>
    <t>Bezpieczeństwo publiczne 
i ochrona przeciwpożarowa</t>
  </si>
  <si>
    <t>Straż Miejska</t>
  </si>
  <si>
    <t>Przedszkola specjalne</t>
  </si>
  <si>
    <t>Ośrodki pomocy społecznej</t>
  </si>
  <si>
    <t>Powiatowe urzędy pracy</t>
  </si>
  <si>
    <t>Zadania ustawowo zlecone gminie</t>
  </si>
  <si>
    <t xml:space="preserve">Wykonanie na 
31 grudnia 2005 roku </t>
  </si>
  <si>
    <t xml:space="preserve">Zestawienie przychodów i wydatków zakładów budżetowych, gospodarstw pomocniczych, środków specjalnych </t>
  </si>
  <si>
    <t>Rady Miasta Lublin</t>
  </si>
  <si>
    <t>Centra kształcenia ustawicznego i praktycznego 
oraz ośrodki dokształcania zawodowego</t>
  </si>
  <si>
    <t xml:space="preserve">w tym: dotacja                              </t>
  </si>
  <si>
    <t xml:space="preserve">w tym: dotacja </t>
  </si>
  <si>
    <t>w tym: dotacja</t>
  </si>
  <si>
    <t>oraz dochodów i wydatków rachunków dochodów własnych</t>
  </si>
  <si>
    <t>Centrum Integracji Społecznej "Integro"</t>
  </si>
  <si>
    <t>Razem środki specjalne i rachunki dochodów własnych, z tego:</t>
  </si>
  <si>
    <t xml:space="preserve">  Przychody i dochody</t>
  </si>
  <si>
    <t>SKARBNIK MIASTA LUBLIN</t>
  </si>
  <si>
    <t>PREZYDNET</t>
  </si>
  <si>
    <t>Miasta Lublin</t>
  </si>
  <si>
    <t>Andrzej Pruszkowski</t>
  </si>
  <si>
    <t>mgr Irena Szumlak</t>
  </si>
  <si>
    <t>do zarządzenia nr 122/2006</t>
  </si>
  <si>
    <t>z dnia 17 marca 2006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</si>
</sst>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00\-000"/>
  </numFmts>
  <fonts count="2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sz val="12"/>
      <name val="Arial CE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Border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wrapText="1"/>
    </xf>
    <xf numFmtId="0" fontId="7" fillId="0" borderId="0" xfId="0" applyFont="1" applyAlignment="1">
      <alignment/>
    </xf>
    <xf numFmtId="3" fontId="7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left" wrapText="1"/>
    </xf>
    <xf numFmtId="3" fontId="1" fillId="0" borderId="19" xfId="0" applyNumberFormat="1" applyFont="1" applyBorder="1" applyAlignment="1" quotePrefix="1">
      <alignment horizontal="right"/>
    </xf>
    <xf numFmtId="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3" fontId="1" fillId="0" borderId="8" xfId="0" applyNumberFormat="1" applyFont="1" applyBorder="1" applyAlignment="1" quotePrefix="1">
      <alignment horizontal="right"/>
    </xf>
    <xf numFmtId="0" fontId="1" fillId="0" borderId="8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3" fontId="1" fillId="0" borderId="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7" fillId="0" borderId="8" xfId="0" applyNumberFormat="1" applyFont="1" applyBorder="1" applyAlignment="1" quotePrefix="1">
      <alignment horizontal="right"/>
    </xf>
    <xf numFmtId="0" fontId="7" fillId="0" borderId="8" xfId="0" applyNumberFormat="1" applyFont="1" applyBorder="1" applyAlignment="1">
      <alignment/>
    </xf>
    <xf numFmtId="0" fontId="7" fillId="0" borderId="9" xfId="0" applyFont="1" applyBorder="1" applyAlignment="1">
      <alignment wrapText="1"/>
    </xf>
    <xf numFmtId="3" fontId="7" fillId="0" borderId="8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27" xfId="0" applyFont="1" applyBorder="1" applyAlignment="1">
      <alignment horizontal="left" wrapText="1"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30" xfId="0" applyNumberFormat="1" applyFont="1" applyBorder="1" applyAlignment="1">
      <alignment/>
    </xf>
    <xf numFmtId="0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wrapText="1"/>
    </xf>
    <xf numFmtId="3" fontId="1" fillId="0" borderId="3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4" fillId="2" borderId="8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31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/>
    </xf>
    <xf numFmtId="3" fontId="5" fillId="2" borderId="27" xfId="0" applyNumberFormat="1" applyFont="1" applyFill="1" applyBorder="1" applyAlignment="1">
      <alignment horizontal="left" wrapText="1"/>
    </xf>
    <xf numFmtId="3" fontId="5" fillId="2" borderId="7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" fillId="0" borderId="7" xfId="0" applyNumberFormat="1" applyFont="1" applyBorder="1" applyAlignment="1" quotePrefix="1">
      <alignment horizontal="right"/>
    </xf>
    <xf numFmtId="3" fontId="5" fillId="3" borderId="8" xfId="0" applyNumberFormat="1" applyFont="1" applyFill="1" applyBorder="1" applyAlignment="1">
      <alignment/>
    </xf>
    <xf numFmtId="0" fontId="5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3" borderId="0" xfId="0" applyFont="1" applyFill="1" applyAlignment="1">
      <alignment/>
    </xf>
    <xf numFmtId="3" fontId="5" fillId="3" borderId="34" xfId="0" applyNumberFormat="1" applyFont="1" applyFill="1" applyBorder="1" applyAlignment="1">
      <alignment horizontal="left" wrapText="1"/>
    </xf>
    <xf numFmtId="3" fontId="5" fillId="3" borderId="35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9" xfId="0" applyFont="1" applyBorder="1" applyAlignment="1">
      <alignment wrapText="1"/>
    </xf>
    <xf numFmtId="3" fontId="5" fillId="0" borderId="3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20" fontId="2" fillId="0" borderId="6" xfId="0" applyNumberFormat="1" applyFont="1" applyBorder="1" applyAlignment="1" quotePrefix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3" fontId="1" fillId="0" borderId="24" xfId="0" applyNumberFormat="1" applyFont="1" applyBorder="1" applyAlignment="1">
      <alignment vertical="center"/>
    </xf>
    <xf numFmtId="0" fontId="1" fillId="0" borderId="27" xfId="0" applyFont="1" applyBorder="1" applyAlignment="1">
      <alignment wrapText="1"/>
    </xf>
    <xf numFmtId="10" fontId="2" fillId="2" borderId="8" xfId="0" applyNumberFormat="1" applyFont="1" applyFill="1" applyBorder="1" applyAlignment="1">
      <alignment horizontal="center" wrapText="1"/>
    </xf>
    <xf numFmtId="10" fontId="3" fillId="0" borderId="10" xfId="0" applyNumberFormat="1" applyFont="1" applyBorder="1" applyAlignment="1">
      <alignment horizontal="right" wrapText="1"/>
    </xf>
    <xf numFmtId="10" fontId="3" fillId="0" borderId="14" xfId="0" applyNumberFormat="1" applyFont="1" applyBorder="1" applyAlignment="1">
      <alignment horizontal="right" wrapText="1"/>
    </xf>
    <xf numFmtId="10" fontId="4" fillId="2" borderId="8" xfId="0" applyNumberFormat="1" applyFont="1" applyFill="1" applyBorder="1" applyAlignment="1">
      <alignment horizontal="right"/>
    </xf>
    <xf numFmtId="10" fontId="6" fillId="2" borderId="8" xfId="0" applyNumberFormat="1" applyFont="1" applyFill="1" applyBorder="1" applyAlignment="1">
      <alignment horizontal="right"/>
    </xf>
    <xf numFmtId="10" fontId="5" fillId="0" borderId="8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10" fontId="4" fillId="2" borderId="7" xfId="0" applyNumberFormat="1" applyFont="1" applyFill="1" applyBorder="1" applyAlignment="1">
      <alignment horizontal="right"/>
    </xf>
    <xf numFmtId="10" fontId="4" fillId="2" borderId="8" xfId="0" applyNumberFormat="1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 horizontal="center" wrapText="1"/>
    </xf>
    <xf numFmtId="10" fontId="0" fillId="0" borderId="14" xfId="0" applyNumberFormat="1" applyFont="1" applyBorder="1" applyAlignment="1">
      <alignment horizontal="center" wrapText="1"/>
    </xf>
    <xf numFmtId="10" fontId="0" fillId="0" borderId="1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10" fontId="1" fillId="0" borderId="19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3" fontId="1" fillId="0" borderId="41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6" fillId="0" borderId="0" xfId="0" applyFont="1" applyAlignment="1">
      <alignment horizontal="left"/>
    </xf>
    <xf numFmtId="10" fontId="9" fillId="2" borderId="7" xfId="0" applyNumberFormat="1" applyFont="1" applyFill="1" applyBorder="1" applyAlignment="1">
      <alignment horizontal="center" vertical="center" wrapText="1"/>
    </xf>
    <xf numFmtId="10" fontId="9" fillId="3" borderId="35" xfId="0" applyNumberFormat="1" applyFont="1" applyFill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center" wrapText="1"/>
    </xf>
    <xf numFmtId="10" fontId="3" fillId="0" borderId="28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wrapText="1"/>
    </xf>
    <xf numFmtId="10" fontId="3" fillId="0" borderId="33" xfId="0" applyNumberFormat="1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10" fontId="3" fillId="0" borderId="26" xfId="0" applyNumberFormat="1" applyFont="1" applyBorder="1" applyAlignment="1">
      <alignment horizontal="center" vertical="center" wrapText="1"/>
    </xf>
    <xf numFmtId="10" fontId="9" fillId="0" borderId="26" xfId="0" applyNumberFormat="1" applyFont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/>
    </xf>
    <xf numFmtId="10" fontId="5" fillId="3" borderId="35" xfId="0" applyNumberFormat="1" applyFont="1" applyFill="1" applyBorder="1" applyAlignment="1">
      <alignment/>
    </xf>
    <xf numFmtId="10" fontId="5" fillId="0" borderId="8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right" wrapText="1"/>
    </xf>
    <xf numFmtId="10" fontId="15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42" xfId="0" applyNumberFormat="1" applyFont="1" applyBorder="1" applyAlignment="1">
      <alignment/>
    </xf>
    <xf numFmtId="0" fontId="17" fillId="0" borderId="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10" fontId="1" fillId="0" borderId="21" xfId="0" applyNumberFormat="1" applyFont="1" applyBorder="1" applyAlignment="1">
      <alignment horizontal="right" wrapText="1"/>
    </xf>
    <xf numFmtId="10" fontId="0" fillId="0" borderId="21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NumberFormat="1" applyFont="1" applyBorder="1" applyAlignment="1">
      <alignment/>
    </xf>
    <xf numFmtId="0" fontId="5" fillId="0" borderId="35" xfId="0" applyFont="1" applyBorder="1" applyAlignment="1">
      <alignment horizontal="left" wrapText="1"/>
    </xf>
    <xf numFmtId="10" fontId="5" fillId="0" borderId="35" xfId="0" applyNumberFormat="1" applyFont="1" applyBorder="1" applyAlignment="1">
      <alignment/>
    </xf>
    <xf numFmtId="10" fontId="9" fillId="0" borderId="3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9-r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11"/>
  <dimension ref="A1:AP109"/>
  <sheetViews>
    <sheetView tabSelected="1" zoomScale="85" zoomScaleNormal="85" workbookViewId="0" topLeftCell="I1">
      <selection activeCell="O4" sqref="O4"/>
    </sheetView>
  </sheetViews>
  <sheetFormatPr defaultColWidth="9.00390625" defaultRowHeight="12.75"/>
  <cols>
    <col min="1" max="1" width="5.00390625" style="0" customWidth="1"/>
    <col min="2" max="2" width="6.875" style="0" customWidth="1"/>
    <col min="3" max="3" width="24.375" style="0" customWidth="1"/>
    <col min="4" max="4" width="11.75390625" style="0" customWidth="1"/>
    <col min="5" max="5" width="11.125" style="0" customWidth="1"/>
    <col min="6" max="6" width="11.75390625" style="0" customWidth="1"/>
    <col min="7" max="7" width="11.25390625" style="0" customWidth="1"/>
    <col min="8" max="8" width="11.75390625" style="0" customWidth="1"/>
    <col min="9" max="9" width="11.00390625" style="0" customWidth="1"/>
    <col min="10" max="10" width="8.75390625" style="0" customWidth="1"/>
    <col min="11" max="11" width="9.25390625" style="0" customWidth="1"/>
    <col min="12" max="12" width="12.25390625" style="0" customWidth="1"/>
    <col min="13" max="13" width="12.125" style="0" customWidth="1"/>
    <col min="14" max="14" width="11.75390625" style="0" customWidth="1"/>
    <col min="15" max="15" width="10.375" style="0" customWidth="1"/>
    <col min="16" max="16" width="11.75390625" style="0" customWidth="1"/>
    <col min="17" max="17" width="10.375" style="0" customWidth="1"/>
    <col min="18" max="18" width="9.375" style="0" bestFit="1" customWidth="1"/>
    <col min="19" max="19" width="8.00390625" style="124" customWidth="1"/>
  </cols>
  <sheetData>
    <row r="1" spans="1:19" s="4" customFormat="1" ht="13.5" customHeight="1">
      <c r="A1" s="1"/>
      <c r="B1" s="2"/>
      <c r="C1" s="3"/>
      <c r="J1" s="5"/>
      <c r="K1" s="5"/>
      <c r="Q1" s="203" t="s">
        <v>65</v>
      </c>
      <c r="S1" s="121"/>
    </row>
    <row r="2" spans="1:19" s="4" customFormat="1" ht="13.5" customHeight="1">
      <c r="A2" s="1"/>
      <c r="B2" s="2"/>
      <c r="D2" s="6"/>
      <c r="E2" s="7"/>
      <c r="F2" s="7"/>
      <c r="G2" s="7"/>
      <c r="H2" s="7"/>
      <c r="I2" s="7"/>
      <c r="J2" s="8"/>
      <c r="K2" s="8"/>
      <c r="N2" s="7"/>
      <c r="O2" s="7"/>
      <c r="P2" s="7"/>
      <c r="Q2" s="204" t="s">
        <v>96</v>
      </c>
      <c r="R2" s="7"/>
      <c r="S2" s="122"/>
    </row>
    <row r="3" spans="1:19" s="4" customFormat="1" ht="18">
      <c r="A3" s="1"/>
      <c r="C3" s="209" t="s">
        <v>81</v>
      </c>
      <c r="D3" s="9"/>
      <c r="E3" s="9"/>
      <c r="F3" s="9"/>
      <c r="G3" s="9"/>
      <c r="H3" s="9"/>
      <c r="I3" s="9"/>
      <c r="J3" s="8"/>
      <c r="K3" s="8"/>
      <c r="N3" s="9"/>
      <c r="O3" s="9"/>
      <c r="P3" s="9"/>
      <c r="Q3" s="204" t="s">
        <v>82</v>
      </c>
      <c r="R3" s="9"/>
      <c r="S3" s="123"/>
    </row>
    <row r="4" spans="1:19" s="4" customFormat="1" ht="16.5" customHeight="1">
      <c r="A4" s="1"/>
      <c r="B4" s="2"/>
      <c r="C4" s="209" t="s">
        <v>87</v>
      </c>
      <c r="D4" s="6"/>
      <c r="E4" s="7"/>
      <c r="F4" s="7"/>
      <c r="G4" s="7"/>
      <c r="H4" s="7"/>
      <c r="I4" s="7"/>
      <c r="J4" s="8"/>
      <c r="K4" s="8"/>
      <c r="N4" s="7"/>
      <c r="O4" s="7"/>
      <c r="P4" s="7"/>
      <c r="Q4" s="204" t="s">
        <v>97</v>
      </c>
      <c r="R4" s="7"/>
      <c r="S4" s="122"/>
    </row>
    <row r="5" spans="1:19" s="4" customFormat="1" ht="9.75" customHeight="1">
      <c r="A5" s="1"/>
      <c r="B5" s="2"/>
      <c r="C5" s="3"/>
      <c r="D5" s="6"/>
      <c r="E5" s="7"/>
      <c r="F5" s="7"/>
      <c r="G5" s="7"/>
      <c r="H5" s="7"/>
      <c r="I5" s="7"/>
      <c r="J5" s="8"/>
      <c r="K5" s="8"/>
      <c r="N5" s="7"/>
      <c r="O5" s="7"/>
      <c r="P5" s="7"/>
      <c r="Q5" s="7"/>
      <c r="R5" s="7"/>
      <c r="S5" s="122"/>
    </row>
    <row r="6" spans="1:18" s="4" customFormat="1" ht="15" customHeight="1" thickBot="1">
      <c r="A6" s="10"/>
      <c r="B6" s="11"/>
      <c r="C6" s="12"/>
      <c r="D6" s="13"/>
      <c r="E6" s="13"/>
      <c r="F6" s="13"/>
      <c r="G6" s="13"/>
      <c r="H6" s="13"/>
      <c r="I6" s="13"/>
      <c r="J6" s="14"/>
      <c r="K6" s="14"/>
      <c r="L6" s="13"/>
      <c r="N6" s="13"/>
      <c r="O6" s="119"/>
      <c r="P6" s="13"/>
      <c r="Q6" s="13"/>
      <c r="R6" s="13" t="s">
        <v>0</v>
      </c>
    </row>
    <row r="7" spans="1:42" s="6" customFormat="1" ht="21" customHeight="1" thickBot="1" thickTop="1">
      <c r="A7" s="15"/>
      <c r="B7" s="16"/>
      <c r="C7" s="17"/>
      <c r="D7" s="212" t="s">
        <v>90</v>
      </c>
      <c r="E7" s="213"/>
      <c r="F7" s="213"/>
      <c r="G7" s="213"/>
      <c r="H7" s="213"/>
      <c r="I7" s="213"/>
      <c r="J7" s="213"/>
      <c r="K7" s="214"/>
      <c r="L7" s="212" t="s">
        <v>1</v>
      </c>
      <c r="M7" s="213"/>
      <c r="N7" s="213"/>
      <c r="O7" s="213"/>
      <c r="P7" s="213"/>
      <c r="Q7" s="213"/>
      <c r="R7" s="213"/>
      <c r="S7" s="21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6" customFormat="1" ht="38.25" customHeight="1" thickBot="1" thickTop="1">
      <c r="A8" s="130"/>
      <c r="B8" s="131"/>
      <c r="C8" s="132"/>
      <c r="D8" s="210" t="s">
        <v>54</v>
      </c>
      <c r="E8" s="211"/>
      <c r="F8" s="210" t="s">
        <v>63</v>
      </c>
      <c r="G8" s="211"/>
      <c r="H8" s="210" t="s">
        <v>80</v>
      </c>
      <c r="I8" s="211"/>
      <c r="J8" s="133" t="s">
        <v>55</v>
      </c>
      <c r="K8" s="133" t="s">
        <v>55</v>
      </c>
      <c r="L8" s="210" t="s">
        <v>54</v>
      </c>
      <c r="M8" s="211"/>
      <c r="N8" s="210" t="s">
        <v>64</v>
      </c>
      <c r="O8" s="211"/>
      <c r="P8" s="210" t="s">
        <v>80</v>
      </c>
      <c r="Q8" s="211"/>
      <c r="R8" s="133" t="s">
        <v>55</v>
      </c>
      <c r="S8" s="133" t="s">
        <v>55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24" customFormat="1" ht="39" customHeight="1" thickBot="1" thickTop="1">
      <c r="A9" s="18" t="s">
        <v>2</v>
      </c>
      <c r="B9" s="19" t="s">
        <v>3</v>
      </c>
      <c r="C9" s="20" t="s">
        <v>4</v>
      </c>
      <c r="D9" s="21" t="s">
        <v>5</v>
      </c>
      <c r="E9" s="22" t="s">
        <v>84</v>
      </c>
      <c r="F9" s="23" t="s">
        <v>5</v>
      </c>
      <c r="G9" s="22" t="s">
        <v>85</v>
      </c>
      <c r="H9" s="23" t="s">
        <v>5</v>
      </c>
      <c r="I9" s="22" t="s">
        <v>86</v>
      </c>
      <c r="J9" s="134" t="s">
        <v>62</v>
      </c>
      <c r="K9" s="134" t="s">
        <v>56</v>
      </c>
      <c r="L9" s="135" t="s">
        <v>5</v>
      </c>
      <c r="M9" s="22" t="s">
        <v>66</v>
      </c>
      <c r="N9" s="23" t="s">
        <v>5</v>
      </c>
      <c r="O9" s="22" t="s">
        <v>73</v>
      </c>
      <c r="P9" s="118" t="s">
        <v>5</v>
      </c>
      <c r="Q9" s="22" t="s">
        <v>73</v>
      </c>
      <c r="R9" s="134" t="s">
        <v>57</v>
      </c>
      <c r="S9" s="134" t="s">
        <v>58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29" customFormat="1" ht="14.25" thickBot="1" thickTop="1">
      <c r="A10" s="25">
        <v>1</v>
      </c>
      <c r="B10" s="26">
        <v>2</v>
      </c>
      <c r="C10" s="27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8">
        <v>10</v>
      </c>
      <c r="K10" s="28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33" customFormat="1" ht="40.5" customHeight="1" thickTop="1">
      <c r="A11" s="30"/>
      <c r="B11" s="31"/>
      <c r="C11" s="104" t="s">
        <v>37</v>
      </c>
      <c r="D11" s="32">
        <f aca="true" t="shared" si="0" ref="D11:I11">D12+D16</f>
        <v>76008430</v>
      </c>
      <c r="E11" s="32">
        <f t="shared" si="0"/>
        <v>5947600</v>
      </c>
      <c r="F11" s="32">
        <f>F12+F16</f>
        <v>78000871</v>
      </c>
      <c r="G11" s="32">
        <f>G12+G16</f>
        <v>7308130</v>
      </c>
      <c r="H11" s="32">
        <f>H12+H16</f>
        <v>77420067</v>
      </c>
      <c r="I11" s="32">
        <f t="shared" si="0"/>
        <v>7213758</v>
      </c>
      <c r="J11" s="154">
        <f aca="true" t="shared" si="1" ref="J11:J28">H11/F11</f>
        <v>0.9925538780201569</v>
      </c>
      <c r="K11" s="154">
        <f aca="true" t="shared" si="2" ref="K11:K28">I11/G11</f>
        <v>0.9870867102801948</v>
      </c>
      <c r="L11" s="32">
        <f aca="true" t="shared" si="3" ref="L11:Q11">L12+L16</f>
        <v>75970430</v>
      </c>
      <c r="M11" s="32">
        <f t="shared" si="3"/>
        <v>6736100</v>
      </c>
      <c r="N11" s="32">
        <f t="shared" si="3"/>
        <v>77339370</v>
      </c>
      <c r="O11" s="32">
        <f t="shared" si="3"/>
        <v>6840409</v>
      </c>
      <c r="P11" s="32">
        <f t="shared" si="3"/>
        <v>76883797</v>
      </c>
      <c r="Q11" s="32">
        <f t="shared" si="3"/>
        <v>6754321</v>
      </c>
      <c r="R11" s="154">
        <f aca="true" t="shared" si="4" ref="R11:R28">P11/N11</f>
        <v>0.9941094296475391</v>
      </c>
      <c r="S11" s="154">
        <f aca="true" t="shared" si="5" ref="S11:S28">Q11/O11</f>
        <v>0.9874147876245412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37" customFormat="1" ht="24.75" customHeight="1">
      <c r="A12" s="34"/>
      <c r="B12" s="35"/>
      <c r="C12" s="36" t="s">
        <v>67</v>
      </c>
      <c r="D12" s="34">
        <f aca="true" t="shared" si="6" ref="D12:I12">SUM(D13:D15)</f>
        <v>73363830</v>
      </c>
      <c r="E12" s="34">
        <f t="shared" si="6"/>
        <v>5805000</v>
      </c>
      <c r="F12" s="34">
        <f t="shared" si="6"/>
        <v>75124842</v>
      </c>
      <c r="G12" s="34">
        <f t="shared" si="6"/>
        <v>6955000</v>
      </c>
      <c r="H12" s="34">
        <f t="shared" si="6"/>
        <v>74695004</v>
      </c>
      <c r="I12" s="34">
        <f t="shared" si="6"/>
        <v>6860628</v>
      </c>
      <c r="J12" s="147">
        <f t="shared" si="1"/>
        <v>0.9942783506952334</v>
      </c>
      <c r="K12" s="147">
        <f t="shared" si="2"/>
        <v>0.9864310567936736</v>
      </c>
      <c r="L12" s="34">
        <f aca="true" t="shared" si="7" ref="L12:Q12">SUM(L13:L15)</f>
        <v>73325830</v>
      </c>
      <c r="M12" s="34">
        <f t="shared" si="7"/>
        <v>5908400</v>
      </c>
      <c r="N12" s="34">
        <f t="shared" si="7"/>
        <v>74462576</v>
      </c>
      <c r="O12" s="34">
        <f t="shared" si="7"/>
        <v>5908400</v>
      </c>
      <c r="P12" s="34">
        <f t="shared" si="7"/>
        <v>74286793</v>
      </c>
      <c r="Q12" s="34">
        <f t="shared" si="7"/>
        <v>5907678</v>
      </c>
      <c r="R12" s="147">
        <f t="shared" si="4"/>
        <v>0.9976393107861323</v>
      </c>
      <c r="S12" s="147">
        <f t="shared" si="5"/>
        <v>0.9998778010967436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19" s="4" customFormat="1" ht="27.75" customHeight="1">
      <c r="A13" s="38">
        <v>630</v>
      </c>
      <c r="B13" s="39">
        <v>63001</v>
      </c>
      <c r="C13" s="40" t="s">
        <v>6</v>
      </c>
      <c r="D13" s="41">
        <v>356330</v>
      </c>
      <c r="E13" s="38">
        <v>155000</v>
      </c>
      <c r="F13" s="38">
        <v>356330</v>
      </c>
      <c r="G13" s="38">
        <v>155000</v>
      </c>
      <c r="H13" s="38">
        <v>287400</v>
      </c>
      <c r="I13" s="38">
        <v>155000</v>
      </c>
      <c r="J13" s="148">
        <f t="shared" si="1"/>
        <v>0.8065557208205877</v>
      </c>
      <c r="K13" s="148">
        <f t="shared" si="2"/>
        <v>1</v>
      </c>
      <c r="L13" s="42">
        <v>356330</v>
      </c>
      <c r="M13" s="42">
        <v>153400</v>
      </c>
      <c r="N13" s="38">
        <v>356330</v>
      </c>
      <c r="O13" s="38">
        <v>153400</v>
      </c>
      <c r="P13" s="38">
        <v>290538</v>
      </c>
      <c r="Q13" s="38">
        <f>141950+11024</f>
        <v>152974</v>
      </c>
      <c r="R13" s="148">
        <f t="shared" si="4"/>
        <v>0.8153621642859148</v>
      </c>
      <c r="S13" s="148">
        <f t="shared" si="5"/>
        <v>0.9972229465449804</v>
      </c>
    </row>
    <row r="14" spans="1:19" s="4" customFormat="1" ht="27.75" customHeight="1">
      <c r="A14" s="43">
        <v>700</v>
      </c>
      <c r="B14" s="44">
        <v>70001</v>
      </c>
      <c r="C14" s="45" t="s">
        <v>7</v>
      </c>
      <c r="D14" s="46">
        <v>67972000</v>
      </c>
      <c r="E14" s="43">
        <v>4000000</v>
      </c>
      <c r="F14" s="43">
        <v>68352000</v>
      </c>
      <c r="G14" s="43">
        <v>5100000</v>
      </c>
      <c r="H14" s="43">
        <v>67991425</v>
      </c>
      <c r="I14" s="43">
        <v>5027277</v>
      </c>
      <c r="J14" s="149">
        <f t="shared" si="1"/>
        <v>0.9947247337312735</v>
      </c>
      <c r="K14" s="149">
        <f t="shared" si="2"/>
        <v>0.9857405882352941</v>
      </c>
      <c r="L14" s="47">
        <v>67934000</v>
      </c>
      <c r="M14" s="47">
        <f>3256000+50000</f>
        <v>3306000</v>
      </c>
      <c r="N14" s="43">
        <v>67855536</v>
      </c>
      <c r="O14" s="43">
        <v>3306000</v>
      </c>
      <c r="P14" s="43">
        <v>67746354</v>
      </c>
      <c r="Q14" s="43">
        <v>3305999</v>
      </c>
      <c r="R14" s="149">
        <f t="shared" si="4"/>
        <v>0.9983909640032907</v>
      </c>
      <c r="S14" s="149">
        <v>0.9999</v>
      </c>
    </row>
    <row r="15" spans="1:19" s="4" customFormat="1" ht="27.75" customHeight="1">
      <c r="A15" s="193">
        <v>926</v>
      </c>
      <c r="B15" s="194">
        <v>92604</v>
      </c>
      <c r="C15" s="136" t="s">
        <v>69</v>
      </c>
      <c r="D15" s="90">
        <f>10985500-6000000+50000</f>
        <v>5035500</v>
      </c>
      <c r="E15" s="90">
        <f>1600000+50000</f>
        <v>1650000</v>
      </c>
      <c r="F15" s="69">
        <v>6416512</v>
      </c>
      <c r="G15" s="69">
        <v>1700000</v>
      </c>
      <c r="H15" s="69">
        <v>6416179</v>
      </c>
      <c r="I15" s="69">
        <v>1678351</v>
      </c>
      <c r="J15" s="150">
        <f>H15/F15</f>
        <v>0.9999481026451754</v>
      </c>
      <c r="K15" s="150">
        <f t="shared" si="2"/>
        <v>0.9872652941176471</v>
      </c>
      <c r="L15" s="137">
        <f>10985500-6000000+50000</f>
        <v>5035500</v>
      </c>
      <c r="M15" s="138">
        <f>2229000+220000</f>
        <v>2449000</v>
      </c>
      <c r="N15" s="69">
        <v>6250710</v>
      </c>
      <c r="O15" s="69">
        <v>2449000</v>
      </c>
      <c r="P15" s="69">
        <v>6249901</v>
      </c>
      <c r="Q15" s="69">
        <v>2448705</v>
      </c>
      <c r="R15" s="150">
        <f t="shared" si="4"/>
        <v>0.9998705747027138</v>
      </c>
      <c r="S15" s="150">
        <f t="shared" si="5"/>
        <v>0.9998795426704777</v>
      </c>
    </row>
    <row r="16" spans="1:42" s="52" customFormat="1" ht="26.25" customHeight="1">
      <c r="A16" s="34"/>
      <c r="B16" s="35"/>
      <c r="C16" s="51" t="s">
        <v>68</v>
      </c>
      <c r="D16" s="34">
        <f>D17+D27</f>
        <v>2644600</v>
      </c>
      <c r="E16" s="34">
        <f>E17+E27</f>
        <v>142600</v>
      </c>
      <c r="F16" s="34">
        <f>F17+F27+F25</f>
        <v>2876029</v>
      </c>
      <c r="G16" s="34">
        <f>G17+G27+G25</f>
        <v>353130</v>
      </c>
      <c r="H16" s="34">
        <f>H17+H27+H25</f>
        <v>2725063</v>
      </c>
      <c r="I16" s="34">
        <f>I17+I27+I25</f>
        <v>353130</v>
      </c>
      <c r="J16" s="147">
        <f t="shared" si="1"/>
        <v>0.947508874215107</v>
      </c>
      <c r="K16" s="147">
        <f t="shared" si="2"/>
        <v>1</v>
      </c>
      <c r="L16" s="34">
        <f>L17+L27</f>
        <v>2644600</v>
      </c>
      <c r="M16" s="34">
        <f>M17+M27</f>
        <v>827700</v>
      </c>
      <c r="N16" s="34">
        <f>N17+N27+N25</f>
        <v>2876794</v>
      </c>
      <c r="O16" s="34">
        <f>O17+O27+O25</f>
        <v>932009</v>
      </c>
      <c r="P16" s="34">
        <f>P17+P27+P25</f>
        <v>2597004</v>
      </c>
      <c r="Q16" s="34">
        <f>Q17+Q27+Q25</f>
        <v>846643</v>
      </c>
      <c r="R16" s="147">
        <f t="shared" si="4"/>
        <v>0.902742427855453</v>
      </c>
      <c r="S16" s="147">
        <f t="shared" si="5"/>
        <v>0.9084064638860784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52" customFormat="1" ht="19.5" customHeight="1">
      <c r="A17" s="53">
        <v>801</v>
      </c>
      <c r="B17" s="54"/>
      <c r="C17" s="55" t="s">
        <v>8</v>
      </c>
      <c r="D17" s="53">
        <f aca="true" t="shared" si="8" ref="D17:I17">SUM(D18:D24)</f>
        <v>2554600</v>
      </c>
      <c r="E17" s="53">
        <f t="shared" si="8"/>
        <v>109600</v>
      </c>
      <c r="F17" s="53">
        <f t="shared" si="8"/>
        <v>2526553</v>
      </c>
      <c r="G17" s="53">
        <f t="shared" si="8"/>
        <v>104130</v>
      </c>
      <c r="H17" s="53">
        <f t="shared" si="8"/>
        <v>2371703</v>
      </c>
      <c r="I17" s="53">
        <f t="shared" si="8"/>
        <v>104130</v>
      </c>
      <c r="J17" s="151">
        <f t="shared" si="1"/>
        <v>0.9387109631185255</v>
      </c>
      <c r="K17" s="151">
        <f t="shared" si="2"/>
        <v>1</v>
      </c>
      <c r="L17" s="53">
        <f aca="true" t="shared" si="9" ref="L17:Q17">SUM(L18:L24)</f>
        <v>2554600</v>
      </c>
      <c r="M17" s="53">
        <f t="shared" si="9"/>
        <v>809000</v>
      </c>
      <c r="N17" s="53">
        <f t="shared" si="9"/>
        <v>2527318</v>
      </c>
      <c r="O17" s="53">
        <f t="shared" si="9"/>
        <v>848059</v>
      </c>
      <c r="P17" s="53">
        <f t="shared" si="9"/>
        <v>2300459</v>
      </c>
      <c r="Q17" s="53">
        <f t="shared" si="9"/>
        <v>794684</v>
      </c>
      <c r="R17" s="151">
        <f t="shared" si="4"/>
        <v>0.9102372554621144</v>
      </c>
      <c r="S17" s="151">
        <f t="shared" si="5"/>
        <v>0.937062161948638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19" s="4" customFormat="1" ht="39" customHeight="1">
      <c r="A18" s="56"/>
      <c r="B18" s="57">
        <v>80197</v>
      </c>
      <c r="C18" s="58" t="s">
        <v>9</v>
      </c>
      <c r="D18" s="59">
        <v>234600</v>
      </c>
      <c r="E18" s="59">
        <v>16400</v>
      </c>
      <c r="F18" s="59">
        <v>66918</v>
      </c>
      <c r="G18" s="59">
        <v>10930</v>
      </c>
      <c r="H18" s="59">
        <v>66918</v>
      </c>
      <c r="I18" s="59">
        <v>10930</v>
      </c>
      <c r="J18" s="152">
        <f t="shared" si="1"/>
        <v>1</v>
      </c>
      <c r="K18" s="152">
        <f t="shared" si="2"/>
        <v>1</v>
      </c>
      <c r="L18" s="60">
        <v>234600</v>
      </c>
      <c r="M18" s="59">
        <v>50100</v>
      </c>
      <c r="N18" s="60">
        <v>75474</v>
      </c>
      <c r="O18" s="59">
        <v>32208</v>
      </c>
      <c r="P18" s="43">
        <v>75474</v>
      </c>
      <c r="Q18" s="59">
        <v>32208</v>
      </c>
      <c r="R18" s="152">
        <f t="shared" si="4"/>
        <v>1</v>
      </c>
      <c r="S18" s="152">
        <f t="shared" si="5"/>
        <v>1</v>
      </c>
    </row>
    <row r="19" spans="1:19" s="4" customFormat="1" ht="50.25" customHeight="1">
      <c r="A19" s="56"/>
      <c r="B19" s="61">
        <v>80197</v>
      </c>
      <c r="C19" s="62" t="s">
        <v>10</v>
      </c>
      <c r="D19" s="43">
        <v>359100</v>
      </c>
      <c r="E19" s="43">
        <v>15400</v>
      </c>
      <c r="F19" s="43">
        <v>452160</v>
      </c>
      <c r="G19" s="43">
        <v>15400</v>
      </c>
      <c r="H19" s="43">
        <v>445445</v>
      </c>
      <c r="I19" s="43">
        <v>15400</v>
      </c>
      <c r="J19" s="149">
        <f t="shared" si="1"/>
        <v>0.9851490622788394</v>
      </c>
      <c r="K19" s="149">
        <f>I19/G19</f>
        <v>1</v>
      </c>
      <c r="L19" s="63">
        <v>359100</v>
      </c>
      <c r="M19" s="59">
        <v>115500</v>
      </c>
      <c r="N19" s="63">
        <v>452160</v>
      </c>
      <c r="O19" s="59">
        <v>168350</v>
      </c>
      <c r="P19" s="43">
        <v>446798</v>
      </c>
      <c r="Q19" s="43">
        <v>163055</v>
      </c>
      <c r="R19" s="149">
        <f t="shared" si="4"/>
        <v>0.9881413658881811</v>
      </c>
      <c r="S19" s="149">
        <f t="shared" si="5"/>
        <v>0.9685476685476685</v>
      </c>
    </row>
    <row r="20" spans="1:19" s="4" customFormat="1" ht="28.5" customHeight="1">
      <c r="A20" s="56"/>
      <c r="B20" s="57">
        <v>80197</v>
      </c>
      <c r="C20" s="58" t="s">
        <v>11</v>
      </c>
      <c r="D20" s="59">
        <v>259000</v>
      </c>
      <c r="E20" s="59">
        <v>23500</v>
      </c>
      <c r="F20" s="59">
        <v>176929</v>
      </c>
      <c r="G20" s="59">
        <v>15670</v>
      </c>
      <c r="H20" s="59">
        <v>178144</v>
      </c>
      <c r="I20" s="59">
        <v>15670</v>
      </c>
      <c r="J20" s="149">
        <f t="shared" si="1"/>
        <v>1.006867161403727</v>
      </c>
      <c r="K20" s="149">
        <f t="shared" si="2"/>
        <v>1</v>
      </c>
      <c r="L20" s="60">
        <v>259000</v>
      </c>
      <c r="M20" s="59">
        <v>81900</v>
      </c>
      <c r="N20" s="60">
        <v>169138</v>
      </c>
      <c r="O20" s="59">
        <v>49999</v>
      </c>
      <c r="P20" s="43">
        <v>165667</v>
      </c>
      <c r="Q20" s="43">
        <v>49999</v>
      </c>
      <c r="R20" s="149">
        <f t="shared" si="4"/>
        <v>0.979478295829441</v>
      </c>
      <c r="S20" s="149">
        <f t="shared" si="5"/>
        <v>1</v>
      </c>
    </row>
    <row r="21" spans="1:19" s="4" customFormat="1" ht="38.25" customHeight="1">
      <c r="A21" s="56"/>
      <c r="B21" s="57">
        <v>80197</v>
      </c>
      <c r="C21" s="64" t="s">
        <v>12</v>
      </c>
      <c r="D21" s="43">
        <v>187200</v>
      </c>
      <c r="E21" s="43">
        <v>34400</v>
      </c>
      <c r="F21" s="43">
        <v>273600</v>
      </c>
      <c r="G21" s="43">
        <v>42230</v>
      </c>
      <c r="H21" s="43">
        <v>298863</v>
      </c>
      <c r="I21" s="43">
        <v>42230</v>
      </c>
      <c r="J21" s="149">
        <f t="shared" si="1"/>
        <v>1.0923355263157895</v>
      </c>
      <c r="K21" s="149">
        <f t="shared" si="2"/>
        <v>1</v>
      </c>
      <c r="L21" s="63">
        <v>187200</v>
      </c>
      <c r="M21" s="59">
        <v>48800</v>
      </c>
      <c r="N21" s="63">
        <v>273600</v>
      </c>
      <c r="O21" s="59">
        <v>84802</v>
      </c>
      <c r="P21" s="43">
        <v>232862</v>
      </c>
      <c r="Q21" s="43">
        <v>71638</v>
      </c>
      <c r="R21" s="149">
        <f t="shared" si="4"/>
        <v>0.8511038011695906</v>
      </c>
      <c r="S21" s="149">
        <f t="shared" si="5"/>
        <v>0.8447678120799038</v>
      </c>
    </row>
    <row r="22" spans="1:19" s="4" customFormat="1" ht="28.5" customHeight="1">
      <c r="A22" s="56"/>
      <c r="B22" s="57">
        <v>80197</v>
      </c>
      <c r="C22" s="65" t="s">
        <v>13</v>
      </c>
      <c r="D22" s="59">
        <v>84000</v>
      </c>
      <c r="E22" s="59">
        <v>13400</v>
      </c>
      <c r="F22" s="59">
        <v>84000</v>
      </c>
      <c r="G22" s="59">
        <v>13400</v>
      </c>
      <c r="H22" s="59">
        <v>73162</v>
      </c>
      <c r="I22" s="59">
        <v>13400</v>
      </c>
      <c r="J22" s="149">
        <f t="shared" si="1"/>
        <v>0.8709761904761905</v>
      </c>
      <c r="K22" s="149">
        <f t="shared" si="2"/>
        <v>1</v>
      </c>
      <c r="L22" s="60">
        <v>84000</v>
      </c>
      <c r="M22" s="59">
        <v>37500</v>
      </c>
      <c r="N22" s="60">
        <v>84000</v>
      </c>
      <c r="O22" s="59">
        <v>37500</v>
      </c>
      <c r="P22" s="43">
        <v>71713</v>
      </c>
      <c r="Q22" s="43">
        <v>35749</v>
      </c>
      <c r="R22" s="149">
        <f t="shared" si="4"/>
        <v>0.8537261904761905</v>
      </c>
      <c r="S22" s="149">
        <f t="shared" si="5"/>
        <v>0.9533066666666666</v>
      </c>
    </row>
    <row r="23" spans="1:19" s="4" customFormat="1" ht="27.75" customHeight="1">
      <c r="A23" s="56"/>
      <c r="B23" s="57">
        <v>80197</v>
      </c>
      <c r="C23" s="64" t="s">
        <v>14</v>
      </c>
      <c r="D23" s="43">
        <v>1395700</v>
      </c>
      <c r="E23" s="43">
        <v>3800</v>
      </c>
      <c r="F23" s="43">
        <v>1395700</v>
      </c>
      <c r="G23" s="43">
        <v>3800</v>
      </c>
      <c r="H23" s="59">
        <v>1234217</v>
      </c>
      <c r="I23" s="59">
        <v>3800</v>
      </c>
      <c r="J23" s="149">
        <f t="shared" si="1"/>
        <v>0.884299634591961</v>
      </c>
      <c r="K23" s="149">
        <f t="shared" si="2"/>
        <v>1</v>
      </c>
      <c r="L23" s="63">
        <v>1395700</v>
      </c>
      <c r="M23" s="59">
        <v>469000</v>
      </c>
      <c r="N23" s="63">
        <v>1395700</v>
      </c>
      <c r="O23" s="59">
        <v>469000</v>
      </c>
      <c r="P23" s="43">
        <v>1231173</v>
      </c>
      <c r="Q23" s="43">
        <v>436306</v>
      </c>
      <c r="R23" s="149">
        <f t="shared" si="4"/>
        <v>0.8821186501397148</v>
      </c>
      <c r="S23" s="149">
        <f t="shared" si="5"/>
        <v>0.9302899786780384</v>
      </c>
    </row>
    <row r="24" spans="1:19" s="4" customFormat="1" ht="38.25" customHeight="1">
      <c r="A24" s="66"/>
      <c r="B24" s="67">
        <v>80197</v>
      </c>
      <c r="C24" s="68" t="s">
        <v>70</v>
      </c>
      <c r="D24" s="69">
        <v>35000</v>
      </c>
      <c r="E24" s="69">
        <v>2700</v>
      </c>
      <c r="F24" s="69">
        <v>77246</v>
      </c>
      <c r="G24" s="69">
        <v>2700</v>
      </c>
      <c r="H24" s="69">
        <v>74954</v>
      </c>
      <c r="I24" s="69">
        <v>2700</v>
      </c>
      <c r="J24" s="150">
        <f t="shared" si="1"/>
        <v>0.9703285607021723</v>
      </c>
      <c r="K24" s="150">
        <f t="shared" si="2"/>
        <v>1</v>
      </c>
      <c r="L24" s="70">
        <v>35000</v>
      </c>
      <c r="M24" s="69">
        <v>6200</v>
      </c>
      <c r="N24" s="70">
        <v>77246</v>
      </c>
      <c r="O24" s="69">
        <v>6200</v>
      </c>
      <c r="P24" s="69">
        <v>76772</v>
      </c>
      <c r="Q24" s="69">
        <v>5729</v>
      </c>
      <c r="R24" s="150">
        <f t="shared" si="4"/>
        <v>0.9938637599357896</v>
      </c>
      <c r="S24" s="150">
        <f t="shared" si="5"/>
        <v>0.9240322580645162</v>
      </c>
    </row>
    <row r="25" spans="1:42" s="52" customFormat="1" ht="21" customHeight="1">
      <c r="A25" s="71">
        <v>852</v>
      </c>
      <c r="B25" s="72"/>
      <c r="C25" s="73" t="s">
        <v>26</v>
      </c>
      <c r="D25" s="74"/>
      <c r="E25" s="74"/>
      <c r="F25" s="74">
        <f>F26</f>
        <v>216000</v>
      </c>
      <c r="G25" s="74">
        <f>G26</f>
        <v>216000</v>
      </c>
      <c r="H25" s="74">
        <f>H26</f>
        <v>219884</v>
      </c>
      <c r="I25" s="74">
        <f>I26</f>
        <v>216000</v>
      </c>
      <c r="J25" s="153">
        <f>H25/F25</f>
        <v>1.0179814814814814</v>
      </c>
      <c r="K25" s="153">
        <f>I25/G25</f>
        <v>1</v>
      </c>
      <c r="L25" s="75"/>
      <c r="M25" s="74"/>
      <c r="N25" s="75">
        <f>N26</f>
        <v>216000</v>
      </c>
      <c r="O25" s="74">
        <f>O26</f>
        <v>65250</v>
      </c>
      <c r="P25" s="75">
        <f>P26</f>
        <v>164130</v>
      </c>
      <c r="Q25" s="74">
        <f>Q26</f>
        <v>33697</v>
      </c>
      <c r="R25" s="153">
        <f>P25/N25</f>
        <v>0.7598611111111111</v>
      </c>
      <c r="S25" s="153">
        <f>Q25/O25</f>
        <v>0.5164291187739464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19" s="4" customFormat="1" ht="24.75" customHeight="1">
      <c r="A26" s="110"/>
      <c r="B26" s="67">
        <v>85232</v>
      </c>
      <c r="C26" s="68" t="s">
        <v>88</v>
      </c>
      <c r="D26" s="69"/>
      <c r="E26" s="69"/>
      <c r="F26" s="69">
        <v>216000</v>
      </c>
      <c r="G26" s="69">
        <v>216000</v>
      </c>
      <c r="H26" s="69">
        <v>219884</v>
      </c>
      <c r="I26" s="69">
        <v>216000</v>
      </c>
      <c r="J26" s="150">
        <f>H26/F26</f>
        <v>1.0179814814814814</v>
      </c>
      <c r="K26" s="150">
        <f>I26/G26</f>
        <v>1</v>
      </c>
      <c r="L26" s="70"/>
      <c r="M26" s="69"/>
      <c r="N26" s="70">
        <v>216000</v>
      </c>
      <c r="O26" s="69">
        <v>65250</v>
      </c>
      <c r="P26" s="69">
        <v>164130</v>
      </c>
      <c r="Q26" s="69">
        <v>33697</v>
      </c>
      <c r="R26" s="150">
        <f>P26/N26</f>
        <v>0.7598611111111111</v>
      </c>
      <c r="S26" s="150">
        <f>Q26/O26</f>
        <v>0.5164291187739464</v>
      </c>
    </row>
    <row r="27" spans="1:42" s="52" customFormat="1" ht="24" customHeight="1">
      <c r="A27" s="71">
        <v>854</v>
      </c>
      <c r="B27" s="72"/>
      <c r="C27" s="73" t="s">
        <v>15</v>
      </c>
      <c r="D27" s="74">
        <f aca="true" t="shared" si="10" ref="D27:I27">D28</f>
        <v>90000</v>
      </c>
      <c r="E27" s="74">
        <f t="shared" si="10"/>
        <v>33000</v>
      </c>
      <c r="F27" s="74">
        <f t="shared" si="10"/>
        <v>133476</v>
      </c>
      <c r="G27" s="74">
        <f t="shared" si="10"/>
        <v>33000</v>
      </c>
      <c r="H27" s="74">
        <f t="shared" si="10"/>
        <v>133476</v>
      </c>
      <c r="I27" s="74">
        <f t="shared" si="10"/>
        <v>33000</v>
      </c>
      <c r="J27" s="153">
        <f t="shared" si="1"/>
        <v>1</v>
      </c>
      <c r="K27" s="153">
        <f t="shared" si="2"/>
        <v>1</v>
      </c>
      <c r="L27" s="75">
        <f aca="true" t="shared" si="11" ref="L27:Q27">L28</f>
        <v>90000</v>
      </c>
      <c r="M27" s="74">
        <f t="shared" si="11"/>
        <v>18700</v>
      </c>
      <c r="N27" s="75">
        <f t="shared" si="11"/>
        <v>133476</v>
      </c>
      <c r="O27" s="74">
        <f t="shared" si="11"/>
        <v>18700</v>
      </c>
      <c r="P27" s="75">
        <f t="shared" si="11"/>
        <v>132415</v>
      </c>
      <c r="Q27" s="74">
        <f t="shared" si="11"/>
        <v>18262</v>
      </c>
      <c r="R27" s="153">
        <f t="shared" si="4"/>
        <v>0.9920510054241961</v>
      </c>
      <c r="S27" s="153">
        <f t="shared" si="5"/>
        <v>0.9765775401069519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19" s="4" customFormat="1" ht="36.75" customHeight="1">
      <c r="A28" s="110"/>
      <c r="B28" s="67">
        <v>85497</v>
      </c>
      <c r="C28" s="68" t="s">
        <v>16</v>
      </c>
      <c r="D28" s="69">
        <v>90000</v>
      </c>
      <c r="E28" s="69">
        <v>33000</v>
      </c>
      <c r="F28" s="69">
        <v>133476</v>
      </c>
      <c r="G28" s="69">
        <v>33000</v>
      </c>
      <c r="H28" s="69">
        <v>133476</v>
      </c>
      <c r="I28" s="69">
        <v>33000</v>
      </c>
      <c r="J28" s="150">
        <f t="shared" si="1"/>
        <v>1</v>
      </c>
      <c r="K28" s="150">
        <f t="shared" si="2"/>
        <v>1</v>
      </c>
      <c r="L28" s="70">
        <v>90000</v>
      </c>
      <c r="M28" s="69">
        <v>18700</v>
      </c>
      <c r="N28" s="70">
        <v>133476</v>
      </c>
      <c r="O28" s="69">
        <v>18700</v>
      </c>
      <c r="P28" s="69">
        <v>132415</v>
      </c>
      <c r="Q28" s="69">
        <v>18262</v>
      </c>
      <c r="R28" s="150">
        <f t="shared" si="4"/>
        <v>0.9920510054241961</v>
      </c>
      <c r="S28" s="150">
        <f t="shared" si="5"/>
        <v>0.9765775401069519</v>
      </c>
    </row>
    <row r="29" spans="1:42" s="33" customFormat="1" ht="33" customHeight="1">
      <c r="A29" s="30"/>
      <c r="B29" s="31"/>
      <c r="C29" s="104" t="s">
        <v>71</v>
      </c>
      <c r="D29" s="32"/>
      <c r="E29" s="32">
        <f>E30+E32</f>
        <v>10814000</v>
      </c>
      <c r="F29" s="95"/>
      <c r="G29" s="95">
        <f>G30+G31+G32</f>
        <v>12114000</v>
      </c>
      <c r="H29" s="95"/>
      <c r="I29" s="95">
        <f>I30+I31+I32</f>
        <v>11752639</v>
      </c>
      <c r="J29" s="142"/>
      <c r="K29" s="155">
        <f>I29/G29</f>
        <v>0.9701699686313356</v>
      </c>
      <c r="L29" s="32">
        <f>L30+L32</f>
        <v>10814000</v>
      </c>
      <c r="M29" s="32"/>
      <c r="N29" s="95">
        <f>N30+N31+N32</f>
        <v>12114000</v>
      </c>
      <c r="O29" s="95"/>
      <c r="P29" s="95">
        <f>P30+P31+P32</f>
        <v>11752639</v>
      </c>
      <c r="Q29" s="95"/>
      <c r="R29" s="145">
        <f>P29/N29</f>
        <v>0.9701699686313356</v>
      </c>
      <c r="S29" s="146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19" s="4" customFormat="1" ht="31.5" customHeight="1">
      <c r="A30" s="38">
        <v>630</v>
      </c>
      <c r="B30" s="39">
        <v>63001</v>
      </c>
      <c r="C30" s="40" t="s">
        <v>6</v>
      </c>
      <c r="D30" s="49"/>
      <c r="E30" s="159">
        <v>14000</v>
      </c>
      <c r="F30" s="159"/>
      <c r="G30" s="159">
        <v>14000</v>
      </c>
      <c r="H30" s="159"/>
      <c r="I30" s="159">
        <v>14000</v>
      </c>
      <c r="J30" s="156"/>
      <c r="K30" s="156">
        <f>I30/G30</f>
        <v>1</v>
      </c>
      <c r="L30" s="162">
        <v>14000</v>
      </c>
      <c r="M30" s="162"/>
      <c r="N30" s="159">
        <v>14000</v>
      </c>
      <c r="O30" s="159"/>
      <c r="P30" s="159">
        <v>14000</v>
      </c>
      <c r="Q30" s="159"/>
      <c r="R30" s="191">
        <f>P30/N30</f>
        <v>1</v>
      </c>
      <c r="S30" s="143"/>
    </row>
    <row r="31" spans="1:19" s="4" customFormat="1" ht="31.5" customHeight="1">
      <c r="A31" s="43">
        <v>700</v>
      </c>
      <c r="B31" s="139">
        <v>70001</v>
      </c>
      <c r="C31" s="62" t="s">
        <v>7</v>
      </c>
      <c r="D31" s="140"/>
      <c r="E31" s="160"/>
      <c r="F31" s="160"/>
      <c r="G31" s="160">
        <v>1100000</v>
      </c>
      <c r="H31" s="160"/>
      <c r="I31" s="160">
        <v>749366</v>
      </c>
      <c r="J31" s="157"/>
      <c r="K31" s="201">
        <f>I31/G31</f>
        <v>0.6812418181818182</v>
      </c>
      <c r="L31" s="163"/>
      <c r="M31" s="164"/>
      <c r="N31" s="160">
        <v>1100000</v>
      </c>
      <c r="O31" s="160"/>
      <c r="P31" s="160">
        <v>749366</v>
      </c>
      <c r="Q31" s="160"/>
      <c r="R31" s="200">
        <f>P31/N31</f>
        <v>0.6812418181818182</v>
      </c>
      <c r="S31" s="144"/>
    </row>
    <row r="32" spans="1:19" s="4" customFormat="1" ht="28.5" customHeight="1">
      <c r="A32" s="137">
        <v>926</v>
      </c>
      <c r="B32" s="205">
        <v>92604</v>
      </c>
      <c r="C32" s="48" t="s">
        <v>69</v>
      </c>
      <c r="D32" s="50"/>
      <c r="E32" s="161">
        <v>10800000</v>
      </c>
      <c r="F32" s="161"/>
      <c r="G32" s="161">
        <v>11000000</v>
      </c>
      <c r="H32" s="161"/>
      <c r="I32" s="161">
        <v>10989273</v>
      </c>
      <c r="J32" s="158"/>
      <c r="K32" s="158">
        <f>I32/G32</f>
        <v>0.9990248181818182</v>
      </c>
      <c r="L32" s="165">
        <v>10800000</v>
      </c>
      <c r="M32" s="166"/>
      <c r="N32" s="165">
        <v>11000000</v>
      </c>
      <c r="O32" s="161"/>
      <c r="P32" s="161">
        <v>10989273</v>
      </c>
      <c r="Q32" s="161"/>
      <c r="R32" s="167">
        <f>P32/N32</f>
        <v>0.9990248181818182</v>
      </c>
      <c r="S32" s="168"/>
    </row>
    <row r="33" spans="1:42" s="77" customFormat="1" ht="40.5" customHeight="1">
      <c r="A33" s="105"/>
      <c r="B33" s="106"/>
      <c r="C33" s="107" t="s">
        <v>89</v>
      </c>
      <c r="D33" s="108">
        <f>D34+D65+D68</f>
        <v>15250260</v>
      </c>
      <c r="E33" s="108"/>
      <c r="F33" s="108">
        <f>F34+F65+F68</f>
        <v>16444184</v>
      </c>
      <c r="G33" s="108"/>
      <c r="H33" s="108">
        <f>H34+H65+H68</f>
        <v>15944945</v>
      </c>
      <c r="I33" s="108"/>
      <c r="J33" s="186">
        <f aca="true" t="shared" si="12" ref="J33:J54">H33/F33</f>
        <v>0.9696403907910541</v>
      </c>
      <c r="K33" s="173"/>
      <c r="L33" s="108">
        <f>L34+L65+L68</f>
        <v>15291560</v>
      </c>
      <c r="M33" s="108"/>
      <c r="N33" s="108">
        <f>N34+N65+N68</f>
        <v>17198110</v>
      </c>
      <c r="O33" s="108"/>
      <c r="P33" s="108">
        <f>P34+P65+P68</f>
        <v>16098355</v>
      </c>
      <c r="Q33" s="108"/>
      <c r="R33" s="186">
        <f aca="true" t="shared" si="13" ref="R33:R54">P33/N33</f>
        <v>0.9360537291597739</v>
      </c>
      <c r="S33" s="109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114" customFormat="1" ht="29.25" customHeight="1" thickBot="1">
      <c r="A34" s="111"/>
      <c r="B34" s="112"/>
      <c r="C34" s="115" t="s">
        <v>38</v>
      </c>
      <c r="D34" s="116">
        <f>D35+D39+D49+D55+D59</f>
        <v>14800260</v>
      </c>
      <c r="E34" s="116"/>
      <c r="F34" s="116">
        <f>F35+F39+F49+F55+F59+F37</f>
        <v>15918457</v>
      </c>
      <c r="G34" s="116"/>
      <c r="H34" s="116">
        <f>H35+H39+H49+H55+H59+H37</f>
        <v>15554849</v>
      </c>
      <c r="I34" s="116"/>
      <c r="J34" s="187">
        <f t="shared" si="12"/>
        <v>0.9771580876211808</v>
      </c>
      <c r="K34" s="174"/>
      <c r="L34" s="116">
        <f>L35+L39+L49+L55+L59</f>
        <v>14826560</v>
      </c>
      <c r="M34" s="116"/>
      <c r="N34" s="116">
        <f>N35+N39+N49+N55+N59+N37</f>
        <v>16657065</v>
      </c>
      <c r="O34" s="116"/>
      <c r="P34" s="116">
        <f>P35+P39+P49+P55+P59+P37</f>
        <v>15711026</v>
      </c>
      <c r="Q34" s="116"/>
      <c r="R34" s="187">
        <f t="shared" si="13"/>
        <v>0.9432049403661449</v>
      </c>
      <c r="S34" s="117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</row>
    <row r="35" spans="1:42" s="77" customFormat="1" ht="21.75" customHeight="1" thickTop="1">
      <c r="A35" s="76">
        <v>750</v>
      </c>
      <c r="B35" s="92"/>
      <c r="C35" s="125" t="s">
        <v>17</v>
      </c>
      <c r="D35" s="76">
        <f>D36</f>
        <v>3580000</v>
      </c>
      <c r="E35" s="76"/>
      <c r="F35" s="76">
        <f>F36</f>
        <v>435750</v>
      </c>
      <c r="G35" s="76"/>
      <c r="H35" s="76">
        <f>H36</f>
        <v>543876</v>
      </c>
      <c r="I35" s="76"/>
      <c r="J35" s="188">
        <f t="shared" si="12"/>
        <v>1.2481376936316695</v>
      </c>
      <c r="K35" s="175"/>
      <c r="L35" s="76">
        <f>L36</f>
        <v>3580000</v>
      </c>
      <c r="M35" s="76"/>
      <c r="N35" s="76">
        <f>N36</f>
        <v>791750</v>
      </c>
      <c r="O35" s="76"/>
      <c r="P35" s="76">
        <f>P36</f>
        <v>945225</v>
      </c>
      <c r="Q35" s="76"/>
      <c r="R35" s="188">
        <f t="shared" si="13"/>
        <v>1.1938427533943796</v>
      </c>
      <c r="S35" s="103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19" s="4" customFormat="1" ht="27.75" customHeight="1">
      <c r="A36" s="78"/>
      <c r="B36" s="79">
        <v>75023</v>
      </c>
      <c r="C36" s="80" t="s">
        <v>18</v>
      </c>
      <c r="D36" s="78">
        <v>3580000</v>
      </c>
      <c r="E36" s="78"/>
      <c r="F36" s="78">
        <v>435750</v>
      </c>
      <c r="G36" s="78"/>
      <c r="H36" s="78">
        <f>175302+368574</f>
        <v>543876</v>
      </c>
      <c r="I36" s="78"/>
      <c r="J36" s="189">
        <f t="shared" si="12"/>
        <v>1.2481376936316695</v>
      </c>
      <c r="K36" s="176"/>
      <c r="L36" s="81">
        <f>250000+3330000</f>
        <v>3580000</v>
      </c>
      <c r="M36" s="78"/>
      <c r="N36" s="78">
        <v>791750</v>
      </c>
      <c r="O36" s="78"/>
      <c r="P36" s="171">
        <f>626516+318709</f>
        <v>945225</v>
      </c>
      <c r="Q36" s="78"/>
      <c r="R36" s="192">
        <f t="shared" si="13"/>
        <v>1.1938427533943796</v>
      </c>
      <c r="S36" s="96"/>
    </row>
    <row r="37" spans="1:42" s="77" customFormat="1" ht="26.25" customHeight="1">
      <c r="A37" s="76">
        <v>754</v>
      </c>
      <c r="B37" s="92"/>
      <c r="C37" s="195" t="s">
        <v>74</v>
      </c>
      <c r="D37" s="76"/>
      <c r="E37" s="76"/>
      <c r="F37" s="76">
        <f>F38</f>
        <v>25708</v>
      </c>
      <c r="G37" s="76"/>
      <c r="H37" s="76">
        <f>H38</f>
        <v>25708</v>
      </c>
      <c r="I37" s="76"/>
      <c r="J37" s="188">
        <f>H37/F37</f>
        <v>1</v>
      </c>
      <c r="K37" s="175"/>
      <c r="L37" s="76"/>
      <c r="M37" s="76"/>
      <c r="N37" s="76">
        <f>N38</f>
        <v>25708</v>
      </c>
      <c r="O37" s="76"/>
      <c r="P37" s="76">
        <f>P38</f>
        <v>25708</v>
      </c>
      <c r="Q37" s="76"/>
      <c r="R37" s="188">
        <f t="shared" si="13"/>
        <v>1</v>
      </c>
      <c r="S37" s="103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19" s="4" customFormat="1" ht="20.25" customHeight="1">
      <c r="A38" s="78"/>
      <c r="B38" s="79">
        <v>75416</v>
      </c>
      <c r="C38" s="80" t="s">
        <v>75</v>
      </c>
      <c r="D38" s="78"/>
      <c r="E38" s="78"/>
      <c r="F38" s="78">
        <v>25708</v>
      </c>
      <c r="G38" s="78"/>
      <c r="H38" s="78">
        <v>25708</v>
      </c>
      <c r="I38" s="78"/>
      <c r="J38" s="189">
        <f>H38/F38</f>
        <v>1</v>
      </c>
      <c r="K38" s="176"/>
      <c r="L38" s="81"/>
      <c r="M38" s="78"/>
      <c r="N38" s="78">
        <v>25708</v>
      </c>
      <c r="O38" s="78"/>
      <c r="P38" s="171">
        <v>25708</v>
      </c>
      <c r="Q38" s="78"/>
      <c r="R38" s="192">
        <f t="shared" si="13"/>
        <v>1</v>
      </c>
      <c r="S38" s="96"/>
    </row>
    <row r="39" spans="1:42" s="77" customFormat="1" ht="21" customHeight="1">
      <c r="A39" s="76">
        <v>801</v>
      </c>
      <c r="B39" s="92"/>
      <c r="C39" s="125" t="s">
        <v>8</v>
      </c>
      <c r="D39" s="76">
        <f>D40+D41+D42+D44+D45+D46+D47+D48</f>
        <v>5857900</v>
      </c>
      <c r="E39" s="76"/>
      <c r="F39" s="76">
        <f>F40+F41+F42+F44+F45+F46+F47+F48+F43</f>
        <v>8796898</v>
      </c>
      <c r="G39" s="76"/>
      <c r="H39" s="76">
        <f>H40+H41+H42+H44+H45+H46+H47+H48+H43</f>
        <v>8718976</v>
      </c>
      <c r="I39" s="76"/>
      <c r="J39" s="188">
        <f t="shared" si="12"/>
        <v>0.9911421048646921</v>
      </c>
      <c r="K39" s="175"/>
      <c r="L39" s="76">
        <f>L40+L41+L42+L44+L45+L46+L47+L48</f>
        <v>5857900</v>
      </c>
      <c r="M39" s="76"/>
      <c r="N39" s="76">
        <f>N40+N41+N42+N44+N45+N46+N47+N48+N43</f>
        <v>8948659</v>
      </c>
      <c r="O39" s="76"/>
      <c r="P39" s="76">
        <f>P40+P41+P42+P44+P45+P46+P47+P48+P43</f>
        <v>8527898</v>
      </c>
      <c r="Q39" s="76"/>
      <c r="R39" s="188">
        <f>P39/N39</f>
        <v>0.9529805527286267</v>
      </c>
      <c r="S39" s="10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19" s="4" customFormat="1" ht="21" customHeight="1">
      <c r="A40" s="82"/>
      <c r="B40" s="83">
        <v>80101</v>
      </c>
      <c r="C40" s="84" t="s">
        <v>19</v>
      </c>
      <c r="D40" s="38">
        <v>724600</v>
      </c>
      <c r="E40" s="38"/>
      <c r="F40" s="38">
        <v>1530692</v>
      </c>
      <c r="G40" s="38"/>
      <c r="H40" s="38">
        <f>179610+1310381</f>
        <v>1489991</v>
      </c>
      <c r="I40" s="38"/>
      <c r="J40" s="148">
        <f t="shared" si="12"/>
        <v>0.973410065512853</v>
      </c>
      <c r="K40" s="177"/>
      <c r="L40" s="42">
        <v>724600</v>
      </c>
      <c r="M40" s="38"/>
      <c r="N40" s="38">
        <v>1632755</v>
      </c>
      <c r="O40" s="38"/>
      <c r="P40" s="38">
        <f>332020+1106060</f>
        <v>1438080</v>
      </c>
      <c r="Q40" s="38"/>
      <c r="R40" s="148">
        <f t="shared" si="13"/>
        <v>0.8807690069851264</v>
      </c>
      <c r="S40" s="97"/>
    </row>
    <row r="41" spans="1:19" s="4" customFormat="1" ht="24.75" customHeight="1">
      <c r="A41" s="85"/>
      <c r="B41" s="57">
        <v>80102</v>
      </c>
      <c r="C41" s="65" t="s">
        <v>20</v>
      </c>
      <c r="D41" s="59">
        <v>8000</v>
      </c>
      <c r="E41" s="59"/>
      <c r="F41" s="59">
        <v>12820</v>
      </c>
      <c r="G41" s="59"/>
      <c r="H41" s="59">
        <f>1799+16905</f>
        <v>18704</v>
      </c>
      <c r="I41" s="59"/>
      <c r="J41" s="152">
        <f t="shared" si="12"/>
        <v>1.4589703588143526</v>
      </c>
      <c r="K41" s="179"/>
      <c r="L41" s="60">
        <v>8000</v>
      </c>
      <c r="M41" s="60"/>
      <c r="N41" s="59">
        <v>11200</v>
      </c>
      <c r="O41" s="59"/>
      <c r="P41" s="59">
        <f>8502+4611</f>
        <v>13113</v>
      </c>
      <c r="Q41" s="59"/>
      <c r="R41" s="152">
        <f t="shared" si="13"/>
        <v>1.1708035714285714</v>
      </c>
      <c r="S41" s="99"/>
    </row>
    <row r="42" spans="1:19" s="4" customFormat="1" ht="21" customHeight="1">
      <c r="A42" s="85"/>
      <c r="B42" s="57">
        <v>80104</v>
      </c>
      <c r="C42" s="65" t="s">
        <v>21</v>
      </c>
      <c r="D42" s="59">
        <v>3561900</v>
      </c>
      <c r="E42" s="59"/>
      <c r="F42" s="59">
        <v>4102212</v>
      </c>
      <c r="G42" s="59"/>
      <c r="H42" s="59">
        <f>647079+3499134</f>
        <v>4146213</v>
      </c>
      <c r="I42" s="59"/>
      <c r="J42" s="152">
        <f t="shared" si="12"/>
        <v>1.010726164323053</v>
      </c>
      <c r="K42" s="179"/>
      <c r="L42" s="60">
        <v>3561900</v>
      </c>
      <c r="M42" s="60"/>
      <c r="N42" s="59">
        <v>4130592</v>
      </c>
      <c r="O42" s="59"/>
      <c r="P42" s="59">
        <f>902162+3211867</f>
        <v>4114029</v>
      </c>
      <c r="Q42" s="59"/>
      <c r="R42" s="152">
        <f t="shared" si="13"/>
        <v>0.9959901631533689</v>
      </c>
      <c r="S42" s="99"/>
    </row>
    <row r="43" spans="1:19" s="4" customFormat="1" ht="21" customHeight="1">
      <c r="A43" s="85"/>
      <c r="B43" s="57">
        <v>80105</v>
      </c>
      <c r="C43" s="65" t="s">
        <v>76</v>
      </c>
      <c r="D43" s="59"/>
      <c r="E43" s="59"/>
      <c r="F43" s="59">
        <v>754</v>
      </c>
      <c r="G43" s="59"/>
      <c r="H43" s="59">
        <v>754</v>
      </c>
      <c r="I43" s="59"/>
      <c r="J43" s="152">
        <f t="shared" si="12"/>
        <v>1</v>
      </c>
      <c r="K43" s="179"/>
      <c r="L43" s="60"/>
      <c r="M43" s="60"/>
      <c r="N43" s="59">
        <v>754</v>
      </c>
      <c r="O43" s="59"/>
      <c r="P43" s="59">
        <v>754</v>
      </c>
      <c r="Q43" s="59"/>
      <c r="R43" s="152">
        <f t="shared" si="13"/>
        <v>1</v>
      </c>
      <c r="S43" s="99"/>
    </row>
    <row r="44" spans="1:19" s="4" customFormat="1" ht="21" customHeight="1">
      <c r="A44" s="85"/>
      <c r="B44" s="61">
        <v>80110</v>
      </c>
      <c r="C44" s="64" t="s">
        <v>22</v>
      </c>
      <c r="D44" s="43">
        <v>472500</v>
      </c>
      <c r="E44" s="43"/>
      <c r="F44" s="43">
        <v>913877</v>
      </c>
      <c r="G44" s="43"/>
      <c r="H44" s="59">
        <f>91859+793588</f>
        <v>885447</v>
      </c>
      <c r="I44" s="43"/>
      <c r="J44" s="152">
        <f t="shared" si="12"/>
        <v>0.9688907807068129</v>
      </c>
      <c r="K44" s="180"/>
      <c r="L44" s="63">
        <v>472500</v>
      </c>
      <c r="M44" s="43"/>
      <c r="N44" s="43">
        <v>885977</v>
      </c>
      <c r="O44" s="43"/>
      <c r="P44" s="43">
        <f>123406+729316</f>
        <v>852722</v>
      </c>
      <c r="Q44" s="43"/>
      <c r="R44" s="149">
        <f t="shared" si="13"/>
        <v>0.9624651655742756</v>
      </c>
      <c r="S44" s="98"/>
    </row>
    <row r="45" spans="1:19" s="4" customFormat="1" ht="21" customHeight="1">
      <c r="A45" s="85"/>
      <c r="B45" s="57">
        <v>80120</v>
      </c>
      <c r="C45" s="65" t="s">
        <v>23</v>
      </c>
      <c r="D45" s="59">
        <v>233500</v>
      </c>
      <c r="E45" s="59"/>
      <c r="F45" s="59">
        <v>427660</v>
      </c>
      <c r="G45" s="59"/>
      <c r="H45" s="59">
        <f>58900+340904</f>
        <v>399804</v>
      </c>
      <c r="I45" s="59"/>
      <c r="J45" s="152">
        <f t="shared" si="12"/>
        <v>0.9348641444137866</v>
      </c>
      <c r="K45" s="178"/>
      <c r="L45" s="59">
        <v>233500</v>
      </c>
      <c r="M45" s="59"/>
      <c r="N45" s="59">
        <v>424548</v>
      </c>
      <c r="O45" s="59"/>
      <c r="P45" s="59">
        <f>97797+297860</f>
        <v>395657</v>
      </c>
      <c r="Q45" s="59"/>
      <c r="R45" s="152">
        <f t="shared" si="13"/>
        <v>0.9319488020200307</v>
      </c>
      <c r="S45" s="99"/>
    </row>
    <row r="46" spans="1:19" s="4" customFormat="1" ht="21" customHeight="1">
      <c r="A46" s="85"/>
      <c r="B46" s="57">
        <v>80130</v>
      </c>
      <c r="C46" s="65" t="s">
        <v>24</v>
      </c>
      <c r="D46" s="59">
        <v>649100</v>
      </c>
      <c r="E46" s="59"/>
      <c r="F46" s="59">
        <v>1195570</v>
      </c>
      <c r="G46" s="59"/>
      <c r="H46" s="59">
        <f>137829+1018303-270</f>
        <v>1155862</v>
      </c>
      <c r="I46" s="59"/>
      <c r="J46" s="152">
        <f t="shared" si="12"/>
        <v>0.9667873901151752</v>
      </c>
      <c r="K46" s="179"/>
      <c r="L46" s="60">
        <v>649100</v>
      </c>
      <c r="M46" s="59"/>
      <c r="N46" s="59">
        <v>1235021</v>
      </c>
      <c r="O46" s="59"/>
      <c r="P46" s="59">
        <f>240606+847264-270</f>
        <v>1087600</v>
      </c>
      <c r="Q46" s="59"/>
      <c r="R46" s="152">
        <f t="shared" si="13"/>
        <v>0.880632798956455</v>
      </c>
      <c r="S46" s="99"/>
    </row>
    <row r="47" spans="1:19" s="4" customFormat="1" ht="21" customHeight="1">
      <c r="A47" s="85"/>
      <c r="B47" s="61">
        <v>80132</v>
      </c>
      <c r="C47" s="62" t="s">
        <v>25</v>
      </c>
      <c r="D47" s="86">
        <v>19700</v>
      </c>
      <c r="E47" s="62"/>
      <c r="F47" s="86">
        <v>21070</v>
      </c>
      <c r="G47" s="62"/>
      <c r="H47" s="59">
        <f>1366+18111</f>
        <v>19477</v>
      </c>
      <c r="I47" s="62"/>
      <c r="J47" s="152">
        <f t="shared" si="12"/>
        <v>0.9243948742287613</v>
      </c>
      <c r="K47" s="181"/>
      <c r="L47" s="86">
        <v>19700</v>
      </c>
      <c r="M47" s="62"/>
      <c r="N47" s="86">
        <v>20940</v>
      </c>
      <c r="O47" s="62"/>
      <c r="P47" s="43">
        <f>2031+17861</f>
        <v>19892</v>
      </c>
      <c r="Q47" s="62"/>
      <c r="R47" s="149">
        <f t="shared" si="13"/>
        <v>0.9499522445081184</v>
      </c>
      <c r="S47" s="101"/>
    </row>
    <row r="48" spans="1:19" s="4" customFormat="1" ht="49.5" customHeight="1">
      <c r="A48" s="69"/>
      <c r="B48" s="88">
        <v>80140</v>
      </c>
      <c r="C48" s="89" t="s">
        <v>83</v>
      </c>
      <c r="D48" s="90">
        <v>188600</v>
      </c>
      <c r="E48" s="90"/>
      <c r="F48" s="90">
        <v>592243</v>
      </c>
      <c r="G48" s="90"/>
      <c r="H48" s="90">
        <f>32270+570454</f>
        <v>602724</v>
      </c>
      <c r="I48" s="90"/>
      <c r="J48" s="190">
        <f t="shared" si="12"/>
        <v>1.0176971276992721</v>
      </c>
      <c r="K48" s="182"/>
      <c r="L48" s="91">
        <v>188600</v>
      </c>
      <c r="M48" s="90"/>
      <c r="N48" s="90">
        <v>606872</v>
      </c>
      <c r="O48" s="90"/>
      <c r="P48" s="90">
        <f>55717+550334</f>
        <v>606051</v>
      </c>
      <c r="Q48" s="90"/>
      <c r="R48" s="190">
        <f t="shared" si="13"/>
        <v>0.9986471611806114</v>
      </c>
      <c r="S48" s="102"/>
    </row>
    <row r="49" spans="1:19" s="77" customFormat="1" ht="19.5" customHeight="1">
      <c r="A49" s="76">
        <v>852</v>
      </c>
      <c r="B49" s="92"/>
      <c r="C49" s="93" t="s">
        <v>26</v>
      </c>
      <c r="D49" s="126">
        <f>D50+D51+D52</f>
        <v>215360</v>
      </c>
      <c r="E49" s="76"/>
      <c r="F49" s="76">
        <f>F50+F51+F52+F54+F53</f>
        <v>469526</v>
      </c>
      <c r="G49" s="76"/>
      <c r="H49" s="76">
        <f>H50+H51+H52+H54+H53</f>
        <v>671620</v>
      </c>
      <c r="I49" s="76"/>
      <c r="J49" s="188">
        <f t="shared" si="12"/>
        <v>1.430421318521232</v>
      </c>
      <c r="K49" s="183"/>
      <c r="L49" s="202">
        <f>L50+L51+L52</f>
        <v>216660</v>
      </c>
      <c r="M49" s="127"/>
      <c r="N49" s="76">
        <f>N50+N51+N52+N54+N53</f>
        <v>598804</v>
      </c>
      <c r="O49" s="76"/>
      <c r="P49" s="76">
        <f>P50+P51+P52+P54+P53</f>
        <v>695710</v>
      </c>
      <c r="Q49" s="76"/>
      <c r="R49" s="188">
        <f t="shared" si="13"/>
        <v>1.1618325862886687</v>
      </c>
      <c r="S49" s="103"/>
    </row>
    <row r="50" spans="1:19" s="4" customFormat="1" ht="25.5" customHeight="1">
      <c r="A50" s="82"/>
      <c r="B50" s="79">
        <v>85201</v>
      </c>
      <c r="C50" s="169" t="s">
        <v>27</v>
      </c>
      <c r="D50" s="170">
        <v>16900</v>
      </c>
      <c r="E50" s="78"/>
      <c r="F50" s="78">
        <v>125863</v>
      </c>
      <c r="G50" s="78"/>
      <c r="H50" s="78">
        <f>2306+268255</f>
        <v>270561</v>
      </c>
      <c r="I50" s="78"/>
      <c r="J50" s="189">
        <f t="shared" si="12"/>
        <v>2.149646838228868</v>
      </c>
      <c r="K50" s="176"/>
      <c r="L50" s="81">
        <v>16900</v>
      </c>
      <c r="M50" s="81"/>
      <c r="N50" s="78">
        <v>228289</v>
      </c>
      <c r="O50" s="78"/>
      <c r="P50" s="78">
        <f>134607+169593</f>
        <v>304200</v>
      </c>
      <c r="Q50" s="78"/>
      <c r="R50" s="189">
        <f t="shared" si="13"/>
        <v>1.3325214968745756</v>
      </c>
      <c r="S50" s="96"/>
    </row>
    <row r="51" spans="1:19" s="4" customFormat="1" ht="22.5" customHeight="1">
      <c r="A51" s="85"/>
      <c r="B51" s="79">
        <v>85202</v>
      </c>
      <c r="C51" s="141" t="s">
        <v>28</v>
      </c>
      <c r="D51" s="78">
        <v>22360</v>
      </c>
      <c r="E51" s="78"/>
      <c r="F51" s="78">
        <v>102164</v>
      </c>
      <c r="G51" s="78"/>
      <c r="H51" s="78">
        <f>15435+136383</f>
        <v>151818</v>
      </c>
      <c r="I51" s="78"/>
      <c r="J51" s="189">
        <f t="shared" si="12"/>
        <v>1.4860224736697858</v>
      </c>
      <c r="K51" s="176"/>
      <c r="L51" s="81">
        <v>23660</v>
      </c>
      <c r="M51" s="81"/>
      <c r="N51" s="78">
        <v>119052</v>
      </c>
      <c r="O51" s="78"/>
      <c r="P51" s="78">
        <f>50140+88553</f>
        <v>138693</v>
      </c>
      <c r="Q51" s="78"/>
      <c r="R51" s="189">
        <f t="shared" si="13"/>
        <v>1.1649783287975002</v>
      </c>
      <c r="S51" s="96"/>
    </row>
    <row r="52" spans="1:19" s="4" customFormat="1" ht="22.5" customHeight="1">
      <c r="A52" s="69"/>
      <c r="B52" s="67">
        <v>85203</v>
      </c>
      <c r="C52" s="94" t="s">
        <v>59</v>
      </c>
      <c r="D52" s="87">
        <v>176100</v>
      </c>
      <c r="E52" s="69"/>
      <c r="F52" s="69">
        <v>230008</v>
      </c>
      <c r="G52" s="69"/>
      <c r="H52" s="69">
        <f>28014+206376-548</f>
        <v>233842</v>
      </c>
      <c r="I52" s="69"/>
      <c r="J52" s="150">
        <f t="shared" si="12"/>
        <v>1.0166689854265938</v>
      </c>
      <c r="K52" s="184"/>
      <c r="L52" s="70">
        <v>176100</v>
      </c>
      <c r="M52" s="70"/>
      <c r="N52" s="69">
        <v>236062</v>
      </c>
      <c r="O52" s="69"/>
      <c r="P52" s="69">
        <f>52088+185969-158-318</f>
        <v>237581</v>
      </c>
      <c r="Q52" s="69"/>
      <c r="R52" s="150">
        <f t="shared" si="13"/>
        <v>1.006434750192746</v>
      </c>
      <c r="S52" s="100"/>
    </row>
    <row r="53" spans="1:19" s="4" customFormat="1" ht="21.75" customHeight="1">
      <c r="A53" s="85"/>
      <c r="B53" s="67">
        <v>85219</v>
      </c>
      <c r="C53" s="94" t="s">
        <v>77</v>
      </c>
      <c r="D53" s="87"/>
      <c r="E53" s="69"/>
      <c r="F53" s="69">
        <v>10299</v>
      </c>
      <c r="G53" s="69"/>
      <c r="H53" s="69">
        <v>10299</v>
      </c>
      <c r="I53" s="69"/>
      <c r="J53" s="150">
        <f t="shared" si="12"/>
        <v>1</v>
      </c>
      <c r="K53" s="184"/>
      <c r="L53" s="70"/>
      <c r="M53" s="70"/>
      <c r="N53" s="69">
        <v>10299</v>
      </c>
      <c r="O53" s="69"/>
      <c r="P53" s="69">
        <v>10296</v>
      </c>
      <c r="Q53" s="69"/>
      <c r="R53" s="150">
        <f t="shared" si="13"/>
        <v>0.9997087095834547</v>
      </c>
      <c r="S53" s="100"/>
    </row>
    <row r="54" spans="1:19" s="4" customFormat="1" ht="26.25" customHeight="1">
      <c r="A54" s="69"/>
      <c r="B54" s="67">
        <v>85226</v>
      </c>
      <c r="C54" s="94" t="s">
        <v>61</v>
      </c>
      <c r="D54" s="87"/>
      <c r="E54" s="69"/>
      <c r="F54" s="69">
        <v>1192</v>
      </c>
      <c r="G54" s="69"/>
      <c r="H54" s="69">
        <v>5100</v>
      </c>
      <c r="I54" s="69"/>
      <c r="J54" s="150">
        <f t="shared" si="12"/>
        <v>4.278523489932886</v>
      </c>
      <c r="K54" s="184"/>
      <c r="L54" s="70"/>
      <c r="M54" s="70"/>
      <c r="N54" s="69">
        <v>5102</v>
      </c>
      <c r="O54" s="69"/>
      <c r="P54" s="69">
        <f>3910+1030</f>
        <v>4940</v>
      </c>
      <c r="Q54" s="69"/>
      <c r="R54" s="150">
        <f t="shared" si="13"/>
        <v>0.9682477459819678</v>
      </c>
      <c r="S54" s="100"/>
    </row>
    <row r="55" spans="1:42" s="77" customFormat="1" ht="38.25" customHeight="1">
      <c r="A55" s="76">
        <v>853</v>
      </c>
      <c r="B55" s="92"/>
      <c r="C55" s="93" t="s">
        <v>72</v>
      </c>
      <c r="D55" s="126">
        <f>SUM(D56:D56)</f>
        <v>332000</v>
      </c>
      <c r="E55" s="76"/>
      <c r="F55" s="76">
        <f>F56+F58</f>
        <v>356400</v>
      </c>
      <c r="G55" s="76"/>
      <c r="H55" s="76">
        <f>H56+H58</f>
        <v>376090</v>
      </c>
      <c r="I55" s="76"/>
      <c r="J55" s="188">
        <f aca="true" t="shared" si="14" ref="J55:J61">H55/F55</f>
        <v>1.055246913580247</v>
      </c>
      <c r="K55" s="185"/>
      <c r="L55" s="127">
        <f>SUM(L56:L56)</f>
        <v>332000</v>
      </c>
      <c r="M55" s="127"/>
      <c r="N55" s="76">
        <f>N56+N58</f>
        <v>356400</v>
      </c>
      <c r="O55" s="76"/>
      <c r="P55" s="76">
        <f>P56+P58</f>
        <v>371045</v>
      </c>
      <c r="Q55" s="76"/>
      <c r="R55" s="188">
        <f aca="true" t="shared" si="15" ref="R55:R70">P55/N55</f>
        <v>1.0410914702581369</v>
      </c>
      <c r="S55" s="103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19" s="4" customFormat="1" ht="20.25" customHeight="1">
      <c r="A56" s="82"/>
      <c r="B56" s="88">
        <v>85305</v>
      </c>
      <c r="C56" s="89" t="s">
        <v>29</v>
      </c>
      <c r="D56" s="90">
        <v>332000</v>
      </c>
      <c r="E56" s="90"/>
      <c r="F56" s="90">
        <v>352000</v>
      </c>
      <c r="G56" s="90"/>
      <c r="H56" s="90">
        <f>51261+321397</f>
        <v>372658</v>
      </c>
      <c r="I56" s="90"/>
      <c r="J56" s="190">
        <f t="shared" si="14"/>
        <v>1.0586875</v>
      </c>
      <c r="K56" s="182"/>
      <c r="L56" s="91">
        <v>332000</v>
      </c>
      <c r="M56" s="91"/>
      <c r="N56" s="90">
        <v>352000</v>
      </c>
      <c r="O56" s="90"/>
      <c r="P56" s="90">
        <f>79482+288159</f>
        <v>367641</v>
      </c>
      <c r="Q56" s="90"/>
      <c r="R56" s="190">
        <f t="shared" si="15"/>
        <v>1.044434659090909</v>
      </c>
      <c r="S56" s="102"/>
    </row>
    <row r="57" spans="1:19" s="4" customFormat="1" ht="21" customHeight="1" hidden="1">
      <c r="A57" s="69"/>
      <c r="B57" s="67">
        <v>85333</v>
      </c>
      <c r="C57" s="68" t="s">
        <v>30</v>
      </c>
      <c r="D57" s="87"/>
      <c r="E57" s="69"/>
      <c r="F57" s="69"/>
      <c r="G57" s="69"/>
      <c r="H57" s="69"/>
      <c r="I57" s="69"/>
      <c r="J57" s="190" t="e">
        <f t="shared" si="14"/>
        <v>#DIV/0!</v>
      </c>
      <c r="K57" s="184"/>
      <c r="L57" s="70"/>
      <c r="M57" s="70"/>
      <c r="N57" s="69"/>
      <c r="O57" s="69"/>
      <c r="P57" s="69"/>
      <c r="Q57" s="69"/>
      <c r="R57" s="190" t="e">
        <f t="shared" si="15"/>
        <v>#DIV/0!</v>
      </c>
      <c r="S57" s="100"/>
    </row>
    <row r="58" spans="1:19" s="4" customFormat="1" ht="21" customHeight="1">
      <c r="A58" s="69"/>
      <c r="B58" s="67">
        <v>85333</v>
      </c>
      <c r="C58" s="169" t="s">
        <v>78</v>
      </c>
      <c r="D58" s="87"/>
      <c r="E58" s="69"/>
      <c r="F58" s="69">
        <v>4400</v>
      </c>
      <c r="G58" s="69"/>
      <c r="H58" s="69">
        <v>3432</v>
      </c>
      <c r="I58" s="69"/>
      <c r="J58" s="190">
        <f t="shared" si="14"/>
        <v>0.78</v>
      </c>
      <c r="K58" s="184"/>
      <c r="L58" s="70"/>
      <c r="M58" s="70"/>
      <c r="N58" s="69">
        <v>4400</v>
      </c>
      <c r="O58" s="69"/>
      <c r="P58" s="69">
        <v>3404</v>
      </c>
      <c r="Q58" s="69"/>
      <c r="R58" s="190">
        <f t="shared" si="15"/>
        <v>0.7736363636363637</v>
      </c>
      <c r="S58" s="100"/>
    </row>
    <row r="59" spans="1:42" s="77" customFormat="1" ht="23.25" customHeight="1">
      <c r="A59" s="76">
        <v>854</v>
      </c>
      <c r="B59" s="92"/>
      <c r="C59" s="125" t="s">
        <v>15</v>
      </c>
      <c r="D59" s="76">
        <f>D60+D61+D62+D63+D64</f>
        <v>4815000</v>
      </c>
      <c r="E59" s="76"/>
      <c r="F59" s="76">
        <f>F60+F61+F62+F63+F64</f>
        <v>5834175</v>
      </c>
      <c r="G59" s="76"/>
      <c r="H59" s="76">
        <f>H60+H61+H62+H63+H64</f>
        <v>5218579</v>
      </c>
      <c r="I59" s="76"/>
      <c r="J59" s="188">
        <f t="shared" si="14"/>
        <v>0.8944844815248085</v>
      </c>
      <c r="K59" s="175"/>
      <c r="L59" s="76">
        <f>L60+L61+L62+L63+L64</f>
        <v>4840000</v>
      </c>
      <c r="M59" s="76"/>
      <c r="N59" s="76">
        <f>N60+N61+N62+N63+N64</f>
        <v>5935744</v>
      </c>
      <c r="O59" s="76"/>
      <c r="P59" s="76">
        <f>P60+P61+P62+P63+P64</f>
        <v>5145440</v>
      </c>
      <c r="Q59" s="76"/>
      <c r="R59" s="188">
        <f t="shared" si="15"/>
        <v>0.8668567916675651</v>
      </c>
      <c r="S59" s="103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19" s="4" customFormat="1" ht="24.75" customHeight="1">
      <c r="A60" s="85"/>
      <c r="B60" s="61">
        <v>85403</v>
      </c>
      <c r="C60" s="64" t="s">
        <v>31</v>
      </c>
      <c r="D60" s="43">
        <v>126500</v>
      </c>
      <c r="E60" s="43"/>
      <c r="F60" s="43">
        <v>348750</v>
      </c>
      <c r="G60" s="43"/>
      <c r="H60" s="43">
        <f>13577+302176</f>
        <v>315753</v>
      </c>
      <c r="I60" s="43"/>
      <c r="J60" s="149">
        <f t="shared" si="14"/>
        <v>0.9053849462365592</v>
      </c>
      <c r="K60" s="180"/>
      <c r="L60" s="63">
        <v>126500</v>
      </c>
      <c r="M60" s="43"/>
      <c r="N60" s="43">
        <v>349095</v>
      </c>
      <c r="O60" s="43"/>
      <c r="P60" s="43">
        <f>19881+275151</f>
        <v>295032</v>
      </c>
      <c r="Q60" s="43"/>
      <c r="R60" s="149">
        <f t="shared" si="15"/>
        <v>0.8451338460877411</v>
      </c>
      <c r="S60" s="98"/>
    </row>
    <row r="61" spans="1:19" s="4" customFormat="1" ht="24" customHeight="1">
      <c r="A61" s="85"/>
      <c r="B61" s="57">
        <v>85407</v>
      </c>
      <c r="C61" s="58" t="s">
        <v>60</v>
      </c>
      <c r="D61" s="59">
        <v>18300</v>
      </c>
      <c r="E61" s="59"/>
      <c r="F61" s="59">
        <v>19830</v>
      </c>
      <c r="G61" s="59"/>
      <c r="H61" s="59">
        <v>12766</v>
      </c>
      <c r="I61" s="59"/>
      <c r="J61" s="149">
        <f t="shared" si="14"/>
        <v>0.6437720625315179</v>
      </c>
      <c r="K61" s="179"/>
      <c r="L61" s="60">
        <v>18300</v>
      </c>
      <c r="M61" s="59"/>
      <c r="N61" s="59">
        <v>20524</v>
      </c>
      <c r="O61" s="59"/>
      <c r="P61" s="59">
        <f>696+12750</f>
        <v>13446</v>
      </c>
      <c r="Q61" s="59"/>
      <c r="R61" s="152">
        <f t="shared" si="15"/>
        <v>0.6551354511791074</v>
      </c>
      <c r="S61" s="120"/>
    </row>
    <row r="62" spans="1:19" s="4" customFormat="1" ht="21.75" customHeight="1">
      <c r="A62" s="85"/>
      <c r="B62" s="57">
        <v>85410</v>
      </c>
      <c r="C62" s="64" t="s">
        <v>32</v>
      </c>
      <c r="D62" s="59">
        <v>59800</v>
      </c>
      <c r="E62" s="59"/>
      <c r="F62" s="59">
        <v>104063</v>
      </c>
      <c r="G62" s="59"/>
      <c r="H62" s="59">
        <f>12808+88829</f>
        <v>101637</v>
      </c>
      <c r="I62" s="59"/>
      <c r="J62" s="152">
        <f aca="true" t="shared" si="16" ref="J62:J70">H62/F62</f>
        <v>0.9766871991005449</v>
      </c>
      <c r="K62" s="179"/>
      <c r="L62" s="60">
        <v>59800</v>
      </c>
      <c r="M62" s="59"/>
      <c r="N62" s="59">
        <v>98863</v>
      </c>
      <c r="O62" s="59"/>
      <c r="P62" s="59">
        <f>13332+87707</f>
        <v>101039</v>
      </c>
      <c r="Q62" s="59"/>
      <c r="R62" s="152">
        <f t="shared" si="15"/>
        <v>1.0220102566177438</v>
      </c>
      <c r="S62" s="99"/>
    </row>
    <row r="63" spans="1:19" s="4" customFormat="1" ht="24" customHeight="1">
      <c r="A63" s="85"/>
      <c r="B63" s="61">
        <v>85421</v>
      </c>
      <c r="C63" s="64" t="s">
        <v>33</v>
      </c>
      <c r="D63" s="43">
        <v>10000</v>
      </c>
      <c r="E63" s="43"/>
      <c r="F63" s="43">
        <v>10000</v>
      </c>
      <c r="G63" s="43"/>
      <c r="H63" s="43">
        <f>773+4484</f>
        <v>5257</v>
      </c>
      <c r="I63" s="43"/>
      <c r="J63" s="149">
        <f t="shared" si="16"/>
        <v>0.5257</v>
      </c>
      <c r="K63" s="180"/>
      <c r="L63" s="63">
        <v>10000</v>
      </c>
      <c r="M63" s="43"/>
      <c r="N63" s="43">
        <v>10000</v>
      </c>
      <c r="O63" s="43"/>
      <c r="P63" s="43">
        <f>1233+4130</f>
        <v>5363</v>
      </c>
      <c r="Q63" s="43"/>
      <c r="R63" s="149">
        <f t="shared" si="15"/>
        <v>0.5363</v>
      </c>
      <c r="S63" s="98"/>
    </row>
    <row r="64" spans="1:19" s="4" customFormat="1" ht="21.75" customHeight="1">
      <c r="A64" s="85"/>
      <c r="B64" s="88">
        <v>85495</v>
      </c>
      <c r="C64" s="89" t="s">
        <v>34</v>
      </c>
      <c r="D64" s="90">
        <v>4600400</v>
      </c>
      <c r="E64" s="90"/>
      <c r="F64" s="90">
        <v>5351532</v>
      </c>
      <c r="G64" s="90"/>
      <c r="H64" s="90">
        <f>721343+4061823</f>
        <v>4783166</v>
      </c>
      <c r="I64" s="90"/>
      <c r="J64" s="190">
        <f t="shared" si="16"/>
        <v>0.8937937771838046</v>
      </c>
      <c r="K64" s="182"/>
      <c r="L64" s="91">
        <v>4625400</v>
      </c>
      <c r="M64" s="90"/>
      <c r="N64" s="90">
        <v>5457262</v>
      </c>
      <c r="O64" s="90"/>
      <c r="P64" s="90">
        <f>1007300+3723260</f>
        <v>4730560</v>
      </c>
      <c r="Q64" s="90"/>
      <c r="R64" s="190">
        <f t="shared" si="15"/>
        <v>0.8668376193043325</v>
      </c>
      <c r="S64" s="102"/>
    </row>
    <row r="65" spans="1:19" s="52" customFormat="1" ht="30.75" customHeight="1" thickBot="1">
      <c r="A65" s="76"/>
      <c r="B65" s="92"/>
      <c r="C65" s="206" t="s">
        <v>79</v>
      </c>
      <c r="D65" s="198"/>
      <c r="E65" s="198"/>
      <c r="F65" s="198">
        <f>F67</f>
        <v>240</v>
      </c>
      <c r="G65" s="198"/>
      <c r="H65" s="198">
        <f>H67</f>
        <v>548</v>
      </c>
      <c r="I65" s="198"/>
      <c r="J65" s="207">
        <f t="shared" si="16"/>
        <v>2.283333333333333</v>
      </c>
      <c r="K65" s="208"/>
      <c r="L65" s="198"/>
      <c r="M65" s="198"/>
      <c r="N65" s="198">
        <f>N67</f>
        <v>558</v>
      </c>
      <c r="O65" s="198"/>
      <c r="P65" s="198">
        <f>P67</f>
        <v>476</v>
      </c>
      <c r="Q65" s="198"/>
      <c r="R65" s="207">
        <f t="shared" si="15"/>
        <v>0.8530465949820788</v>
      </c>
      <c r="S65" s="199"/>
    </row>
    <row r="66" spans="1:19" s="52" customFormat="1" ht="20.25" customHeight="1" thickTop="1">
      <c r="A66" s="196">
        <v>852</v>
      </c>
      <c r="B66" s="92"/>
      <c r="C66" s="51" t="s">
        <v>26</v>
      </c>
      <c r="D66" s="76"/>
      <c r="E66" s="76"/>
      <c r="F66" s="76">
        <f>F67</f>
        <v>240</v>
      </c>
      <c r="G66" s="76"/>
      <c r="H66" s="76">
        <f>H67</f>
        <v>548</v>
      </c>
      <c r="I66" s="76"/>
      <c r="J66" s="188">
        <f>H66/F66</f>
        <v>2.283333333333333</v>
      </c>
      <c r="K66" s="185"/>
      <c r="L66" s="127"/>
      <c r="M66" s="76"/>
      <c r="N66" s="76">
        <v>558</v>
      </c>
      <c r="O66" s="76"/>
      <c r="P66" s="76">
        <v>476</v>
      </c>
      <c r="Q66" s="76"/>
      <c r="R66" s="188">
        <f>P66/N66</f>
        <v>0.8530465949820788</v>
      </c>
      <c r="S66" s="103"/>
    </row>
    <row r="67" spans="1:19" s="4" customFormat="1" ht="21.75" customHeight="1">
      <c r="A67" s="78"/>
      <c r="B67" s="67">
        <v>85203</v>
      </c>
      <c r="C67" s="94" t="s">
        <v>59</v>
      </c>
      <c r="D67" s="69"/>
      <c r="E67" s="69"/>
      <c r="F67" s="69">
        <v>240</v>
      </c>
      <c r="G67" s="69"/>
      <c r="H67" s="69">
        <v>548</v>
      </c>
      <c r="I67" s="69"/>
      <c r="J67" s="150">
        <f t="shared" si="16"/>
        <v>2.283333333333333</v>
      </c>
      <c r="K67" s="184"/>
      <c r="L67" s="70"/>
      <c r="M67" s="69"/>
      <c r="N67" s="69">
        <v>558</v>
      </c>
      <c r="O67" s="69"/>
      <c r="P67" s="69">
        <v>476</v>
      </c>
      <c r="Q67" s="69"/>
      <c r="R67" s="150">
        <f t="shared" si="15"/>
        <v>0.8530465949820788</v>
      </c>
      <c r="S67" s="100"/>
    </row>
    <row r="68" spans="1:19" s="52" customFormat="1" ht="40.5" customHeight="1" thickBot="1">
      <c r="A68" s="202"/>
      <c r="B68" s="197"/>
      <c r="C68" s="206" t="s">
        <v>35</v>
      </c>
      <c r="D68" s="198">
        <f>D70</f>
        <v>450000</v>
      </c>
      <c r="E68" s="198"/>
      <c r="F68" s="198">
        <f>F70</f>
        <v>525487</v>
      </c>
      <c r="G68" s="198"/>
      <c r="H68" s="198">
        <f>H70</f>
        <v>389548</v>
      </c>
      <c r="I68" s="198"/>
      <c r="J68" s="207">
        <f t="shared" si="16"/>
        <v>0.7413085385556636</v>
      </c>
      <c r="K68" s="208"/>
      <c r="L68" s="198">
        <f>L70</f>
        <v>465000</v>
      </c>
      <c r="M68" s="198"/>
      <c r="N68" s="198">
        <f>N70</f>
        <v>540487</v>
      </c>
      <c r="O68" s="198"/>
      <c r="P68" s="198">
        <f>P70</f>
        <v>386853</v>
      </c>
      <c r="Q68" s="198"/>
      <c r="R68" s="207">
        <f t="shared" si="15"/>
        <v>0.7157489449329956</v>
      </c>
      <c r="S68" s="199"/>
    </row>
    <row r="69" spans="1:19" s="52" customFormat="1" ht="25.5" customHeight="1" thickTop="1">
      <c r="A69" s="76">
        <v>754</v>
      </c>
      <c r="B69" s="92"/>
      <c r="C69" s="51" t="s">
        <v>74</v>
      </c>
      <c r="D69" s="76">
        <v>450000</v>
      </c>
      <c r="E69" s="76"/>
      <c r="F69" s="76">
        <v>525487</v>
      </c>
      <c r="G69" s="76"/>
      <c r="H69" s="76">
        <v>389548</v>
      </c>
      <c r="I69" s="76"/>
      <c r="J69" s="188">
        <f>H69/F69</f>
        <v>0.7413085385556636</v>
      </c>
      <c r="K69" s="185"/>
      <c r="L69" s="127">
        <v>465000</v>
      </c>
      <c r="M69" s="76"/>
      <c r="N69" s="76">
        <v>540487</v>
      </c>
      <c r="O69" s="76"/>
      <c r="P69" s="76">
        <v>386853</v>
      </c>
      <c r="Q69" s="76"/>
      <c r="R69" s="188">
        <f>P69/N69</f>
        <v>0.7157489449329956</v>
      </c>
      <c r="S69" s="103"/>
    </row>
    <row r="70" spans="1:19" s="4" customFormat="1" ht="25.5" customHeight="1">
      <c r="A70" s="69"/>
      <c r="B70" s="67">
        <v>75411</v>
      </c>
      <c r="C70" s="94" t="s">
        <v>36</v>
      </c>
      <c r="D70" s="69">
        <v>450000</v>
      </c>
      <c r="E70" s="69"/>
      <c r="F70" s="69">
        <v>525487</v>
      </c>
      <c r="G70" s="69"/>
      <c r="H70" s="69">
        <f>43986+345562</f>
        <v>389548</v>
      </c>
      <c r="I70" s="69"/>
      <c r="J70" s="150">
        <f t="shared" si="16"/>
        <v>0.7413085385556636</v>
      </c>
      <c r="K70" s="184"/>
      <c r="L70" s="70">
        <v>465000</v>
      </c>
      <c r="M70" s="69"/>
      <c r="N70" s="69">
        <v>540487</v>
      </c>
      <c r="O70" s="69"/>
      <c r="P70" s="69">
        <f>44014+342839</f>
        <v>386853</v>
      </c>
      <c r="Q70" s="69"/>
      <c r="R70" s="150">
        <f t="shared" si="15"/>
        <v>0.7157489449329956</v>
      </c>
      <c r="S70" s="100"/>
    </row>
    <row r="71" spans="1:19" s="4" customFormat="1" ht="27" customHeight="1">
      <c r="A71" s="172"/>
      <c r="B71" s="2"/>
      <c r="C71" s="3"/>
      <c r="J71" s="5"/>
      <c r="K71" s="5"/>
      <c r="S71" s="121"/>
    </row>
    <row r="72" spans="1:19" s="4" customFormat="1" ht="12.75">
      <c r="A72" s="1"/>
      <c r="B72" s="2"/>
      <c r="C72" s="3"/>
      <c r="E72" s="4" t="s">
        <v>91</v>
      </c>
      <c r="H72" s="4" t="s">
        <v>92</v>
      </c>
      <c r="J72" s="5"/>
      <c r="K72" s="5"/>
      <c r="S72" s="121"/>
    </row>
    <row r="73" spans="1:19" s="4" customFormat="1" ht="12.75">
      <c r="A73" s="1"/>
      <c r="B73" s="2"/>
      <c r="C73" s="3"/>
      <c r="E73" s="4" t="s">
        <v>95</v>
      </c>
      <c r="H73" s="4" t="s">
        <v>93</v>
      </c>
      <c r="J73" s="5"/>
      <c r="K73" s="5"/>
      <c r="S73" s="121"/>
    </row>
    <row r="74" spans="1:19" s="4" customFormat="1" ht="12.75">
      <c r="A74" s="1"/>
      <c r="B74" s="2"/>
      <c r="C74" s="3"/>
      <c r="H74" s="4" t="s">
        <v>94</v>
      </c>
      <c r="J74" s="5"/>
      <c r="K74" s="5"/>
      <c r="S74" s="121"/>
    </row>
    <row r="75" spans="1:19" s="4" customFormat="1" ht="12.75">
      <c r="A75" s="1"/>
      <c r="B75" s="2"/>
      <c r="C75" s="3"/>
      <c r="J75" s="5"/>
      <c r="K75" s="5"/>
      <c r="S75" s="121"/>
    </row>
    <row r="76" spans="1:19" s="4" customFormat="1" ht="12.75">
      <c r="A76" s="1"/>
      <c r="B76" s="2"/>
      <c r="C76" s="3"/>
      <c r="J76" s="5"/>
      <c r="K76" s="5"/>
      <c r="S76" s="121"/>
    </row>
    <row r="77" spans="1:19" s="4" customFormat="1" ht="12.75">
      <c r="A77" s="1"/>
      <c r="B77" s="2"/>
      <c r="C77" s="3"/>
      <c r="J77" s="5"/>
      <c r="K77" s="5"/>
      <c r="S77" s="121"/>
    </row>
    <row r="78" spans="1:19" s="4" customFormat="1" ht="12.75">
      <c r="A78" s="1"/>
      <c r="B78" s="2"/>
      <c r="C78" s="3"/>
      <c r="J78" s="5"/>
      <c r="K78" s="5"/>
      <c r="S78" s="121"/>
    </row>
    <row r="79" spans="1:19" s="4" customFormat="1" ht="12.75">
      <c r="A79" s="1"/>
      <c r="B79" s="2"/>
      <c r="C79" s="3"/>
      <c r="J79" s="5"/>
      <c r="K79" s="5"/>
      <c r="S79" s="121"/>
    </row>
    <row r="80" spans="1:19" s="4" customFormat="1" ht="12.75">
      <c r="A80" s="1"/>
      <c r="B80" s="2"/>
      <c r="C80" s="3"/>
      <c r="J80" s="5"/>
      <c r="K80" s="5"/>
      <c r="S80" s="121"/>
    </row>
    <row r="81" spans="1:19" s="4" customFormat="1" ht="12.75">
      <c r="A81" s="1"/>
      <c r="B81" s="2"/>
      <c r="C81" s="3"/>
      <c r="J81" s="5"/>
      <c r="K81" s="5"/>
      <c r="S81" s="121"/>
    </row>
    <row r="82" spans="1:19" s="4" customFormat="1" ht="12.75">
      <c r="A82" s="1"/>
      <c r="B82" s="2"/>
      <c r="C82" s="3"/>
      <c r="J82" s="5"/>
      <c r="K82" s="5"/>
      <c r="S82" s="121"/>
    </row>
    <row r="83" spans="1:19" s="4" customFormat="1" ht="12.75">
      <c r="A83" s="1"/>
      <c r="B83" s="2"/>
      <c r="C83" s="3"/>
      <c r="J83" s="5"/>
      <c r="K83" s="5"/>
      <c r="S83" s="121"/>
    </row>
    <row r="84" spans="1:19" s="4" customFormat="1" ht="12.75">
      <c r="A84" s="1"/>
      <c r="B84" s="2"/>
      <c r="C84" s="3"/>
      <c r="J84" s="5"/>
      <c r="K84" s="5"/>
      <c r="S84" s="121"/>
    </row>
    <row r="85" spans="1:19" s="4" customFormat="1" ht="12.75">
      <c r="A85" s="1"/>
      <c r="B85" s="2"/>
      <c r="C85" s="3"/>
      <c r="J85" s="5"/>
      <c r="K85" s="5"/>
      <c r="S85" s="121"/>
    </row>
    <row r="86" spans="1:19" s="4" customFormat="1" ht="12.75">
      <c r="A86" s="1"/>
      <c r="B86" s="2"/>
      <c r="C86" s="3"/>
      <c r="J86" s="5"/>
      <c r="K86" s="5"/>
      <c r="S86" s="121"/>
    </row>
    <row r="87" spans="1:19" s="4" customFormat="1" ht="12.75">
      <c r="A87" s="1"/>
      <c r="B87" s="2"/>
      <c r="C87" s="3"/>
      <c r="J87" s="5"/>
      <c r="K87" s="5"/>
      <c r="S87" s="121"/>
    </row>
    <row r="88" spans="1:19" s="4" customFormat="1" ht="12.75">
      <c r="A88" s="1"/>
      <c r="B88" s="2"/>
      <c r="C88" s="3"/>
      <c r="J88" s="5"/>
      <c r="K88" s="5"/>
      <c r="S88" s="121"/>
    </row>
    <row r="89" spans="1:19" s="4" customFormat="1" ht="12.75">
      <c r="A89" s="1"/>
      <c r="B89" s="2"/>
      <c r="C89" s="3"/>
      <c r="J89" s="5"/>
      <c r="K89" s="5"/>
      <c r="S89" s="121"/>
    </row>
    <row r="90" spans="1:19" s="4" customFormat="1" ht="12.75">
      <c r="A90" s="1"/>
      <c r="B90" s="2"/>
      <c r="C90" s="3"/>
      <c r="J90" s="5"/>
      <c r="K90" s="5"/>
      <c r="S90" s="121"/>
    </row>
    <row r="91" spans="1:19" s="4" customFormat="1" ht="12.75">
      <c r="A91" s="1"/>
      <c r="B91" s="2"/>
      <c r="C91" s="3"/>
      <c r="J91" s="5"/>
      <c r="K91" s="5"/>
      <c r="S91" s="121"/>
    </row>
    <row r="92" spans="1:19" s="4" customFormat="1" ht="12.75">
      <c r="A92" s="1"/>
      <c r="B92" s="2"/>
      <c r="C92" s="3"/>
      <c r="J92" s="5"/>
      <c r="K92" s="5"/>
      <c r="S92" s="121"/>
    </row>
    <row r="93" spans="1:19" s="4" customFormat="1" ht="12.75">
      <c r="A93" s="1"/>
      <c r="B93" s="2"/>
      <c r="C93" s="3"/>
      <c r="J93" s="5"/>
      <c r="K93" s="5"/>
      <c r="S93" s="121"/>
    </row>
    <row r="94" spans="1:19" s="4" customFormat="1" ht="12.75">
      <c r="A94" s="1"/>
      <c r="B94" s="2"/>
      <c r="C94" s="3"/>
      <c r="J94" s="5"/>
      <c r="K94" s="5"/>
      <c r="S94" s="121"/>
    </row>
    <row r="95" spans="1:19" s="4" customFormat="1" ht="12.75">
      <c r="A95" s="1"/>
      <c r="B95" s="2"/>
      <c r="C95" s="3"/>
      <c r="J95" s="5"/>
      <c r="K95" s="5"/>
      <c r="S95" s="121"/>
    </row>
    <row r="96" spans="1:19" s="4" customFormat="1" ht="12.75">
      <c r="A96" s="1"/>
      <c r="B96" s="2"/>
      <c r="C96" s="3"/>
      <c r="J96" s="5"/>
      <c r="K96" s="5"/>
      <c r="S96" s="121"/>
    </row>
    <row r="97" spans="1:19" s="4" customFormat="1" ht="12.75">
      <c r="A97" s="1"/>
      <c r="B97" s="2"/>
      <c r="C97" s="3"/>
      <c r="J97" s="5"/>
      <c r="K97" s="5"/>
      <c r="S97" s="121"/>
    </row>
    <row r="98" spans="1:19" s="4" customFormat="1" ht="12.75">
      <c r="A98" s="1"/>
      <c r="B98" s="2"/>
      <c r="C98" s="3"/>
      <c r="J98" s="5"/>
      <c r="K98" s="5"/>
      <c r="S98" s="121"/>
    </row>
    <row r="99" spans="1:19" s="4" customFormat="1" ht="12.75">
      <c r="A99" s="1"/>
      <c r="B99" s="2"/>
      <c r="C99" s="3"/>
      <c r="J99" s="5"/>
      <c r="K99" s="5"/>
      <c r="S99" s="121"/>
    </row>
    <row r="100" spans="1:19" s="4" customFormat="1" ht="12.75">
      <c r="A100" s="1"/>
      <c r="B100" s="2"/>
      <c r="C100" s="3"/>
      <c r="J100" s="5"/>
      <c r="K100" s="5"/>
      <c r="S100" s="121"/>
    </row>
    <row r="101" spans="1:19" s="4" customFormat="1" ht="12.75">
      <c r="A101" s="1"/>
      <c r="B101" s="2"/>
      <c r="C101" s="3"/>
      <c r="J101" s="5"/>
      <c r="K101" s="5"/>
      <c r="S101" s="121"/>
    </row>
    <row r="102" spans="1:19" s="4" customFormat="1" ht="12.75">
      <c r="A102" s="1"/>
      <c r="B102" s="2"/>
      <c r="C102" s="3"/>
      <c r="J102" s="5"/>
      <c r="K102" s="5"/>
      <c r="S102" s="121"/>
    </row>
    <row r="103" spans="1:19" s="4" customFormat="1" ht="12.75">
      <c r="A103" s="1"/>
      <c r="B103" s="2"/>
      <c r="C103" s="3"/>
      <c r="J103" s="5"/>
      <c r="K103" s="5"/>
      <c r="S103" s="121"/>
    </row>
    <row r="104" spans="1:19" s="4" customFormat="1" ht="12.75">
      <c r="A104" s="1"/>
      <c r="B104" s="2"/>
      <c r="C104" s="3"/>
      <c r="J104" s="5"/>
      <c r="K104" s="5"/>
      <c r="S104" s="121"/>
    </row>
    <row r="105" spans="1:19" s="4" customFormat="1" ht="12.75">
      <c r="A105" s="1"/>
      <c r="B105" s="2"/>
      <c r="C105" s="3"/>
      <c r="J105" s="5"/>
      <c r="K105" s="5"/>
      <c r="S105" s="121"/>
    </row>
    <row r="106" spans="1:19" s="4" customFormat="1" ht="12.75">
      <c r="A106" s="1"/>
      <c r="B106" s="2"/>
      <c r="C106" s="3"/>
      <c r="J106" s="5"/>
      <c r="K106" s="5"/>
      <c r="S106" s="121"/>
    </row>
    <row r="107" spans="1:19" s="4" customFormat="1" ht="12.75">
      <c r="A107" s="1"/>
      <c r="B107" s="2"/>
      <c r="C107" s="3"/>
      <c r="J107" s="5"/>
      <c r="K107" s="5"/>
      <c r="S107" s="121"/>
    </row>
    <row r="108" spans="1:19" s="4" customFormat="1" ht="12.75">
      <c r="A108" s="1"/>
      <c r="B108" s="2"/>
      <c r="C108" s="3"/>
      <c r="J108" s="5"/>
      <c r="K108" s="5"/>
      <c r="S108" s="121"/>
    </row>
    <row r="109" spans="1:19" s="4" customFormat="1" ht="12.75">
      <c r="A109" s="1"/>
      <c r="B109" s="2"/>
      <c r="C109" s="3"/>
      <c r="J109" s="5"/>
      <c r="K109" s="5"/>
      <c r="S109" s="121"/>
    </row>
  </sheetData>
  <mergeCells count="8">
    <mergeCell ref="D8:E8"/>
    <mergeCell ref="F8:G8"/>
    <mergeCell ref="H8:I8"/>
    <mergeCell ref="D7:K7"/>
    <mergeCell ref="L8:M8"/>
    <mergeCell ref="N8:O8"/>
    <mergeCell ref="P8:Q8"/>
    <mergeCell ref="L7:S7"/>
  </mergeCells>
  <printOptions horizontalCentered="1"/>
  <pageMargins left="0.5905511811023623" right="0.5905511811023623" top="0.7874015748031497" bottom="0.7874015748031497" header="0.5118110236220472" footer="0.35433070866141736"/>
  <pageSetup firstPageNumber="61" useFirstPageNumber="1" horizontalDpi="300" verticalDpi="3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18"/>
  <sheetViews>
    <sheetView workbookViewId="0" topLeftCell="A1">
      <selection activeCell="E8" sqref="E8"/>
    </sheetView>
  </sheetViews>
  <sheetFormatPr defaultColWidth="9.00390625" defaultRowHeight="12.75"/>
  <cols>
    <col min="1" max="1" width="9.125" style="129" customWidth="1"/>
    <col min="2" max="2" width="0.875" style="129" customWidth="1"/>
    <col min="3" max="3" width="9.125" style="129" customWidth="1"/>
  </cols>
  <sheetData>
    <row r="1" spans="1:3" ht="15.75">
      <c r="A1" s="128">
        <v>235</v>
      </c>
      <c r="B1" s="128"/>
      <c r="C1" s="128" t="s">
        <v>39</v>
      </c>
    </row>
    <row r="2" spans="1:3" ht="15.75">
      <c r="A2" s="128">
        <v>251</v>
      </c>
      <c r="B2" s="128"/>
      <c r="C2" s="128" t="s">
        <v>40</v>
      </c>
    </row>
    <row r="3" spans="1:3" ht="15.75">
      <c r="A3" s="128">
        <v>587</v>
      </c>
      <c r="B3" s="128"/>
      <c r="C3" s="128" t="s">
        <v>41</v>
      </c>
    </row>
    <row r="4" spans="1:3" ht="15.75">
      <c r="A4" s="128">
        <v>828</v>
      </c>
      <c r="B4" s="128"/>
      <c r="C4" s="128" t="s">
        <v>42</v>
      </c>
    </row>
    <row r="5" spans="1:3" ht="15.75">
      <c r="A5" s="128">
        <v>570</v>
      </c>
      <c r="B5" s="128"/>
      <c r="C5" s="128" t="s">
        <v>43</v>
      </c>
    </row>
    <row r="6" spans="1:3" ht="15.75">
      <c r="A6" s="128"/>
      <c r="B6" s="128"/>
      <c r="C6" s="128"/>
    </row>
    <row r="7" spans="1:3" ht="15.75">
      <c r="A7" s="128">
        <v>228</v>
      </c>
      <c r="B7" s="128"/>
      <c r="C7" s="128" t="s">
        <v>44</v>
      </c>
    </row>
    <row r="8" spans="1:3" ht="15.75">
      <c r="A8" s="128">
        <v>230</v>
      </c>
      <c r="B8" s="128"/>
      <c r="C8" s="128" t="s">
        <v>45</v>
      </c>
    </row>
    <row r="9" spans="1:3" ht="15.75">
      <c r="A9" s="128">
        <v>290</v>
      </c>
      <c r="B9" s="128"/>
      <c r="C9" s="128" t="s">
        <v>46</v>
      </c>
    </row>
    <row r="10" spans="1:3" ht="15.75">
      <c r="A10" s="128">
        <v>619</v>
      </c>
      <c r="B10" s="128"/>
      <c r="C10" s="128" t="s">
        <v>47</v>
      </c>
    </row>
    <row r="11" spans="1:3" ht="15.75">
      <c r="A11" s="128"/>
      <c r="B11" s="128"/>
      <c r="C11" s="128"/>
    </row>
    <row r="12" spans="1:3" ht="15.75">
      <c r="A12" s="128">
        <v>117</v>
      </c>
      <c r="B12" s="128"/>
      <c r="C12" s="128" t="s">
        <v>48</v>
      </c>
    </row>
    <row r="13" spans="1:3" ht="15.75">
      <c r="A13" s="128">
        <v>758</v>
      </c>
      <c r="B13" s="128"/>
      <c r="C13" s="128" t="s">
        <v>49</v>
      </c>
    </row>
    <row r="14" spans="1:3" ht="15.75">
      <c r="A14" s="128">
        <v>156</v>
      </c>
      <c r="B14" s="128"/>
      <c r="C14" s="128" t="s">
        <v>50</v>
      </c>
    </row>
    <row r="15" spans="1:3" ht="15.75">
      <c r="A15" s="128">
        <v>125</v>
      </c>
      <c r="B15" s="128"/>
      <c r="C15" s="128" t="s">
        <v>51</v>
      </c>
    </row>
    <row r="16" spans="1:3" ht="15.75">
      <c r="A16" s="128">
        <v>178</v>
      </c>
      <c r="B16" s="128"/>
      <c r="C16" s="128" t="s">
        <v>52</v>
      </c>
    </row>
    <row r="17" spans="1:3" ht="15.75">
      <c r="A17" s="128"/>
      <c r="B17" s="128"/>
      <c r="C17" s="128"/>
    </row>
    <row r="18" spans="1:3" ht="15.75">
      <c r="A18" s="128">
        <v>174</v>
      </c>
      <c r="B18" s="128"/>
      <c r="C18" s="128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2006-03-17T10:50:28Z</cp:lastPrinted>
  <dcterms:created xsi:type="dcterms:W3CDTF">2005-03-22T12:47:16Z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