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348" activeTab="0"/>
  </bookViews>
  <sheets>
    <sheet name="dochody" sheetId="1" r:id="rId1"/>
    <sheet name="wydatki" sheetId="2" r:id="rId2"/>
    <sheet name="przychody i rozchody" sheetId="3" r:id="rId3"/>
    <sheet name="inwestycje" sheetId="4" r:id="rId4"/>
    <sheet name="remonty" sheetId="5" r:id="rId5"/>
    <sheet name="zakłady" sheetId="6" r:id="rId6"/>
    <sheet name="instytucje" sheetId="7" r:id="rId7"/>
    <sheet name="dotacje" sheetId="8" r:id="rId8"/>
    <sheet name="rady" sheetId="9" r:id="rId9"/>
    <sheet name="gminny" sheetId="10" r:id="rId10"/>
    <sheet name="powiatowy" sheetId="11" r:id="rId11"/>
    <sheet name="zlecone" sheetId="12" r:id="rId12"/>
  </sheets>
  <definedNames>
    <definedName name="_xlnm.Print_Area" localSheetId="0">'dochody'!$A$1:$V$490</definedName>
    <definedName name="_xlnm.Print_Area" localSheetId="9">'gminny'!$A:$IV</definedName>
    <definedName name="_xlnm.Print_Area" localSheetId="4">'remonty'!$A$1:$G$100</definedName>
    <definedName name="_xlnm.Print_Titles" localSheetId="0">'dochody'!$8:$8</definedName>
    <definedName name="_xlnm.Print_Titles" localSheetId="7">'dotacje'!$7:$7</definedName>
    <definedName name="_xlnm.Print_Titles" localSheetId="9">'gminny'!$8:$8</definedName>
    <definedName name="_xlnm.Print_Titles" localSheetId="3">'inwestycje'!$7:$11</definedName>
    <definedName name="_xlnm.Print_Titles" localSheetId="10">'powiatowy'!$8:$8</definedName>
    <definedName name="_xlnm.Print_Titles" localSheetId="2">'przychody i rozchody'!$8:$8</definedName>
    <definedName name="_xlnm.Print_Titles" localSheetId="8">'rady'!$7:$7</definedName>
    <definedName name="_xlnm.Print_Titles" localSheetId="4">'remonty'!$7:$7</definedName>
    <definedName name="_xlnm.Print_Titles" localSheetId="1">'wydatki'!$11:$11</definedName>
    <definedName name="_xlnm.Print_Titles" localSheetId="5">'zakłady'!$10:$10</definedName>
    <definedName name="_xlnm.Print_Titles" localSheetId="11">'zlecone'!$8:$8</definedName>
  </definedNames>
  <calcPr fullCalcOnLoad="1"/>
</workbook>
</file>

<file path=xl/sharedStrings.xml><?xml version="1.0" encoding="utf-8"?>
<sst xmlns="http://schemas.openxmlformats.org/spreadsheetml/2006/main" count="2156" uniqueCount="1075">
  <si>
    <t>dotacje dla publicznych i niepublicznych szkół zawodowych</t>
  </si>
  <si>
    <t>Komisje egzaminacyjne</t>
  </si>
  <si>
    <t>koszty funkcjonowania komisji egzaminacyjnych</t>
  </si>
  <si>
    <t>Dokształcanie i doskonalenie nauczycieli</t>
  </si>
  <si>
    <t>dokształcanie i doskonalenie zawodowe nauczycieli</t>
  </si>
  <si>
    <t>nagrody rzeczowe dla laureatów konkursów i olimpiad przedmiotowych</t>
  </si>
  <si>
    <t>ogłoszenia prasowe i inne</t>
  </si>
  <si>
    <t xml:space="preserve">zakładowy fundusz świadczeń socjalnych dla nauczycieli emerytów 
i rencistów </t>
  </si>
  <si>
    <t>dotacja przedmiotowa na częściowe pokrycie kosztów centralnego ogrzewania warsztatów szkolnych</t>
  </si>
  <si>
    <t>zakup świadczeń zdrowotnych</t>
  </si>
  <si>
    <t>wydatki związane z likwidacją Zespołu Opieki Zdrowotnej 
w Lublinie SP ZOZ</t>
  </si>
  <si>
    <t>w tym: dotacja dla Zespołu Opieki Zdrowotnej w Lublinie SP ZOZ</t>
  </si>
  <si>
    <t>Programy polityki zdrowotnej</t>
  </si>
  <si>
    <t>programy zdrowotne</t>
  </si>
  <si>
    <t>Zwalczanie narkomanii</t>
  </si>
  <si>
    <t>zadania realizowane w ramach Gminnego Programu Przeciwdziałania Narkomanii</t>
  </si>
  <si>
    <t xml:space="preserve">w tym: dotacja dla Ośrodka Leczenia Uzależnień SP ZOZ </t>
  </si>
  <si>
    <t>zadania realizowane w ramach programu profilaktyki i rozwiązywania problemów alkoholowych</t>
  </si>
  <si>
    <t xml:space="preserve">dotacja dla Ośrodka Leczenia Uzależnień SP ZOZ </t>
  </si>
  <si>
    <t>szkolenie komputerowe dla bezrobotnych mieszkańców zagrożonych alkoholizmem</t>
  </si>
  <si>
    <t>kurs - szkolenie: "Jak zapobiegać agresji i przemocy w rodzinie dotkniętej alkoholizmem", "Akceptacja dziecka niepełnosprawnego w rodzinach 
z problemem alkoholowym"</t>
  </si>
  <si>
    <t>realizacja zajęć profilaktycznych w ramach programu profilaktyczno-wychowawczego "Spórz inaczej"</t>
  </si>
  <si>
    <t xml:space="preserve">realizacja zadań wynikających z uchwalonej przez Radę Miasta strategii działań na rzecz osób niepełnosprawnych </t>
  </si>
  <si>
    <t>Szkoła Ratownictwa Medyczno - Sanitarnego</t>
  </si>
  <si>
    <t>Placówki opiekuńczo-wychowacze</t>
  </si>
  <si>
    <t>dotacje dla niepublicznych placówek opiekuńczo-wychowawczych</t>
  </si>
  <si>
    <t>opłaty za pobyt osób skierowanych do domów pomocy poza miasto Lublin</t>
  </si>
  <si>
    <t>dotacja na prowadzenie Domu Pomocy Społecznej przy ul. Dolińskiego</t>
  </si>
  <si>
    <t xml:space="preserve">dotacja na prowadzenie Ośrodka Wsparcia dla Rodzin z Dzieckiem Niepełnosprawnym </t>
  </si>
  <si>
    <t>świadczenia społeczne</t>
  </si>
  <si>
    <t>dotacje dla powiatów na utrzymanie dzieci z miasta Lublin umieszczonych 
w rodzinach zastępczych na ich terenie</t>
  </si>
  <si>
    <t>dodatki mieszkaniowe</t>
  </si>
  <si>
    <t>Jednostki specjalistycznego poradnictwa, mieszkania chronione 
i ośrodki interwencji kryzysowej</t>
  </si>
  <si>
    <t>mieszkania chronione</t>
  </si>
  <si>
    <t>remonty</t>
  </si>
  <si>
    <t>usługi opiekuńcze</t>
  </si>
  <si>
    <t xml:space="preserve">pomoc osobom ubogim, w sytuacji kryzysowej </t>
  </si>
  <si>
    <t>pomoc osobom bezdomnym, matkom samotnie wychowującym dzieci, kobietom zagrożonym przemocą domową</t>
  </si>
  <si>
    <t>pomoc osobom niepełnosprawnym fizycznie, intelektualnie i chorym psychicznie</t>
  </si>
  <si>
    <t xml:space="preserve">dożywianie uczniów </t>
  </si>
  <si>
    <t>realizacja programu "Promocja wzrostu zatrudnienia wśród młodzieży" 
w ramach PHARE 2002</t>
  </si>
  <si>
    <t xml:space="preserve">pomoc dla repatriantów </t>
  </si>
  <si>
    <t>Specjalne ośrodki szkolno - wychowawcze</t>
  </si>
  <si>
    <t>dotacje dla niepublicznych ośrodków szkolno-wychowawczych</t>
  </si>
  <si>
    <t>Poradnie psychologiczno - pedagogiczne, w tym poradnie specjalistyczne</t>
  </si>
  <si>
    <t xml:space="preserve">dotacje dla niepublicznych burs i internatów </t>
  </si>
  <si>
    <t>Kolonie i obozy oraz inne formy wypoczynku dzieci i młodzieży 
szkolnej, a także szkolenia młodzieży</t>
  </si>
  <si>
    <t>organizacja wypoczynku letniego i zimowego dla dzieci i młodzieży</t>
  </si>
  <si>
    <t xml:space="preserve">stypendia oraz inne formy pomocy dla uczniów </t>
  </si>
  <si>
    <t>pomoc materialna dla młodzieży wiejskiej</t>
  </si>
  <si>
    <t>utrzymanie stołówek szkolnych, z tego:</t>
  </si>
  <si>
    <t>ogłoszenia prasowe</t>
  </si>
  <si>
    <t xml:space="preserve">Gospodarka komunalna i ochrona środowiska </t>
  </si>
  <si>
    <t>eksploatacja bieżąca i konserwacja kanalizacji deszczowej</t>
  </si>
  <si>
    <t>eksploatacja bieżąca i konserwacja zdrojów ulicznych, zbiorników p.poż. 
i punktów szybkiego napełniania wody, zabezpieczenie ujęcia wodnego</t>
  </si>
  <si>
    <t>konserwacja i utrzymanie rowów odwadniających</t>
  </si>
  <si>
    <t>bieżące utrzymanie Zbiornika Zemborzyckiego</t>
  </si>
  <si>
    <t>utrzymanie fontann</t>
  </si>
  <si>
    <t>opłata za korzystanie ze środowiska</t>
  </si>
  <si>
    <t>opłata roczna za użytkowanie gruntów pokrytych wodami</t>
  </si>
  <si>
    <t>eksploatacja składowiska odpadów komunalnych w Rokitnie</t>
  </si>
  <si>
    <t>oczyszczanie miasta</t>
  </si>
  <si>
    <t>sprzątanie przystanków i utrzymanie wiat przystankowych</t>
  </si>
  <si>
    <t>prace porządkowe doraźne</t>
  </si>
  <si>
    <t>konserwacja i utrzymanie szaletów miejskich</t>
  </si>
  <si>
    <t>wywóz nieczystości stałych</t>
  </si>
  <si>
    <t>Utrzymanie zieleni w miastach i gminach</t>
  </si>
  <si>
    <t>zakup materiałów i wyposażenia do parków, skwerów i placów zabaw</t>
  </si>
  <si>
    <t>utrzymanie, konserwacja i renowacja zieleni</t>
  </si>
  <si>
    <t>konserwacja rowów i urządzeń melioracyjnych w Parku Ludowym</t>
  </si>
  <si>
    <t>konserwacja urządzeń małej architektury ogrodowej w parkach, na skwerach 
i miejskich placach zabaw</t>
  </si>
  <si>
    <t>organizacja cyklu wypraw ekologiczno-badawczych dla dzieci i młodzieży 
w ramach projektu "W cztery strony świata dookoła Lublina"</t>
  </si>
  <si>
    <t>schronisko dla zwierząt</t>
  </si>
  <si>
    <t>oświetlenie dróg</t>
  </si>
  <si>
    <t>konserwacja i obsługa urządzeń oświetlenia</t>
  </si>
  <si>
    <t>remonty urządzeń oświetlenia</t>
  </si>
  <si>
    <t>utrzymanie miejsc pamięci narodowej</t>
  </si>
  <si>
    <t>upowszechnianie kultury i sztuki</t>
  </si>
  <si>
    <t>w tym: wyposażenie muszli koncertowej - 17.347 zł</t>
  </si>
  <si>
    <t>stypendia dla młodzieży szkół artystycznych</t>
  </si>
  <si>
    <t>nagrody w dziedzinie kultury</t>
  </si>
  <si>
    <t>realizacja projektu "Blisko, coraz bliżej - Euroregionalny Ośrodek Informacji 
i Współpracy Kulturalnej w Lublinie"</t>
  </si>
  <si>
    <t>dotacja dla Teatru im. H. Ch. Andersena</t>
  </si>
  <si>
    <t>Domy i ośrodki kultury, świetlice i kluby</t>
  </si>
  <si>
    <t>dotacja dla Dzielnicowego Domu Kultury "Bronowice"</t>
  </si>
  <si>
    <t>dotacja dla Zespołu Pieśni i Tańca "Lublin" im. W. Kaniorowej</t>
  </si>
  <si>
    <t>dotacja dla Ośrodka "Brama Grodzka - Teatr NN"</t>
  </si>
  <si>
    <t>Galerie i biura wystaw artystycznych</t>
  </si>
  <si>
    <t>dotacja dla Biura Wystaw Artystycznych</t>
  </si>
  <si>
    <t>Centra kultury i sztuki</t>
  </si>
  <si>
    <t>dotacja dla Centrum Kultury</t>
  </si>
  <si>
    <t xml:space="preserve">dotacja dla Miejskiej Biblioteki Publicznej </t>
  </si>
  <si>
    <t>Ochrona i konserwacja zabytków</t>
  </si>
  <si>
    <t>bezzwrotna pomoc na remonty dla właścicieli budynków zabytkowych</t>
  </si>
  <si>
    <t>rewaloryzacja zabytków, z tego:</t>
  </si>
  <si>
    <t>remonty obiektów zabytkowych</t>
  </si>
  <si>
    <t>utrzymanie komunalnych obiektów sportowych</t>
  </si>
  <si>
    <t>Instytucje kultury fizycznej</t>
  </si>
  <si>
    <t>dotacja dla MOSiR "Bystrzyca"</t>
  </si>
  <si>
    <t>Zadania w zakresie kultury fizycznej i sportu</t>
  </si>
  <si>
    <t>zadania w zakresie upowszechniania kultury fizycznej</t>
  </si>
  <si>
    <t>zajęcia sportowo - rekreacyjne w szkołach</t>
  </si>
  <si>
    <t>nagrody Prezydenta Miasta Lublin i inne dla zawodników i kadry szkoleniowej</t>
  </si>
  <si>
    <t>Wydatki na zadania realizowane na podstawie porozumień i umów</t>
  </si>
  <si>
    <t>wydatki związane z utrzymaniem grobów i cmentarzy wojennych</t>
  </si>
  <si>
    <t>zakup specjalistycznego sprzętu i wyposażenia indywidualnego strażaków</t>
  </si>
  <si>
    <t>dotacje dla publicznych i niepublicznych przedszkoli</t>
  </si>
  <si>
    <t>organizacja kursu języka polskiego i kursu adaptacyjnego dla repatriantów</t>
  </si>
  <si>
    <t>realizacja programu z zakresu opieki nad dzieckiem i rodziną</t>
  </si>
  <si>
    <t>realizacja projektu "System stypendialny szansą ponadgimnazjalistów z terenów wiejskich"</t>
  </si>
  <si>
    <t>dotacja dla Centrum Kultury na realizację zadania "Prezentacja spektaklu "Ferdydurke" teatrów Provisorium i Kompani "Teatr" w teatrze X-cai w Tokio 
i w Tsakubie (Japonia)"</t>
  </si>
  <si>
    <t>dotacja dla gminy Głusk na obsługę biblioteczną mieszkańców Lublina</t>
  </si>
  <si>
    <t>dotacja dla Miejskiej Biblioteki Publicznej na realizację programu "Upowszechnianie i promocja czytelnictwa"</t>
  </si>
  <si>
    <t>Wydatki na zadania zlecone</t>
  </si>
  <si>
    <t>Wydatki na zadania ustawowo zlecone gminie</t>
  </si>
  <si>
    <t>Urzędy naczelnych organów władzy państwowej, kontroli i ochrony 
prawa oraz sądownictwa</t>
  </si>
  <si>
    <t>Urzędy naczelnych organów władzy państwowej, kontroli i ochrony prawa</t>
  </si>
  <si>
    <t>prowadzenie i aktualizacja rejestru wyborców</t>
  </si>
  <si>
    <t>przeprowadzenie wyborów do Parlamentu Europejskiego</t>
  </si>
  <si>
    <t>wydatki z zakresu obrony cywilnej</t>
  </si>
  <si>
    <t>realizacja projektu "Podajmy sobie ręce"</t>
  </si>
  <si>
    <t>utrzymanie Środowiskowego Domu Samopomocy przy ul. Gospodarczej, 
z tego:</t>
  </si>
  <si>
    <t>dotacja na prowadzenie Środowiskowego Domu Samopomocy 
przy al. Spółdzielczości Pracy</t>
  </si>
  <si>
    <t>świadczenia rodzinne</t>
  </si>
  <si>
    <t>składki na ubezpieczenie zdrowotne opłacane za osoby pobierające świadczenia z pomocy społecznej</t>
  </si>
  <si>
    <t>Zasiłki i pomoc w naturze oraz składki na ubezpieczenia społeczne</t>
  </si>
  <si>
    <t xml:space="preserve">usługi opiekuńcze </t>
  </si>
  <si>
    <t>Wydatki na zadania z zakresu administracji rządowej wykonywane 
przez powiat</t>
  </si>
  <si>
    <t>700</t>
  </si>
  <si>
    <t>gospodarka nieruchomościami</t>
  </si>
  <si>
    <t>modernizacja ewidencji gruntów w obrębach przyłączonych do miasta Lublina</t>
  </si>
  <si>
    <t>przeprowadzenie poboru do wojska</t>
  </si>
  <si>
    <t>funkcjonowanie Centrum Powiadamiania Ratunkowego</t>
  </si>
  <si>
    <t>składki na ubezpieczenie zdrowotne za uczniów oraz wychowanków placówek opiekuńczo-wychowawczych</t>
  </si>
  <si>
    <t>składki na ubezpieczenie zdrowotne za osoby bezrobotne bez prawa 
do zasiłku</t>
  </si>
  <si>
    <t>dotacja na prowadzenie Środowiskowego Domu Samopomocy 
przy ul. Abramowickiej "Misericordia"</t>
  </si>
  <si>
    <t>dotacja na prowadzenie Środowiskowego Domu Samopomocy "Roztocze" 
przy ul. Wallenroda oraz Ośrodka Wsparcia przy ul. Bronowickiej</t>
  </si>
  <si>
    <t>dotacja na prowadzenie Środowiskowego Domu Samopomocy dla Osób 
z Chorobą Alzheimera</t>
  </si>
  <si>
    <t>dotacja na inwestycje w Środowiskowym Domu Samopomocy dla Osób 
z Chorobą Alzheimera</t>
  </si>
  <si>
    <t>świadczenia rodzinne dla pracowników Straży Pożarnej</t>
  </si>
  <si>
    <t>świadczenia społeczne dla pracowników Straży Pożarnej</t>
  </si>
  <si>
    <t>pomoc dla uchodźców</t>
  </si>
  <si>
    <t>pomoc dla repatriantów</t>
  </si>
  <si>
    <t>Załącznik nr 3</t>
  </si>
  <si>
    <t>Przychody i rozchody</t>
  </si>
  <si>
    <t>Treść</t>
  </si>
  <si>
    <t>Planowane przychody
na 2004 rok
wg uchwały budżetowej</t>
  </si>
  <si>
    <t>Plan przychodów 
na 2004 rok
po zmianach</t>
  </si>
  <si>
    <t>Wykonanie przychodów 
na 31 grudnia 
2004 roku</t>
  </si>
  <si>
    <t>Planowane rozchody
na 2004 rok 
wg uchwały budżetowej</t>
  </si>
  <si>
    <t>Plan rozchodów  
na 2004 rok 
po zmianach</t>
  </si>
  <si>
    <t>Wykonanie rozchodów  
na 31 grudnia 
2004 roku</t>
  </si>
  <si>
    <t>Ogółem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</si>
  <si>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</si>
  <si>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</si>
  <si>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>Przychody z zaciągniętych pożyczek i kredytów na rynku krajowym</t>
  </si>
  <si>
    <t>Pożyczki i kredyty</t>
  </si>
  <si>
    <t>Nadwyżki z lat ubiegłych</t>
  </si>
  <si>
    <t>Wolne środki stanowiące nadwyżkę środków pieniężnych na rachunku bieżącym budżetu miasta wynikającą z lat ubiegłych</t>
  </si>
  <si>
    <t>Wykup innych papierów wartościowych</t>
  </si>
  <si>
    <t>Wykup obligacji pięcioletnich wyemitowanych w 1999 roku</t>
  </si>
  <si>
    <t>Spłaty otrzymanych krajowych pożyczek i kredytów</t>
  </si>
  <si>
    <t xml:space="preserve">Spłata zaciągniętych pożyczek i kredytów </t>
  </si>
  <si>
    <t>Załącznik nr 4</t>
  </si>
  <si>
    <t xml:space="preserve">Wydatki majątkowe </t>
  </si>
  <si>
    <t>Planowane wydatki majątkowe 
na 2004 rok 
wg uchwały budżetowej</t>
  </si>
  <si>
    <t>Planowane wydatki majątkowe na 2004 rok po zmianach</t>
  </si>
  <si>
    <t>Wykonanie 
na 31 grudnia
2004 roku</t>
  </si>
  <si>
    <t xml:space="preserve">Nazwa: działu, rozdziału, </t>
  </si>
  <si>
    <t>ze środków</t>
  </si>
  <si>
    <t>kredytów,</t>
  </si>
  <si>
    <t xml:space="preserve">ze </t>
  </si>
  <si>
    <t>ze środków własnych budżetu miasta</t>
  </si>
  <si>
    <t>z kredytów, pożyczek 
i innych środków</t>
  </si>
  <si>
    <t>ze środków budżetu państwa</t>
  </si>
  <si>
    <t>%                    9:5</t>
  </si>
  <si>
    <t>%                           10:6</t>
  </si>
  <si>
    <t>zadania inwestycyjnego</t>
  </si>
  <si>
    <t xml:space="preserve">własnych </t>
  </si>
  <si>
    <t xml:space="preserve">pożyczek </t>
  </si>
  <si>
    <t>środków</t>
  </si>
  <si>
    <t>budżetu miasta</t>
  </si>
  <si>
    <t>i innych środków</t>
  </si>
  <si>
    <t>budżetu państwa</t>
  </si>
  <si>
    <t>Ogółem wydatki majątkowe</t>
  </si>
  <si>
    <t>ul. Willowa</t>
  </si>
  <si>
    <t>przebudowa al. Spółdzielczości Pracy</t>
  </si>
  <si>
    <t>trasa zielona</t>
  </si>
  <si>
    <t>węzeł drogowy Poniatowskiego (wiadukt 
z połączeniem do ul. ks. Popiełuszki)</t>
  </si>
  <si>
    <t>przebudowa ul. Królewskiej wraz z placem Katedralnym</t>
  </si>
  <si>
    <t>połączenie ul. Głębokiej 
z ul. Spadochroniarzy</t>
  </si>
  <si>
    <t>obwodnica miejska od węzła 
al. Tysiąclecia - ul. Hutnicza 
do ul. Mełgiewskiej</t>
  </si>
  <si>
    <t>przedłużenie ul. Jana Pawła II 
do al. Kraśnickiej</t>
  </si>
  <si>
    <t>przedłużenie ul. Krańcowej do ul. Kunickiego wraz z mostem na rzecze Czerniejówce</t>
  </si>
  <si>
    <t>przebudowa ul. Poniatowskiego 
i ul. Sowińskiego (od ul. ks. Popiełuszki 
do ul. Filaretów)</t>
  </si>
  <si>
    <t xml:space="preserve">budowa i modernizacja zatok, chodników, parkingów i kładek dla pieszych </t>
  </si>
  <si>
    <t>przebudowa skrzyżowań wraz 
z sygnalizacjami świetlnymi</t>
  </si>
  <si>
    <t>dokumentacja techniczna</t>
  </si>
  <si>
    <t>przebudowa ulic: 3-go Maja 
i Radziwiłłowskiej wraz ze skrzyżowaniami</t>
  </si>
  <si>
    <t xml:space="preserve">ścieżki rowerowe </t>
  </si>
  <si>
    <t>budowa połączeń ulic i ciągów pieszych</t>
  </si>
  <si>
    <t>przebudowa ul. Budowlanej 
(od ul. Zemborzyckiej do ul. Smoluchowskiego)</t>
  </si>
  <si>
    <t>ul. Bursaki (połączenie z al. Smorawińskiego)</t>
  </si>
  <si>
    <t>Plac Rybny ze schodami do ul. Kowalskiej</t>
  </si>
  <si>
    <t>ul. Wyżynna</t>
  </si>
  <si>
    <t>ul. Olejna i Szambelańska</t>
  </si>
  <si>
    <t>zakupy inwestycyjne</t>
  </si>
  <si>
    <t>modernizacje budynków</t>
  </si>
  <si>
    <t>Towarzystwa budownictwa 
społecznego</t>
  </si>
  <si>
    <t>udział w Towarzystwie Budownictwa Społecznego "Nowy Dom" - budownictwo mieszkaniowe</t>
  </si>
  <si>
    <t>budownictwo mieszkaniowe komunalne 
i socjalne</t>
  </si>
  <si>
    <t>cmentarz komunalny (kontynuacja)</t>
  </si>
  <si>
    <t>udziały w "Lubelskim Parku Naukowo-Technologicznym" Sp. z o.o.</t>
  </si>
  <si>
    <t xml:space="preserve">modernizacje budynków </t>
  </si>
  <si>
    <t>dofinansowanie budowy komisariatu 
IV Policji</t>
  </si>
  <si>
    <t>zakup samochodu operacyjnego</t>
  </si>
  <si>
    <t>zakupy inwestycyjne dla Miejskiego Zespołu Reagowania Kryzysowego</t>
  </si>
  <si>
    <t>rozbudowa Szkoły Podstawowej nr 21 
- I etap</t>
  </si>
  <si>
    <t>Szkoła Podstawowa nr 39 przy 
ul. Krężnickiej</t>
  </si>
  <si>
    <t>Szkoła Podstawowa nr 51 w os. Widok</t>
  </si>
  <si>
    <t>Szkoła Podstawowa nr 52 w os. Felin</t>
  </si>
  <si>
    <t>termomodernizacje obiektów szkolnych</t>
  </si>
  <si>
    <t>budowa sali gimnastycznej w Szkole Podstawowej nr 48</t>
  </si>
  <si>
    <t xml:space="preserve">termomodernizacje obiektów </t>
  </si>
  <si>
    <t xml:space="preserve">modernizacje obiektów </t>
  </si>
  <si>
    <t>Gimnazjum nr 3</t>
  </si>
  <si>
    <t>budowa gimnazjum przy ul. Roztocze</t>
  </si>
  <si>
    <t>modernizacje szkół</t>
  </si>
  <si>
    <t>mur oporowy oddzielający boisko II LO 
im. Zamoyskiego od posesji Starostwa Powiatowego przy ul. Spokojnej</t>
  </si>
  <si>
    <t>Zespół Szkół nr 1</t>
  </si>
  <si>
    <t>Zespół Szkół nr 5</t>
  </si>
  <si>
    <t xml:space="preserve">modernizacje przychodni </t>
  </si>
  <si>
    <t>budowa boisk</t>
  </si>
  <si>
    <t>modernizacje obiektów</t>
  </si>
  <si>
    <t>doposażenie placówki wsparcia dziennego</t>
  </si>
  <si>
    <t>termomodernizacja obiektu</t>
  </si>
  <si>
    <t>modernizacja obiektu</t>
  </si>
  <si>
    <t>modernizacja i rozbudowa ośrodka dla osób niepełnosprawnych nad Zalewem Zemborzyckim</t>
  </si>
  <si>
    <t>budowa Lubelskiego Ośrodka Wychodzenia 
z Bezdomności</t>
  </si>
  <si>
    <t xml:space="preserve">zakupy inwestycje </t>
  </si>
  <si>
    <t>Jednostki specjalistycznego poradnictwa, mieszkania chronione i ośrodki interwencji</t>
  </si>
  <si>
    <t>zakup mieszkania</t>
  </si>
  <si>
    <t>zakupy inwestycyjne w ramach programu "Promocja wzrostu zatrudnienia wśród młodzieży"</t>
  </si>
  <si>
    <t>sieć wodociągowa w ul. Mełgiewskiej</t>
  </si>
  <si>
    <t>sieć wodociągowa w ul. Prusa</t>
  </si>
  <si>
    <t>odprowadzenie wód deszczowych 
z osiedli: Szerokie, Lipniak, Węglin Południowy i Północny, Sławin</t>
  </si>
  <si>
    <t>sieć kanalizacji sanitarnej i deszczowej 
od ul. Dominikańskiej do ul. Podwale</t>
  </si>
  <si>
    <t>zabezpieczenie przeciwpowodziowe 
w cofce Zbiornika Zemborzyckiego</t>
  </si>
  <si>
    <t>odsetki od zaciągniętych pożyczek</t>
  </si>
  <si>
    <t>odprowadzenie wód deszczowych 
z os. Rudnik i Bursaki</t>
  </si>
  <si>
    <t>kanalizacja sanitarna dla os. Rudnik i Bursaki</t>
  </si>
  <si>
    <t>budowa kanalizacji sanitarnej w os. Widok II</t>
  </si>
  <si>
    <t xml:space="preserve">składowisko odpadów w Rokitnie zad. 1 </t>
  </si>
  <si>
    <t>budowa zakładu utylizacji odpadów komunalnych dla Lublina i gmin ościennych</t>
  </si>
  <si>
    <t>oświetlenie ulic</t>
  </si>
  <si>
    <t>wykup gruntów</t>
  </si>
  <si>
    <t>inwestycje realizowane przy udziale mieszkańców</t>
  </si>
  <si>
    <t>infrastruktura techniczna dla inwestorów budownictwa wielorodzinnego</t>
  </si>
  <si>
    <t>urządzanie placów zabaw</t>
  </si>
  <si>
    <t>dokumentacja przyszłościowa</t>
  </si>
  <si>
    <t>zakupy inwestycyjne w ramach projektu "Blisko, coraz bliżej - Euroregionalny Ośrodek Informacji i Współpracy Kulturalnej 
w Lublinie"</t>
  </si>
  <si>
    <t>adaptacja klasztoru powizytkowskiego na wielofunkcyjne Centrum Kultury</t>
  </si>
  <si>
    <t>informatyzacja Miejskiej Biblioteki Publicznej 
i utworzenie PIAP-ów w filiach MBP (I i II etap)</t>
  </si>
  <si>
    <t xml:space="preserve">trasa turystyczna </t>
  </si>
  <si>
    <t>iluminacja bazyliki oo. Dominikanów</t>
  </si>
  <si>
    <t>iluminacja Archikatedry Lubelskiej</t>
  </si>
  <si>
    <t>boiska osiedlowe</t>
  </si>
  <si>
    <t>modernizacja stadionu 
przy Al. Zygmuntowskich 5</t>
  </si>
  <si>
    <t>modernizacja hali sportowej 
przy Al. Zygmuntowskich 4</t>
  </si>
  <si>
    <t>budowa wielofunkcyjnej hali sportowo-widowiskowej i lodowiska treningowego 
przy ul. Kazimierza Wielkiego</t>
  </si>
  <si>
    <t>Zadania w zakresie kultury fizycznej 
i sportu</t>
  </si>
  <si>
    <t>budowa Parków Sportowych - skateparków</t>
  </si>
  <si>
    <t>Świadczenia rodzinne oraz składki 
na ubezpieczenia emerytalne i rentowe 
z ubezpieczenia społecznego</t>
  </si>
  <si>
    <t>Wydatki na zadania z zakresu administracji rządowej wykonywane przez powiat</t>
  </si>
  <si>
    <t>dotacja na inwestycje w Środowiskowym Domu Samopomocy dla osób z Chorobą Alzheimera</t>
  </si>
  <si>
    <t>Załącznik nr 5</t>
  </si>
  <si>
    <t>Remonty</t>
  </si>
  <si>
    <t xml:space="preserve">Nazwa: działu, rozdziału, zadania </t>
  </si>
  <si>
    <t>Plan na 2004 rok 
wg uchwały budżetowej</t>
  </si>
  <si>
    <t>Plan na 2004 rok              po zmianach</t>
  </si>
  <si>
    <t>Wykonanie na          31 grudnia             2004 roku</t>
  </si>
  <si>
    <t>% 
6:5</t>
  </si>
  <si>
    <t>Ogółem remonty</t>
  </si>
  <si>
    <t>Zadania własne</t>
  </si>
  <si>
    <t xml:space="preserve">specjalistyczne prace konserwatorskie w budynkach w obrębie Starego Miasta </t>
  </si>
  <si>
    <t>remont filii Nr 21 Miejskiej Biblioteki Publicznej</t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</si>
  <si>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</si>
  <si>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</si>
  <si>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</si>
  <si>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</si>
  <si>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>remonty zasobów komunalnych</t>
  </si>
  <si>
    <t>remonty lokali jednostek pomocniczych miasta</t>
  </si>
  <si>
    <t>remonty obiektów użytkowanych przez Urząd Miasta</t>
  </si>
  <si>
    <t>remont pomieszczeń</t>
  </si>
  <si>
    <t>remonty szkół</t>
  </si>
  <si>
    <t>remonty obiektów</t>
  </si>
  <si>
    <t>remont szkoły</t>
  </si>
  <si>
    <t>Centra kształcenia ustawicznego i praktycznego oraz 
ośrodki dokształcania zawodowego</t>
  </si>
  <si>
    <t>remonty placówek opiekuńczo-wychowawczych</t>
  </si>
  <si>
    <t>remonty domów pomocy społecznej</t>
  </si>
  <si>
    <t>remonty obiektów Miejskiego Ośrodka Pomocy Rodzinie</t>
  </si>
  <si>
    <t>Jednostki specjalistycznego poradnictwa, mieszkania 
chronione i ośrodki interwencji kryzysowej</t>
  </si>
  <si>
    <t xml:space="preserve">   </t>
  </si>
  <si>
    <t>remonty obiektów żłobków</t>
  </si>
  <si>
    <t xml:space="preserve">remonty obiektów </t>
  </si>
  <si>
    <t>remont obiektu</t>
  </si>
  <si>
    <t>remonty pomieszczeń stołówek szkolnych</t>
  </si>
  <si>
    <t>remont obiektów Dzielnicowego Domu Kultury "Bronowice"</t>
  </si>
  <si>
    <t>remont filii Miejskiej Biblioteki Publicznej im. H. Łopacińskiego</t>
  </si>
  <si>
    <t>remont Archikatedry Lubelskiej (dofinansowanie)</t>
  </si>
  <si>
    <t>kamienica Grodzka 20</t>
  </si>
  <si>
    <t>Przedszkola</t>
  </si>
  <si>
    <t>opłaty za pobyt w schroniskach dla bezdomnych</t>
  </si>
  <si>
    <t>udział w dochodach z budżetu państwa z tytułu zwrotów nienależnie pobranych zasilków</t>
  </si>
  <si>
    <t>odsetki bankowe od dotacji z Europejskiego Funduszu Społecznego</t>
  </si>
  <si>
    <t>zaległe wpłaty za pobyt w Izbie Wytrzeźwień</t>
  </si>
  <si>
    <t>wpłaty zwaloryzowanych odszkodowań przez byłych właścicieli w związku 
z przywróceniem prawa własności</t>
  </si>
  <si>
    <t>Dochody od osób prawnych, od osób fizycznych i od innych jednostek nieposiadających osobowości prawnej oraz wydatki związane z ich poborem</t>
  </si>
  <si>
    <t>opłata za licencję na wykonywanie transportu drogowego taksówką</t>
  </si>
  <si>
    <t>udział w dochodach budżetu państwa z tytułu opłat za usługi opiekuńcze</t>
  </si>
  <si>
    <t>Zadania w zakresie upowszechniania turystyki</t>
  </si>
  <si>
    <t>Lecznictwo ambulatoryjne</t>
  </si>
  <si>
    <t>Wybory do Parlamentu Europejskiego</t>
  </si>
  <si>
    <t>dotacja celowa z budżetu państwa na organizację wyborów do Parlamentu Europejskiego</t>
  </si>
  <si>
    <t>dotacja celowa z budżetu państwa na realizację projektu "Podajmy sobie ręce"</t>
  </si>
  <si>
    <t>środki z rezerwy subwencji ogólnej na uzupełnienie dochodów powiatów</t>
  </si>
  <si>
    <t>dotacja celowa z budżetu państwa na dofinansowanie realizacji zadania "przebudowa al. Spółdzielczości Pracy"</t>
  </si>
  <si>
    <t>Świadczenia rodzinne oraz składki na ubezpieczenia emerytalne i rentowe z ubezpieczenia społecznego</t>
  </si>
  <si>
    <t>dotacja celowa z budżetu państwa na wydatki związane z wypłatą świadczeń rodzinnych</t>
  </si>
  <si>
    <t>dotacja celowa z budżetu państwa na usługi opiekuńcze</t>
  </si>
  <si>
    <t xml:space="preserve">PRZEWODNICZĄCY RADY MIASTA </t>
  </si>
  <si>
    <t>Zbigniew Targoński</t>
  </si>
  <si>
    <t>Komendy powiatowe Policji</t>
  </si>
  <si>
    <t>środki z rezerwy subwencji ogólnej na uzupełnienie dochodów gmin</t>
  </si>
  <si>
    <t>Przeciwdziałanie alkoholizmowi</t>
  </si>
  <si>
    <t>dotacja celowa z budżetu państwa na budowę kanalizacji sanitarnej 
w os. Widok II</t>
  </si>
  <si>
    <t>dotacja celowa z budżetu państwa na organizację cyklu wypraw ekologiczno-badawczych dla dzieci i młodzieży w ramach projektu "W cztery strony świata dookoła Lublina"</t>
  </si>
  <si>
    <t>środki z Ministerstwa Edukacji Narodowej i Sportu na modernizację stadionu 
przy Al. Zygmuntowskich 5</t>
  </si>
  <si>
    <t>środki z Ministerstwa Edukacji Narodowej i Sportu na modernizację hali sportowej przy Al. Zygmuntowskich 4</t>
  </si>
  <si>
    <t>wpływy z tytułu umieszczenia dziecka z innej gminy w przedszkolu na terenie gminy Lublin</t>
  </si>
  <si>
    <t>Licea profilowane specjalne</t>
  </si>
  <si>
    <t>Poradnie psychologiczno-pedagogiczne, 
w tym poradnie specjalistyczne</t>
  </si>
  <si>
    <t>Młodzieżowe ośrodki socjoterapii</t>
  </si>
  <si>
    <t>Uzupełnienie subwencji ogólnej dla jednostek samorządu terytorialnego</t>
  </si>
  <si>
    <t>subwencja ogólna (przeznaczona na inwestycje drogowe)</t>
  </si>
  <si>
    <t>80195</t>
  </si>
  <si>
    <t>dotacja celowa z budżetu państwa na organizację II Międzynarodowego Festiwalu Teatralnego Tradycji Bożonarodzeniowej "Betlejem Lubelskie"</t>
  </si>
  <si>
    <t>Oświata i wychowanie</t>
  </si>
  <si>
    <t>Szkoły podstawowe</t>
  </si>
  <si>
    <t>Gimnazja</t>
  </si>
  <si>
    <t>Ochrona zdrowia</t>
  </si>
  <si>
    <t>Żłobki</t>
  </si>
  <si>
    <t>Domy pomocy społecznej</t>
  </si>
  <si>
    <t>opłaty podopiecznych za świadczone usługi</t>
  </si>
  <si>
    <t>opłata eksploatacyjna za wydobywanie kopalin ze złóż</t>
  </si>
  <si>
    <t>Udziały gmin w podatkach stanowiących dochód budżetu państwa</t>
  </si>
  <si>
    <t>opłaty za używanie nazwy i herbu miasta Lublina</t>
  </si>
  <si>
    <t>wpływy z mandatów nakładanych przez Straż Miejską</t>
  </si>
  <si>
    <t>Różne rozliczenia</t>
  </si>
  <si>
    <t>Licea ogólnokształcące</t>
  </si>
  <si>
    <t>Szkoły zawodowe</t>
  </si>
  <si>
    <t>wpływy z odpłatnego korzystania z mienia (najem)</t>
  </si>
  <si>
    <t>Szkoły zawodowe specjalne</t>
  </si>
  <si>
    <t>Szkoły artystyczne</t>
  </si>
  <si>
    <t>Placówki wychowania pozaszkolnego</t>
  </si>
  <si>
    <t>opłaty pensjonariuszy za pobyt w domach pomocy społecznej</t>
  </si>
  <si>
    <t>Szkolne schroniska młodzieżowe</t>
  </si>
  <si>
    <t>opłaty za noclegi w schronisku</t>
  </si>
  <si>
    <t>Udziały powiatów w podatkach stanowiących dochód budżetu państwa</t>
  </si>
  <si>
    <t>I Dochody gminy ogółem, z tego:</t>
  </si>
  <si>
    <t xml:space="preserve">Dochody własne </t>
  </si>
  <si>
    <t>Dochody własne</t>
  </si>
  <si>
    <t>II. Dochody powiatu ogółem, z tego:</t>
  </si>
  <si>
    <t>Subwencje i dotacja rekompensująca</t>
  </si>
  <si>
    <t>wpłaty z zysku - Lubelskie Przedsiębiorstwo Energetyki Cieplnej Sp. z o.o.</t>
  </si>
  <si>
    <t>wpłaty z zysku - Miejskie Przedsiębiorstwo Wodociągów i Kanalizacji Sp. z o.o.</t>
  </si>
  <si>
    <t>wpłata nadwyżki środków środka specjalnego "Egzekucja administracyjna"</t>
  </si>
  <si>
    <t xml:space="preserve"> </t>
  </si>
  <si>
    <t>Dodatki mieszkaniowe</t>
  </si>
  <si>
    <t>Różne rozliczenia finansowe</t>
  </si>
  <si>
    <t>odsetki za nieterminowe regulowanie należności</t>
  </si>
  <si>
    <t>Rolnictwo i łowiectwo</t>
  </si>
  <si>
    <t>010</t>
  </si>
  <si>
    <t>01095</t>
  </si>
  <si>
    <t>Gospodarka komunalna i ochrona środowiska</t>
  </si>
  <si>
    <t>Schroniska dla zwierząt</t>
  </si>
  <si>
    <t>Oświetlenie ulic, placów i dróg</t>
  </si>
  <si>
    <t>Gospodarka mieszkaniowa</t>
  </si>
  <si>
    <t>Usługi opiekuńcze i specjalistyczne usługi opiekuńcze</t>
  </si>
  <si>
    <t>Wpływy z podatku dochodowego od osób fizycznych</t>
  </si>
  <si>
    <t>Licea profilowane</t>
  </si>
  <si>
    <t>Administracja publiczna</t>
  </si>
  <si>
    <t>Placówki opiekuńczo-wychowawcze</t>
  </si>
  <si>
    <t>Działalność usługowa</t>
  </si>
  <si>
    <t>Bezpieczeństwo publiczne i ochrona przeciwpożarowa</t>
  </si>
  <si>
    <t>Wpływy z różnych rozliczeń</t>
  </si>
  <si>
    <t>Edukacyjna opieka wychowawcza</t>
  </si>
  <si>
    <t>Świetlice szkolne</t>
  </si>
  <si>
    <t>Przedszkola specjalne</t>
  </si>
  <si>
    <t>Ośrodki adopcyjno-opiekuńcze</t>
  </si>
  <si>
    <t>Szkoły podstawowe specjalne</t>
  </si>
  <si>
    <t>Gimnazja specjalne</t>
  </si>
  <si>
    <t>Licea ogólnokształcące specjalne</t>
  </si>
  <si>
    <t>Centra kształcenia ustawicznego i praktycznego oraz ośrodki dokształcania zawodowego</t>
  </si>
  <si>
    <t>Specjalne ośrodki szkolno-wychowawcze</t>
  </si>
  <si>
    <t>Internaty i bursy szkolne</t>
  </si>
  <si>
    <t xml:space="preserve">Gospodarka mieszkaniowa </t>
  </si>
  <si>
    <t>Oczyszczanie miast i wsi</t>
  </si>
  <si>
    <t>Część oświatowa subwencji ogólnej dla jednostek samorządu terytorialnego</t>
  </si>
  <si>
    <t>Część rekompensująca subwencji ogólnej dla gmin</t>
  </si>
  <si>
    <t>Dotacje celowe i inne środki na zadania własne</t>
  </si>
  <si>
    <t>Kultura fizyczna i sport</t>
  </si>
  <si>
    <t>Obiekty sportowe</t>
  </si>
  <si>
    <t>Urzędy wojewódzkie</t>
  </si>
  <si>
    <t xml:space="preserve">Ośrodki wsparcia </t>
  </si>
  <si>
    <t>Zasiłki rodzinne, pielęgnacyjne i wychowawcze</t>
  </si>
  <si>
    <t>Ośrodki pomocy społecznej</t>
  </si>
  <si>
    <t>dotacja celowa z budżetu państwa na utrzymanie Miejskiego Ośrodka Pomocy Rodzinie</t>
  </si>
  <si>
    <t xml:space="preserve">Usługi opiekuńcze i specjalistyczne usługi opiekuńcze </t>
  </si>
  <si>
    <t xml:space="preserve">Subwencje </t>
  </si>
  <si>
    <t>dotacja celowa z budżetu państwa na utrzymanie placówek opiekuńczo-wychowawczych</t>
  </si>
  <si>
    <t>dotacja celowa z budżetu państwa na utrzymanie domów pomocy społecznej</t>
  </si>
  <si>
    <t>Rodziny zastępcze</t>
  </si>
  <si>
    <t>Powiatowe urzędy pracy</t>
  </si>
  <si>
    <t>Pomoc materialna dla uczniów</t>
  </si>
  <si>
    <t>Gospodarka gruntami i nieruchomościami</t>
  </si>
  <si>
    <t>Prace geodezyjne i kartograficzne (nieinwestycyjne)</t>
  </si>
  <si>
    <t xml:space="preserve">dotacja celowa z budżetu państwa na modernizację ewidencji gruntów </t>
  </si>
  <si>
    <t>Nadzór budowlany</t>
  </si>
  <si>
    <t>dotacja celowa z budżetu państwa na utrzymanie Powiatowego Inspektoratu Nadzoru Budowlanego</t>
  </si>
  <si>
    <t>Komisje poborowe</t>
  </si>
  <si>
    <t>dotacja celowa z budżetu państwa na przeprowadzenie poboru do wojska</t>
  </si>
  <si>
    <t>Komendy powiatowe Państwowej Straży Pożarnej</t>
  </si>
  <si>
    <t>Ośrodki wsparcia</t>
  </si>
  <si>
    <t>dotacja celowa z budżetu państwa na zasiłki dla pracowników Straży Pożarnej</t>
  </si>
  <si>
    <t>Pomoc dla uchodźców</t>
  </si>
  <si>
    <t xml:space="preserve">wpłaty społecznych komitetów i innych podmiotów na inwestycje </t>
  </si>
  <si>
    <t>dotacja celowa z budżetu państwa na pomoc dla cudzoziemców posiadających status uchodźców</t>
  </si>
  <si>
    <t>odsetki od środków na rachunkach bankowych</t>
  </si>
  <si>
    <t>opłaty za usługi świadczone podopiecznym</t>
  </si>
  <si>
    <t xml:space="preserve">pozostałe dochody </t>
  </si>
  <si>
    <t>Obrona cywilna</t>
  </si>
  <si>
    <t>Cmentarze</t>
  </si>
  <si>
    <t>Straż Miejska</t>
  </si>
  <si>
    <t xml:space="preserve">odsetki bankowe od środków dotacji przekazanej z budżetu miasta </t>
  </si>
  <si>
    <t>wpłaty z tytułu przekształcenia prawa użytkowania wieczystego w prawo własności</t>
  </si>
  <si>
    <t>Turystyka</t>
  </si>
  <si>
    <t>subwencja oświatowa</t>
  </si>
  <si>
    <t>Zakłady gospodarki mieszkaniowej</t>
  </si>
  <si>
    <t>Urzędy miast i miast na prawach powiatu</t>
  </si>
  <si>
    <t>w złotych</t>
  </si>
  <si>
    <t>Wpłaty z zysku przedsiębiorstw i jednoosobowych spółek</t>
  </si>
  <si>
    <t>Dochody budżetu miasta ogółem</t>
  </si>
  <si>
    <t>darowizna pieniężna na utrzymanie cmentarza przy ul. Walecznych</t>
  </si>
  <si>
    <t>Załącznik nr 1</t>
  </si>
  <si>
    <t>Plan na 2004 rok wg uchwały budżetowej</t>
  </si>
  <si>
    <t xml:space="preserve">Plan na 2004 rok po zmianach </t>
  </si>
  <si>
    <t>odsetki bankowe od środków dotacji przekazanej z budżetu miasta</t>
  </si>
  <si>
    <t>0920</t>
  </si>
  <si>
    <t>0690</t>
  </si>
  <si>
    <t>0960</t>
  </si>
  <si>
    <t>0970</t>
  </si>
  <si>
    <t>sprzedaż składników majątkowych</t>
  </si>
  <si>
    <t>Pomoc społeczna</t>
  </si>
  <si>
    <t>Pozostałe zadania w zakresie polityki społecznej</t>
  </si>
  <si>
    <t>Dotacje celowe z budżetu państwa na zadania zlecone z zakresu administracji rządowej</t>
  </si>
  <si>
    <t xml:space="preserve">Dochody </t>
  </si>
  <si>
    <t>%                            6:5</t>
  </si>
  <si>
    <t>subwencja ogólna (rekompensująca dochody utracone z tytułu ulg i zwolnień ustawowych)</t>
  </si>
  <si>
    <t>Wpływy z innych opłat stanowiących dochody jednostek samorządu 
terytorialnego na podstawie ustaw</t>
  </si>
  <si>
    <t>Wpływy do wyjaśnienia</t>
  </si>
  <si>
    <t>wpływy do wyjaśnienia</t>
  </si>
  <si>
    <t>dotacja celowa z budżetu państwa na sfinansowanie prac komisji kwalifikacyjnych 
i egzaminacyjnych</t>
  </si>
  <si>
    <t>Gospodarstwa pomocnicze</t>
  </si>
  <si>
    <t>dotacja celowa z budżetu państwa na realizację zadań z zakresu utrzymania 
grobów i cmentarzy wojennych</t>
  </si>
  <si>
    <t>Dochody od osób prawnych, od osób fizycznych i od innych jednostek 
nieposiadających osobowości prawnej oraz wydatki związane z ich poborem</t>
  </si>
  <si>
    <t>Wpływy z podatku rolnego, podatku leśnego, podatku od czynności cywilnoprawnych, podatku od spadków i darowizn oraz podatków i opłat lokalnych</t>
  </si>
  <si>
    <t>opłata za korzystanie z zezwoleń na sprzedaż napojów alkoholowych</t>
  </si>
  <si>
    <t>opłata za wydanie zezwolenia na wykonywanie przewozu osób w krajowym transporcie drogowym</t>
  </si>
  <si>
    <t>wpłata Pergranso Sp. z o.o. z tytułu realizacji zobowiązań wynikających z umowy</t>
  </si>
  <si>
    <t xml:space="preserve">opłaty za pobyt w przedszkolach                                            </t>
  </si>
  <si>
    <t>dofinansowanie ze środków PFRON z tytułu zatrudniania osób niepełnosprawnych</t>
  </si>
  <si>
    <t>udział w dochodach budżetu państwa z tytułu opłat za pobyt w środowiskowych domach samopomocy</t>
  </si>
  <si>
    <t>środki z PHARE na współfinansowanie projektu Trasa: "Euro-Trójkąt Przyjaźni Lublin - Łuck - Brześć"</t>
  </si>
  <si>
    <t>udział w dochodach budżetu państwa z tytułu pobranych opłat za wydanie dowodów osobistych, udostępnianie danych ze zbiorów meldunkowych, zbioru PESEL i innych</t>
  </si>
  <si>
    <t>środki z PHARE na współfinansowanie projektu "Turystyczne Centrum Obsługi Ruchu Transgranicznego w Lublinie</t>
  </si>
  <si>
    <t>dotacja celowa z budżetu państwa na sfinansowanie wyprawki  szkolnej</t>
  </si>
  <si>
    <t>środki z programu Wspólnoty Europejskiej Socrates-Comenius na realizację projektów oświatowych</t>
  </si>
  <si>
    <t>dotacja celowa z budżetu państwa na utrzymanie Komendy Miejskiej Państwowej Straży Pożarnej</t>
  </si>
  <si>
    <t>dotacja celowa na inwestycje dla Środowiskowego Domu Samopomocy 
przy ul. Gospodarczej</t>
  </si>
  <si>
    <t>opłaty z tytułu wydawania tablic rejestracyjnych, praw jazdy, czasowych pozwoleń 
i innych</t>
  </si>
  <si>
    <t>dotacja celowa z budżetu państwa na modernizację Domu Pomocy Społecznej "Betania" 
w ramach podnoszenia standardów instrumentów  pomocy społecznej</t>
  </si>
  <si>
    <t>dotacja z EkoFunduszu na termomodernizację obiektów szkolnych</t>
  </si>
  <si>
    <t>Przecieciwdziałanie alkoholizmowi</t>
  </si>
  <si>
    <t>dotacja celowa z budżetu państwa na modernizację i rozbudowę ośrodka dla osób niepełnosprawnych nad Zalewem Zemborzyckim oraz budowę Lubelskiego Ośrodka Wychodzenia z Bezdomności</t>
  </si>
  <si>
    <t>dotacja celowa z budżetu państwa na zasiłki i pomoc w naturze oraz na składki na ubezpieczenia społeczne</t>
  </si>
  <si>
    <t>Gospodarka ściekowa i ochrona wód</t>
  </si>
  <si>
    <t>Ochrona różnorodności biologicznej i krajobrazu</t>
  </si>
  <si>
    <t>Pozostałe zadania w zakresie kultury</t>
  </si>
  <si>
    <t>środki z PHARE na współfinansowanie projektu "Blisko, coraz bliżej - Euroregionalny Ośrodek Informacji i Współpracy Kulturalnej w Lublinie"</t>
  </si>
  <si>
    <t>dotacja celowa z budżetu państwa na realizację bieżących zadań z zakresu administracji rządowej</t>
  </si>
  <si>
    <t>dotacja celowa z budżetu państwa na sfinansowanie kosztów prowadzenia 
i aktualizacji rejestru wyborców</t>
  </si>
  <si>
    <t>dotacja celowa z budżetu państwa na prowadzenie środowiskowych domów samopomocy</t>
  </si>
  <si>
    <t>dotacja celowa z budżetu państwa na zakupy inwestycyjne dla stanowisk pracy obsługujących wypłatę świadczeń rodzinnych</t>
  </si>
  <si>
    <t>Składki na ubezpieczenie zdrowotne opłacane za osoby pobierające niektóre świadczenia z pomocy społecznej oraz niektóre świadczenia rodzinne</t>
  </si>
  <si>
    <t>dotacja celowa z budżetu państwa na zakupy inwestycyjne dla Miejskiego Ośrodka Pomocy Rodzinie</t>
  </si>
  <si>
    <t>opłaty za wydanie lub wymianę karty wędkarskiej</t>
  </si>
  <si>
    <t>udział w dochodach budżetu państwa z tytułu wpływów za czynności kontrolno-rozpoznawcze i innych dochodów</t>
  </si>
  <si>
    <t>podatek dochodowy od osób prawnych</t>
  </si>
  <si>
    <t>opłaty za pobyt w placówkach opiekuńczo-wychowawczych</t>
  </si>
  <si>
    <t>opłaty za pobyt w ośrodkach szkolno-wychowawczych</t>
  </si>
  <si>
    <t>opłaty za pobyt w internatach i bursach</t>
  </si>
  <si>
    <t>Kultura i ochrona dziedzictwa narodowego</t>
  </si>
  <si>
    <t>92106</t>
  </si>
  <si>
    <t>Teatry dramatyczne i lalkowe</t>
  </si>
  <si>
    <t>wpłata części zysku gospodarstw pomocniczych</t>
  </si>
  <si>
    <t>Składki na ubezpieczenie zdrowotne oraz świadczenia dla osób nieobjętych obowiązkiem ubezpieczenia zdrowotnego</t>
  </si>
  <si>
    <t xml:space="preserve">dotacja celowa z budżetu państwa na składki na ubezpieczenie zdrowotne 
za dzieci i uczniów niepozostających na utrzymaniu osoby ubezpieczonej </t>
  </si>
  <si>
    <t>Zespoły do spraw orzekania o niepełnosprawności</t>
  </si>
  <si>
    <t>Poradnie psychologiczno-pedagogiczne, w tym poradnie specjalistyczne</t>
  </si>
  <si>
    <t>Państwowy Fundusz Rehabilitacji Osób Niepełnosprawnych</t>
  </si>
  <si>
    <t>wpływy z tytułu odpłatnego korzystania z mienia (dzierżawa, najem)</t>
  </si>
  <si>
    <t>Transport i łączność</t>
  </si>
  <si>
    <t>Drogi publiczne w miastach na prawach powiatu</t>
  </si>
  <si>
    <t>Drogi publiczne gminne</t>
  </si>
  <si>
    <t xml:space="preserve">dotacja celowa z budżetu państwa na składki na ubezpieczenie zdrowotne 
opłacane za osoby pobierające świadczenia z pomocy społecznej   </t>
  </si>
  <si>
    <t>dotacja rekompensująca dochody utracone z tytułu zwolnień ustawowych</t>
  </si>
  <si>
    <t>Ratownictwo medyczne</t>
  </si>
  <si>
    <t>dotacja celowa z budżetu państwa na dofinansowanie funkcjonowania Centrum Powiadamiania Ratunkowego</t>
  </si>
  <si>
    <t>Rozdz.</t>
  </si>
  <si>
    <t>§</t>
  </si>
  <si>
    <t>bezzwrotna pomoc dla właścicieli budynków zabytkowych</t>
  </si>
  <si>
    <t>remont basenów odkrytych przy Al. Zygmuntowskich 4</t>
  </si>
  <si>
    <t>Zadania ustawowo zlecone gminie</t>
  </si>
  <si>
    <t>Zadania z zakresu administracji rządowej wykonywane przez powiat</t>
  </si>
  <si>
    <t>remont lokalu</t>
  </si>
  <si>
    <r>
      <t xml:space="preserve">Zadania zlecone, </t>
    </r>
    <r>
      <rPr>
        <i/>
        <sz val="10"/>
        <rFont val="Arial CE"/>
        <family val="2"/>
      </rPr>
      <t>z tego:</t>
    </r>
  </si>
  <si>
    <t>Załącznik nr 6</t>
  </si>
  <si>
    <t>Zakłady budżetowe, gospodarstwa pomocnicze i środki specjalne</t>
  </si>
  <si>
    <t>w  złotych</t>
  </si>
  <si>
    <t>Przychody</t>
  </si>
  <si>
    <t>Wydatki</t>
  </si>
  <si>
    <t>Dz.</t>
  </si>
  <si>
    <t>Plan                        na 2004 rok</t>
  </si>
  <si>
    <t>Plan                             na 2004 rok</t>
  </si>
  <si>
    <t>Wykonanie na 31 grudnia 2004 roku</t>
  </si>
  <si>
    <t>%</t>
  </si>
  <si>
    <t>Wykonanie na 31 grudnia 
2004 roku</t>
  </si>
  <si>
    <t>wg uchwały budżetowej</t>
  </si>
  <si>
    <t>po zmianach</t>
  </si>
  <si>
    <t>w tym:      dotacja</t>
  </si>
  <si>
    <t>6:5</t>
  </si>
  <si>
    <t>w tym: limit wynagrodzeń</t>
  </si>
  <si>
    <t>11:10</t>
  </si>
  <si>
    <t xml:space="preserve">Ogółem "gospodarka pozabudżetowa"  </t>
  </si>
  <si>
    <t xml:space="preserve">Zadania własne </t>
  </si>
  <si>
    <t xml:space="preserve">Razem zakłady budżetowe </t>
  </si>
  <si>
    <t>Lubelski Ośrodek Informacji Turystycznej</t>
  </si>
  <si>
    <t>dotacja przedmiotowa</t>
  </si>
  <si>
    <t>dotacja celowa na inwestycje</t>
  </si>
  <si>
    <t>Zarząd Nieruchomości Komunalnych</t>
  </si>
  <si>
    <t>MOSiR "Bystrzyca"</t>
  </si>
  <si>
    <t>Razem gospodarstwa pomocnicze</t>
  </si>
  <si>
    <t>80197</t>
  </si>
  <si>
    <t>Zespół Szkół Samochodowych nr 2                                    Warsztaty Szkolne</t>
  </si>
  <si>
    <t>Zespół Szkół Samochodowych 
im. St. Syroczyńskiego 
Warsztaty Szkolne</t>
  </si>
  <si>
    <t>Zespół Szkół  Mechanicznych                                Warsztaty Szkolne</t>
  </si>
  <si>
    <t>Lubelskie Centrum Edukacji Zawodowej                                      Warsztaty Międzyszkolne</t>
  </si>
  <si>
    <t>Zespół Szkół nr 3 
Warsztaty Szkolne</t>
  </si>
  <si>
    <t>Zespół Szkół nr 5 
Warsztaty Szkolne</t>
  </si>
  <si>
    <t>Państwowe Szkoły Budownictwa 
i Geodezji, Warsztaty Szkolne</t>
  </si>
  <si>
    <t>85497</t>
  </si>
  <si>
    <t>Specjalny Ośrodek Szkolno - Wychowawczy nr 1, Warsztaty Szkolne</t>
  </si>
  <si>
    <t>Razem środki specjalne</t>
  </si>
  <si>
    <t>Centra kształcenia ustawicznego 
i praktycznego oraz ośrodki dokształcania zawodowego</t>
  </si>
  <si>
    <t>Zadania zlecone</t>
  </si>
  <si>
    <t>85203</t>
  </si>
  <si>
    <t>754</t>
  </si>
  <si>
    <t>Załącznik nr 7</t>
  </si>
  <si>
    <t>Załącznik Nr 6</t>
  </si>
  <si>
    <t>do uchwały Nr</t>
  </si>
  <si>
    <t>Rady Miejskiej w Lublinie</t>
  </si>
  <si>
    <t>Instytucje kultury</t>
  </si>
  <si>
    <t xml:space="preserve">z dnia </t>
  </si>
  <si>
    <t>Nazwa instytucji</t>
  </si>
  <si>
    <t>Stan środków na początek roku</t>
  </si>
  <si>
    <t>Przychody własne</t>
  </si>
  <si>
    <t xml:space="preserve">Dotacja z budżetu 
na 2004 rok 
wg uchwały budżetowej                      </t>
  </si>
  <si>
    <t>Dotacja z budżetu
 na 2004 rok
 po zmianach</t>
  </si>
  <si>
    <t>Wykonanie
 na 31 grudnia 
2004 roku</t>
  </si>
  <si>
    <t>Teatr im. H. Ch. Andersena</t>
  </si>
  <si>
    <t>Dzielnicowy Dom Kultury "Bronowice"</t>
  </si>
  <si>
    <t>Zespół Pieśni i Tańca "Lublin" im. W. Kaniorowej</t>
  </si>
  <si>
    <t>Ośrodek "Brama Grodzka - Teatr NN"</t>
  </si>
  <si>
    <t>Biuro Wystaw Artystycznych</t>
  </si>
  <si>
    <t>Centrum Kultury</t>
  </si>
  <si>
    <t xml:space="preserve">Miejska Biblioteka Publiczna </t>
  </si>
  <si>
    <t>Zadania realizowane na podstawie porozumień 
i umów</t>
  </si>
  <si>
    <r>
      <t>Ogółem instytucje kultury</t>
    </r>
    <r>
      <rPr>
        <sz val="10"/>
        <rFont val="Arial CE"/>
        <family val="2"/>
      </rPr>
      <t>, z tego:</t>
    </r>
  </si>
  <si>
    <t xml:space="preserve">                           Załącznik nr 8</t>
  </si>
  <si>
    <t xml:space="preserve">Wykaz zadań miasta realizowanych przez podmioty niezaliczone do sektora </t>
  </si>
  <si>
    <t xml:space="preserve">                           do uchwały nr 673/XXX/2005</t>
  </si>
  <si>
    <t>finansów publicznych i niedziałające w celu osiągnięcia zysku</t>
  </si>
  <si>
    <t xml:space="preserve">                           Rady Miasta Lublin</t>
  </si>
  <si>
    <t xml:space="preserve">                           z dnia 28 kwietnia 2005 r.</t>
  </si>
  <si>
    <t xml:space="preserve">                                                    w złotych</t>
  </si>
  <si>
    <t>Nazwa działu, rozdziału, zadania</t>
  </si>
  <si>
    <t>Dotacja 
z budżetu 
na 2004 rok 
wg uchwały budżetowej</t>
  </si>
  <si>
    <t xml:space="preserve">Dotacja
z budżetu 
na 2004 rok 
po zmianach </t>
  </si>
  <si>
    <t>Wykonanie 
na 31 grudnia 2004 roku</t>
  </si>
  <si>
    <t>Przeznaczenie dotacji (cel publiczny)</t>
  </si>
  <si>
    <t>upowszechnianie turystyki wśród dzieci i młodzieży</t>
  </si>
  <si>
    <t>utrzymanie uczniów w niepublicznych szkołach podstawowych prowadzonych przez osoby prawne 
i fizyczne</t>
  </si>
  <si>
    <t>dotacje dla przedszkoli publicznych 
i niepublicznych</t>
  </si>
  <si>
    <t>utrzymanie dzieci w publicznych
i niepublicznych przedszkolach prowadzonych 
przez osoby prawne i fizyczne</t>
  </si>
  <si>
    <t xml:space="preserve">dotacje dla gimnazjów publicznych 
i niepublicznych </t>
  </si>
  <si>
    <t>utrzymanie uczniów w publicznych
i niepublicznych gimnazjach prowadzonych 
przez osoby prawne i fizyczne</t>
  </si>
  <si>
    <t>utrzymanie uczniów w publicznych 
i niepublicznych liceach ogólnokształcących 
prowadzonych przez osoby prawne i fizyczne</t>
  </si>
  <si>
    <t>utrzymanie uczniów w publicznych liceach 
profilowanych prowadzonych przez osoby
prawne i fizyczne</t>
  </si>
  <si>
    <t xml:space="preserve">dotacje dla publicznych i niepublicznych szkół zawodowych </t>
  </si>
  <si>
    <t>utrzymanie uczniów w publicznych 
i niepublicznych szkołach zawodowych 
prowadzonych przez osoby prawne i fizyczne</t>
  </si>
  <si>
    <t>dotacje na sfinansowanie zakładowego funduszu świadczeń socjalnych dla nauczycieli emerytów 
i rencistów</t>
  </si>
  <si>
    <t>świadczenia socjalne dla nauczycieli
emerytów i rencistów</t>
  </si>
  <si>
    <t>modernizacje przychodni</t>
  </si>
  <si>
    <t>dostosowanie pomieszczeń Miejskiej Przychodni Zdrowia Nr 1 przy ul. Hipotecznej do opieki całodobowej</t>
  </si>
  <si>
    <t>zakup sprzętu i aparatury medycznej</t>
  </si>
  <si>
    <t xml:space="preserve">zakup sprzętu i aparatury medycznej
do szkolnych gabinetów stomatologicznych </t>
  </si>
  <si>
    <t>zadania realizowane w ramach Gminnego 
Programu Przeciwdziałania Narkomanii, z tego:</t>
  </si>
  <si>
    <t>koordynacja działań w zakresie zapobiegania
narkomanii</t>
  </si>
  <si>
    <t>profilaktyka uzależnień od środków
odurzających</t>
  </si>
  <si>
    <t xml:space="preserve">działania w zakresie profilaktyki </t>
  </si>
  <si>
    <t>edukacja w zakresie zagrożeń wynikających 
z uzależnień od narkotyków</t>
  </si>
  <si>
    <t xml:space="preserve">działania z zakresu leczenia i rehabilitacji
osób uzależnionych od narkotyków </t>
  </si>
  <si>
    <t>pomoc osobom uzależnionym od narkotyków</t>
  </si>
  <si>
    <t>wspomaganie działalności instytucji, stowarzyszeń 
i osób fizycznych, służącej rozwiązywaniu problemów z zakresu narkomanii</t>
  </si>
  <si>
    <t>dofinansowanie bieżącej działalności placówek
realizujących zadania Programu</t>
  </si>
  <si>
    <t xml:space="preserve">zadania realizowane w ramach programu
profilaktyki i rozwiązywania problemów 
alkoholowych, z tego: </t>
  </si>
  <si>
    <t>zwiększenie dostępności pomocy terapeutycznej 
i rehabilitacyjnej dla osób uzależnionych od alkoholu</t>
  </si>
  <si>
    <t>prowadzenie zajęć, programów oraz obozów 
terapeutycznych i rehabilitacyjnych dla osób
uzależnionych od alkoholu</t>
  </si>
  <si>
    <t>udzielanie rodzinom, w których występują problemy alkoholowe pomocy psychospołecznej i prawnej, 
a w szczególności ochrony przed przemocą 
w rodzinie</t>
  </si>
  <si>
    <t>pomoc dla członków rodzin z problemem 
alkoholowym oraz problemem przemocy domowej</t>
  </si>
  <si>
    <t>prowadzenie profilaktycznej działalności 
informacyjnej i edukacyjnej, w szczególności 
dla dzieci i młodzieży</t>
  </si>
  <si>
    <t>realizacja działań o charakterze edukacyinym 
i informacyjnym, w szczególności dla dzieci 
i młodzieży</t>
  </si>
  <si>
    <t>wspomaganie działalności instytucji, 
stowarzyszeń i osób fizycznych, służącej
rozwiązywaniu problemów alkoholowych</t>
  </si>
  <si>
    <t>działania zmierzające do ograniczenia 
dostępności alkoholu</t>
  </si>
  <si>
    <t>organizacja kampanii edukacyjnej na rzecz 
ograniczenia sprzedaży alkoholu osobom
nieletnim</t>
  </si>
  <si>
    <t>szkolenie komputerowe dla bezrobotnych
mieszkańców zagrożonych alkoholizmem</t>
  </si>
  <si>
    <t>pomoc osobom zagrożonym alkoholizmem</t>
  </si>
  <si>
    <t>kurs - szkolenie: "Jak zapobiegać agresji 
i przemocy w rodzinie dotkniętej alkoholizmem", "Akceptacja dziecka niepełnosprawnego 
w rodzinach z problemem alkoholowym"</t>
  </si>
  <si>
    <t>pomoc dla członków rodzin z problemem
alkoholowym oraz problemem przemocy
domowej</t>
  </si>
  <si>
    <t>realizacja zajęć profilaktycznych w ramach 
programu profilaktyczno - wychowawczego 
"Spójrz inaczej"</t>
  </si>
  <si>
    <t>realizacja zajęć profilaktycznych dla dzieci
i młodzieży</t>
  </si>
  <si>
    <t xml:space="preserve">realizacja strategii na rzecz osób niepełnosprawnych, z tego: </t>
  </si>
  <si>
    <t>realizacja programów zwiększających
świadomość mieszkańców Lublina o przyczynach 
i skutkach powstawania niepełnosprawności oraz sposobach jej zapobiegania</t>
  </si>
  <si>
    <t>zapobieganie i łagodzenie skutków powodujących niepełnosprawność</t>
  </si>
  <si>
    <t>rehabilitacja osób niepełnosprawnych
zwiększająca ich samodzielność fizyczną
i psychiczną</t>
  </si>
  <si>
    <t>zapobieganie i łagodzenie skutków 
powodujących niepełnosprawność</t>
  </si>
  <si>
    <t>prowadzenie innowacyjnych zajęć edukacyjnych dla dzieci i młodzieży niepełnosprawnej</t>
  </si>
  <si>
    <t>edukacja dzieci i młodzieży niepełnosprawnej</t>
  </si>
  <si>
    <t>świadczenie kompleksowego poradnictwa 
dla osób niepełnosprawnych i ich rodzin, w tym specjalistycznego poradnictwa z zakresu likwidacji barier architektonicznych, transportowych 
oraz w komunikowaniu się</t>
  </si>
  <si>
    <t xml:space="preserve">wyrównywanie szans osób niepełnosprawnych 
w życiu społecznym, pracy zawodowej,
kulturze i rekreacji poprzez tworzenie 
warunków do rozwoju rehabilitacji fizycznej,
psychicznej, zawodowej i społecznej </t>
  </si>
  <si>
    <t>wspieranie aktywności społeczno - zawodowej osób niepełnosprawnych, w szczególności: prowadzenie specjalistycznych kursów i szkoleń przygotowujących osoby niepełnosprawne do podjęcia pracy oraz prowadzenie kawiarenki internetowej dla osób niepełnosprawnyc</t>
  </si>
  <si>
    <t>aktywizacja społeczno - zawodowa 
osób niepełnosprawnych</t>
  </si>
  <si>
    <t xml:space="preserve">organizacja szkoleń i kursów przygotowujących do profesjonalnej pracy z osobami niepełnosprawnymi </t>
  </si>
  <si>
    <t>wspieranie aktywności osób niepełnosprawnych i działań samopomocowych w celu pełnej integracji osób niepełnosprawnych w społeczności lokalnej</t>
  </si>
  <si>
    <t>integracja osób niepełnosprawnych
ze społecznością Lublina</t>
  </si>
  <si>
    <t>promocja osiągnięć osób niepełnosprawnych</t>
  </si>
  <si>
    <t>realizacja programów promujących osiągnięcia osób niepełnosprawnych w różnych sferach życia społecznego</t>
  </si>
  <si>
    <t>Placówki opiekuńczo - wychowawcze</t>
  </si>
  <si>
    <t>dotacje dla niepublicznych placówek 
opiekuńczo-wychowawczych</t>
  </si>
  <si>
    <t>utrzymanie wychowanków w niepublicznych 
placówkach opiekuńczo-wychowawczych 
prowadzonych przez osoby prawne i fizyczne</t>
  </si>
  <si>
    <t>zakup wyposażenia dla świetlicy opiekuńczo -
wychowawczej</t>
  </si>
  <si>
    <t>dotacja na prowadzenie domu pomocy 
społecznej przy ul. Dolińskiego</t>
  </si>
  <si>
    <t>otoczenie opieką osób starszych</t>
  </si>
  <si>
    <t>dotacja na prowadzenie Ośrodka Wsparcia
dla Rodzin z Dzieckiem Niepełnosprawnym</t>
  </si>
  <si>
    <t>pomoc rodzinom z dzieckiem niepełnosprawnym</t>
  </si>
  <si>
    <t>modernizacja i rozbudowa ośrodka dla osób 
niepełnosprawnych nad Zalewem Zemborzyckim</t>
  </si>
  <si>
    <t>rozbudowa ośrodka wsparcia dla osób 
niepełnosprawnych</t>
  </si>
  <si>
    <t>budowa ośrodka dla bezdomnych</t>
  </si>
  <si>
    <t>pomoc osobom bezdomnym, matkom 
samotnie wychowującym dzieci, kobietom
zagrożonym przemocą domową</t>
  </si>
  <si>
    <t>pomoc osobom bezdomnym, matkom
samotnie wychowującym dzieci, kobietom
zagrożonym przemocą domową</t>
  </si>
  <si>
    <t xml:space="preserve">pomoc dzieciom i osobom dorosłym
niepełnosprawnym fizycznie, intelektualnie
i chorym psychicznie </t>
  </si>
  <si>
    <t>pomoc dzieciom i osobom dorosłym 
niepełnosprawnym fizycznie, umysłowo, 
chorym psychicznie i z chorobą Alzheimera</t>
  </si>
  <si>
    <t>pomoc osobom ubogim, w sytuacji kryzysowej</t>
  </si>
  <si>
    <t>pomoc osobom ubogim i w sytuacji kryzysowej</t>
  </si>
  <si>
    <t>dotacje dla niepublicznych ośrodków szkolno - wychowawczych</t>
  </si>
  <si>
    <t>utrzymanie wychowanków w niepublicznych
ośrodkach szkolno - wychowawczych
prowadzonych przez osoby prawne i fizyczne</t>
  </si>
  <si>
    <t xml:space="preserve">utrzymanie uczniów w niepublicznych bursach
i internatach prowadzonych przez osoby 
prawne i fizyczne </t>
  </si>
  <si>
    <t>Kolonie i obozy oraz inne formy
wypoczynku dzieci i młodzieży szkolnej,
a także szkolenia młodzieży</t>
  </si>
  <si>
    <t>organizacja obozów szkoleniowych dla dzieci 
i młodzieży w okresie ferii zimowych i wakacji letnich</t>
  </si>
  <si>
    <t>organizacja czasu wolnego dla dzieci
i młodzieży w okresie ferii zimowych 
i wakacji letnich</t>
  </si>
  <si>
    <t>organizacja imprez sportowo-rekreacyjnych dla dzieci i młodzieży w okresie ferii zimowych 
i wakacji letnich</t>
  </si>
  <si>
    <t>organizacja czasu wolnego dla dzieci 
i młodzieży w okresie ferii zimowych
i wakacji letnich</t>
  </si>
  <si>
    <t>Ochrona różnorodności biologicznej
i krajobrazu</t>
  </si>
  <si>
    <t>organizacja cyklu wypraw ekologiczno -
badawczych dla dzieci i młodzieży w ramach projektu "W cztery strony świata dookoła Lublina"</t>
  </si>
  <si>
    <t>propagowanie idei ekologicznych wśród dzieci
i młodzieży</t>
  </si>
  <si>
    <t>organizacja różnorodnych form 
upowszechniania kultury</t>
  </si>
  <si>
    <t>upowszechnianie kultury wśród mieszkańców
miasta</t>
  </si>
  <si>
    <t>inicjatywy kulturalne domów i klubów kultury</t>
  </si>
  <si>
    <t>organizacja akcji "zima i lato w mieście"</t>
  </si>
  <si>
    <t>wydawnictwa kulturalne</t>
  </si>
  <si>
    <t>zapewnienie bazy sportowej dla mieszkańców
miasta</t>
  </si>
  <si>
    <t>upowszechnianie kultury fizycznej</t>
  </si>
  <si>
    <t>propagowanie kultury fizycznej wśród młodzieży</t>
  </si>
  <si>
    <t xml:space="preserve">Wydatki na zadania realizowane 
na podstawie porozumień i umów </t>
  </si>
  <si>
    <t>dotacje dla przedszkoli publicznych
i niepublicznych</t>
  </si>
  <si>
    <t>utrzymanie dzieci w publicznych
i niepublicznych przedszkolach prowadzonych
przez osoby prawne i fizyczne</t>
  </si>
  <si>
    <t>realizacja projektu: "System stypendialny 
szansą ponadgimnazjalistów z terenów
wiejskich"</t>
  </si>
  <si>
    <t>wyrównywanie szans edukacyjnych poprzez
programy stypendialne</t>
  </si>
  <si>
    <t>prowadzenie Środowiskowego Domu
Samopomocy przy al. Spółdzielczości Pracy</t>
  </si>
  <si>
    <t>pomoc dzieciom i młodzieży upośledzonej
umysłowo</t>
  </si>
  <si>
    <t>prowadzenie Środowiskowego Domu Samopomocy
przy ul. Abramowickiej "Misericordia"</t>
  </si>
  <si>
    <t>pomoc osobom z zaburzeniami psychicznymi</t>
  </si>
  <si>
    <t>prowadzenie Środowiskowego Domu Samopomocy "Roztocze" przy ul. Wallenroda oraz Ośrodka Wsparcia przy ul. Bronowickiej</t>
  </si>
  <si>
    <t>prowadzenie Środowiskowego Domu Samopomocy dla Osób z Chorobą Alzheimera</t>
  </si>
  <si>
    <t xml:space="preserve">pomoc osobom z chorobą Alzheimera </t>
  </si>
  <si>
    <t>inwestycje w Środowiskowym Domu Samopomocy dla Osób z Chorobą Alzheimera</t>
  </si>
  <si>
    <t>modernizacja obiektu i zakup wyposażenia</t>
  </si>
  <si>
    <r>
      <t>z tego:</t>
    </r>
    <r>
      <rPr>
        <b/>
        <sz val="11"/>
        <rFont val="Arial CE"/>
        <family val="2"/>
      </rPr>
      <t xml:space="preserve">
Zadania własne</t>
    </r>
  </si>
  <si>
    <t>Załącznik nr 9</t>
  </si>
  <si>
    <t xml:space="preserve">Wydatki na utrzymanie Rad i Zarządów jednostek pomocniczych miasta </t>
  </si>
  <si>
    <t>Przewidywane wykonanie 1999 roku</t>
  </si>
  <si>
    <t xml:space="preserve"> %                                          5:4</t>
  </si>
  <si>
    <t>Plan na 2004 rok 
po zmianach</t>
  </si>
  <si>
    <t>Abramowice</t>
  </si>
  <si>
    <t>Bronowice</t>
  </si>
  <si>
    <t>Czechów Południowy</t>
  </si>
  <si>
    <t>Czechów Północny</t>
  </si>
  <si>
    <t>Czuby Południe</t>
  </si>
  <si>
    <t>Czuby Północne</t>
  </si>
  <si>
    <t>Dziesiąta</t>
  </si>
  <si>
    <t>Felin</t>
  </si>
  <si>
    <t>Głusk</t>
  </si>
  <si>
    <t>Hajdów Zadębie</t>
  </si>
  <si>
    <t>Kalinowszczyzna</t>
  </si>
  <si>
    <t>Konstantynów</t>
  </si>
  <si>
    <t>Kośminek</t>
  </si>
  <si>
    <t>Ponikwoda</t>
  </si>
  <si>
    <t>Rury</t>
  </si>
  <si>
    <t>Sławin</t>
  </si>
  <si>
    <t>Sławinek</t>
  </si>
  <si>
    <t>Stare Miasto</t>
  </si>
  <si>
    <t>Szerokie</t>
  </si>
  <si>
    <t>Śródmieście</t>
  </si>
  <si>
    <t>Tatary</t>
  </si>
  <si>
    <t>Węglin Południe</t>
  </si>
  <si>
    <t>Węglin Północ</t>
  </si>
  <si>
    <t>Wieniawa</t>
  </si>
  <si>
    <t>Wrotków</t>
  </si>
  <si>
    <t>Za Cukrownią</t>
  </si>
  <si>
    <t>Zemborzyce</t>
  </si>
  <si>
    <t>Załącznik nr 10</t>
  </si>
  <si>
    <t>Gminny Fundusz Ochrony Środowiska i Gospodarki Wodnej</t>
  </si>
  <si>
    <t xml:space="preserve">Rozdz.
§   </t>
  </si>
  <si>
    <t>Wyszczególnienie</t>
  </si>
  <si>
    <t>Stan środków obrotowych na początek roku</t>
  </si>
  <si>
    <t xml:space="preserve"> I Przychody</t>
  </si>
  <si>
    <t>opłaty za usuwanie drzew lub krzewów</t>
  </si>
  <si>
    <t>Wpływy z różnych opłat</t>
  </si>
  <si>
    <t>kary za usuwanie drzew lub krzewów</t>
  </si>
  <si>
    <t>Wpływy z różnych dochodów</t>
  </si>
  <si>
    <t>środki przekazane przez Marszałka Województwa z tytułu opłat 
za gospodarcze korzystanie ze środowiska</t>
  </si>
  <si>
    <t>Przelewy redystrybucyjne</t>
  </si>
  <si>
    <t>dotacje z Wojewódzkiego Funduszu Ochrony Środowiska i Gospodarki Wodnej na realizację zadań z zakresu ochrony środowiska</t>
  </si>
  <si>
    <t>darowizna od Elektrociepłowni Lublin - Wrotków</t>
  </si>
  <si>
    <t>Otrzymane spadki, zapisy i darowizny w postaci pieniężnej</t>
  </si>
  <si>
    <t>darowizna od Polskiego Związku Wędkarskiego Zarząd Okręgu 
w Lublinie</t>
  </si>
  <si>
    <t>opłata produktowa za 2003 rok z Wojewódzkiego Funduszu Ochrony Środowiska i Gospodarki Wodnej</t>
  </si>
  <si>
    <t>wpłaty z tytułu organizacji konferencji naukowej</t>
  </si>
  <si>
    <t>Suma bilansowa</t>
  </si>
  <si>
    <t>II Wydatki ogółem</t>
  </si>
  <si>
    <t>edukacja ekologiczna</t>
  </si>
  <si>
    <t>Zakup materiałów i wyposażenia</t>
  </si>
  <si>
    <t>Zakup usług pozostałych</t>
  </si>
  <si>
    <t>leczenie i konserwacja starodrzewu</t>
  </si>
  <si>
    <t>nasadzenia zieleni wysokiej oraz krzewów na terenie miasta  Lublina</t>
  </si>
  <si>
    <t>pomoc placówkom użyteczności publicznej w zakładaniu terenów zieleni (w konsultacji z jednostkami pomocniczymi miasta)</t>
  </si>
  <si>
    <t>monitoring środowiska i tworzenie baz danych w Miejskim Banku Zanieczyszczeń Środowiska</t>
  </si>
  <si>
    <t>likwidacja niskiej emisji</t>
  </si>
  <si>
    <t>Wydatki inwestycyjne funduszy celowych</t>
  </si>
  <si>
    <t>udział w kursach i szkoleniach naukowo - technicznych</t>
  </si>
  <si>
    <t>rekultywacja terenów zdegradowanych Lublina</t>
  </si>
  <si>
    <t xml:space="preserve">ratowanie lubelskich kasztanowców przed inwazją szrotówka kasztanowcowiaczka </t>
  </si>
  <si>
    <t>zakup pojemników do selektywnej zbiórki odpadów</t>
  </si>
  <si>
    <t>modernizacja skarp odwodnych Zbiornika Zemborzyckiego</t>
  </si>
  <si>
    <t>Zakup usług remontowych</t>
  </si>
  <si>
    <t>trwałe oznaczenie psów</t>
  </si>
  <si>
    <t xml:space="preserve">Zakup usług pozostałych </t>
  </si>
  <si>
    <t>napowietrzanie warstw przydennych w Zbiorniku Zemborzyckim 
w miejscach namnażania sinic w celu zahamowania ich rozwoju</t>
  </si>
  <si>
    <t>termomodernizacja obiektów szkolnych</t>
  </si>
  <si>
    <t xml:space="preserve">zakup sorbentów dla wyposażenia Jednostki Ratowniczo-Gaśniczej Państwowej Straży Pożarnej </t>
  </si>
  <si>
    <t xml:space="preserve">kanalizacja sanitarna dla os. Rudnik i Bursaki </t>
  </si>
  <si>
    <t>kolektor sanitarny N - II</t>
  </si>
  <si>
    <t>odprowadzenie wód deszczowych z os. Rudnik i Bursaki</t>
  </si>
  <si>
    <t>obudowa sterówki jazu i przepustu</t>
  </si>
  <si>
    <t>organizacja konferencji naukowej</t>
  </si>
  <si>
    <t>prace interwencyjne</t>
  </si>
  <si>
    <t>inne zmniejszenia</t>
  </si>
  <si>
    <t>Stan środków obrotowych na koniec roku</t>
  </si>
  <si>
    <t>Załącznik nr 11</t>
  </si>
  <si>
    <t xml:space="preserve">    Powiatowy Fundusz Ochrony Środowiska i Gospodarki Wodnej </t>
  </si>
  <si>
    <t xml:space="preserve">wpływy z tytułu nałożonych kar przekazywane przez Państwową Inspekcję Ochrony Środowiska </t>
  </si>
  <si>
    <t xml:space="preserve">II Wydatki </t>
  </si>
  <si>
    <t>gospodarka surowcami organicznymi</t>
  </si>
  <si>
    <t>likwidacja zagrożeń sanitarno-epidemicznych powierzchni ziemi i ekologiczne zagospodarowanie terenu</t>
  </si>
  <si>
    <t>selektywna zbiórka odpadów niebezpiecznych (w tym zakup pojemników do zbiórki odpadów niebezpiecznych)</t>
  </si>
  <si>
    <t>program ochrony zlewni górnej Bystrzycy</t>
  </si>
  <si>
    <t>budowa odcinka kanalizacji sanitarnej w ul. Pancerniaków</t>
  </si>
  <si>
    <t>modernizacja oczyszczalni ścieków w Rokitnie</t>
  </si>
  <si>
    <t xml:space="preserve">odwodnienie ulicy Zbożowej </t>
  </si>
  <si>
    <t>odwodnienie ulicy Puławskiej przy al. Solidarności</t>
  </si>
  <si>
    <t>odwodnienie ul. Botanicznej w okolicy posesji 13, 20</t>
  </si>
  <si>
    <t>Załącznik nr 12</t>
  </si>
  <si>
    <t>Zadania z zakresu administracji rządowej i inne zadania zlecone ustawami</t>
  </si>
  <si>
    <t>oraz dochody, które podlegają przekazaniu do budżetu państwa</t>
  </si>
  <si>
    <t>związane z realizacją powyższych zadań</t>
  </si>
  <si>
    <t>Plan dochodów 
na 2004 rok 
wg uchwały budżetowej</t>
  </si>
  <si>
    <t>Plan dochodów 
na 2004 rok
po zmianach</t>
  </si>
  <si>
    <t>%                      6:5</t>
  </si>
  <si>
    <t>Plan wydatków 
na 2004 rok 
wg uchwały budżetowej</t>
  </si>
  <si>
    <t xml:space="preserve">Plan wydatków 
na 2004 rok
po zmianach </t>
  </si>
  <si>
    <t>%                      10:9</t>
  </si>
  <si>
    <t>Rozdz.
§</t>
  </si>
  <si>
    <t>gmina</t>
  </si>
  <si>
    <t>Zadania zlecone ogółem</t>
  </si>
  <si>
    <t xml:space="preserve">Dotacje celowe otrzymane z budżetu państwa na realizację zadań bieżących z zakresu administracji rządowej oraz innych zadań zleconych gminie ustawami </t>
  </si>
  <si>
    <t>opłaty za dowody osobiste, opłata za udostępnienie danych ze zbiorów meldunkowych, zbioru PESEL i inne</t>
  </si>
  <si>
    <t>Dochody budżetu państwa związane z realizacją zadań zlecanych jednostkom samorządu terytorialnego</t>
  </si>
  <si>
    <t>dotacja celowa z budżetu państwa na sfinansowanie kosztów prowadzenia i aktualizacji rejestru wyborców</t>
  </si>
  <si>
    <t>Dotacje celowe otrzymane z budżetu państwa na realizację zadań bieżących z zakresu administracji rządowej oraz innych zadań zleconych gminie ustawami</t>
  </si>
  <si>
    <t>dotacja celowa na inwestycje dla Środowiskowego Domu Samopomocy przy ul. Gospodarczej</t>
  </si>
  <si>
    <t xml:space="preserve">Dotacje celowe otrzymane z budżetu państwa na inwestycje i zakupy inwestycyjne z zakresu administracji rządowej oraz innych zadań zleconych gminom ustawami  </t>
  </si>
  <si>
    <t xml:space="preserve">opłaty za pobyt </t>
  </si>
  <si>
    <t xml:space="preserve">utrzymanie Środowiskowego Domu Samopomocy
przy ul. Gospodarczej, z tego: </t>
  </si>
  <si>
    <t>dotacja na prowadzenie Środowiskowego Domu Samopomocy przy al. Spółdzielczości Pracy</t>
  </si>
  <si>
    <t>dotacja celowa z budżetu państwa na wydatki związane 
z wypłatą świadczeń rodzinnych</t>
  </si>
  <si>
    <t>Dotacje celowe przekazane z budżetu państwa na inwestycje i zakupy inwestycyjne z zakresu administracji rządowej oraz innych zadań zleconych gminom ustawami</t>
  </si>
  <si>
    <t xml:space="preserve">dotacja celowa z budżetu państwa na składki na ubezpieczenie zdrowotne opłacane za osoby pobierające świadczenia z pomocy społecznej </t>
  </si>
  <si>
    <t xml:space="preserve">dotacja celowa z budżetu państwa na zasiłki i pomoc 
w naturze oraz na składki na ubezpieczenia społeczne </t>
  </si>
  <si>
    <t>zwrot nienależnie pobranych zasiłków w latach ubiegłych</t>
  </si>
  <si>
    <t>dotacja celowa z budżetu państwa na zasiłki rodzinne, pielęgnacyjne i wychowawcze</t>
  </si>
  <si>
    <t xml:space="preserve">Dotacje celowe otrzymane z budżetu państwa na inwestycje i zakupy inwestycyjne z zakresu administracji rządowej oraz innych zadań zleconych gminom ustawami </t>
  </si>
  <si>
    <t xml:space="preserve">dotacja celowa z budżetu państwa na usługi opiekuńcze </t>
  </si>
  <si>
    <t>dotacja celowa z budżetu państwa na spłatę zobowiązań powstałych w 2003 r. z tytułu oświetlenia dróg publicznych krajowych, wojewódzkich i powiatowych</t>
  </si>
  <si>
    <t>Dotacje celowe z budżetu państwa na finansowanie zadań z zakresu administracji rządowej wykonywanych przez powiat</t>
  </si>
  <si>
    <t>dotacja celowa z budżetu państwa na finansowanie zadań bieżących z zakresu gospodarki nieruchomościami</t>
  </si>
  <si>
    <t>Dotacje celowe otrzymane z budżetu państwa na zadania bieżące z zakresu administracji rządowej oraz inne zadania zlecone ustawami realizowane przez powiat</t>
  </si>
  <si>
    <t>opłaty za zarząd i wieczyste użytkowanie nieruchomości Skarbu Państwa</t>
  </si>
  <si>
    <t>wpływy z czynności kontrolno-rozpoznawczych</t>
  </si>
  <si>
    <t xml:space="preserve">dotacja celowa z budżetu państwa na składki na ubezpieczenie zdrowotne za dzieci i uczniów niepozostających na utrzymaniu osoby ubezpieczonej </t>
  </si>
  <si>
    <t>dotacja celowa z budżetu państwa na składki na ubezpieczenie zdrowotne za osoby bezrobotne bez prawa do zasiłku</t>
  </si>
  <si>
    <t>składki na ubezpieczenie zdrowotne za uczniów oraz wychowanków placówek opiekuńczo - wychowawczych</t>
  </si>
  <si>
    <t>składki na ubezpieczenie zdrowotne za osoby bezrobotne bez prawa do zasiłku</t>
  </si>
  <si>
    <t xml:space="preserve">dotacja celowa z budżetu państwa na inwestycje dla środowiskowego domu samopomocy </t>
  </si>
  <si>
    <t>Dotacje celowe otrzymane z budżetu państwa na inwestycje i zakupy inwestycyjne z zakresu administracji rządowej oraz inne zadania zlecone ustawami realizowane przez powiat</t>
  </si>
  <si>
    <t>dotacja na prowadzenie Środowiskowego Domu Samopomocy przy ul. Abramowickiej "Misericordia"</t>
  </si>
  <si>
    <t>dotacja na prowadzenie Środowiskowego Domu Samopomocy "Roztocze" przy ul. Wallenroda oraz Ośrodka Wsparcia przy ul. Bronowickiej</t>
  </si>
  <si>
    <t xml:space="preserve">dotacja na prowadzenie Środowiskowego Domu Samopomocy dla Osób z Chorobą Alzheimera </t>
  </si>
  <si>
    <t>dotacja na inwestycje w Środowiskowym Domu Samopomocy dla Osób z Chorobą Alzheimera</t>
  </si>
  <si>
    <t>dotacja celowa z budżetu państwa na utrzymanie zespołu do spraw orzekania o niepełnosprawności</t>
  </si>
  <si>
    <t>dotacja celowa z budżetu państwa na zakupy inwestycyjne dla zespołu do spraw orzekania 
o niepełnosprawności</t>
  </si>
  <si>
    <t>wydatki związane z pomocą dla repatriantów</t>
  </si>
  <si>
    <r>
      <t xml:space="preserve">Treść </t>
    </r>
    <r>
      <rPr>
        <sz val="14"/>
        <rFont val="Arial CE"/>
        <family val="2"/>
      </rPr>
      <t xml:space="preserve">
(nazwa działu, rozdziału, zadania, paragrafu)</t>
    </r>
  </si>
  <si>
    <t>Pozostałe odsetki</t>
  </si>
  <si>
    <t>wpływy z najmu</t>
  </si>
  <si>
    <t>wpływy z tytułu wynagrodzenia przysługującego płatnikowi za terminowe wpłacanie podatków pobranych na rzecz budżetu państwa i z tytułu wykonywania zadań z ubezpieczenia społecznego</t>
  </si>
  <si>
    <t>środki z PHARE na realizację programu "Promocja wzrostu zatrudnienia wśród młodzieży"</t>
  </si>
  <si>
    <t>852</t>
  </si>
  <si>
    <t>85204</t>
  </si>
  <si>
    <t>85295</t>
  </si>
  <si>
    <t>dotacja celowa z budżetu państwa na realizację programu z zakresu opieki nad dzieckiem i rodziną</t>
  </si>
  <si>
    <t>854</t>
  </si>
  <si>
    <t>85415</t>
  </si>
  <si>
    <t>do uchwały nr 673/XXX/2005</t>
  </si>
  <si>
    <t>z dnia 28 kwietnia 2005 r.</t>
  </si>
  <si>
    <t>dotacja z Europejskiego Funduszu Społecznego na dofinansowanie realizacji projektu: "System stypendialny szansą ponadgimnazjalistów z terenów wiejskich"</t>
  </si>
  <si>
    <t>92116</t>
  </si>
  <si>
    <t>Biblioteki</t>
  </si>
  <si>
    <t>dotacja celowa z budżetu państwa na składki na ubezpieczenie zdrowotne 
za osoby bezrobotne bez prawa do zasiłku</t>
  </si>
  <si>
    <t>dotacja celowa z budżetu państwa na inwestycje dla środowiskowego domu samopomocy</t>
  </si>
  <si>
    <t>dotacja celowa z budżetu państwa na świadczenia rodzinne</t>
  </si>
  <si>
    <t>dotacja celowa z budżetu państwa na utrzymanie zespołu do spraw orzekania 
o niepełnosprawności</t>
  </si>
  <si>
    <t>Wykonanie 
na 31 grudnia 
2004 roku</t>
  </si>
  <si>
    <t>odsetki od nieterminowych wpłat</t>
  </si>
  <si>
    <t>Rady Miasta Lublin</t>
  </si>
  <si>
    <t>środki z Ministerstwa Edukacji Narodowej i Sportu na budowę wielofunkcyjnej hali sportowo-widowiskowej i lodowiska treningowego przy ul. Kazimierza Wielkiego</t>
  </si>
  <si>
    <t xml:space="preserve">dotacja celowa z budżetu państwa na prowadzenie środowiskowych domów samopomocy </t>
  </si>
  <si>
    <t>921</t>
  </si>
  <si>
    <t>75411</t>
  </si>
  <si>
    <t>Zespoły do spraw orzekania 
o niepełnosprawności</t>
  </si>
  <si>
    <t>dotacja celowa z budżetu państwa na finansowanie zadań z zakresu obrony cywilnej</t>
  </si>
  <si>
    <t>pozostałe dochody</t>
  </si>
  <si>
    <t>Dotacje celowe na zadania realizowane w drodze porozumień i umów</t>
  </si>
  <si>
    <t>Ośrodki informacji turystycznej</t>
  </si>
  <si>
    <t>Gospodarka odpadami</t>
  </si>
  <si>
    <t>opłata za wydanie karty parkingowej</t>
  </si>
  <si>
    <t>dotacja celowa z budżetu państwa na pomoc materialną dla młodzieży wiejskiej</t>
  </si>
  <si>
    <t xml:space="preserve">Dotacje celowe z budżetu państwa na zadania z zakresu administracji rządowej </t>
  </si>
  <si>
    <t>Pomoc dla repatriantów</t>
  </si>
  <si>
    <t xml:space="preserve">Treść   </t>
  </si>
  <si>
    <t xml:space="preserve">Rozdz.      </t>
  </si>
  <si>
    <t>(nazwa działu, rozdziału, źródła dochodów)</t>
  </si>
  <si>
    <t>%                        12:9</t>
  </si>
  <si>
    <t>opłata za korzystanie z cmentarzy komunalnych i urządzeń cmentarnych</t>
  </si>
  <si>
    <t>dotacja celowa z budżetu państwa na realizację programu profilaktyczno-wychowawczego "Spójrz inaczej", kursu - szkolenia: "Jak zapobiegać agresji 
i przemocy w rodzinie dotkniętej alkoholizmem", "Akceptacja dziecka niepełnosprawnego w rodzinach z problemem alkoholowym" oraz szkolenia komputerowego dla bezrobotnych mieszkańców zagrożonych alkoholizmem</t>
  </si>
  <si>
    <t>kary i grzywny nakładane przez Urząd</t>
  </si>
  <si>
    <t>opłaty pokrywające koszt specyfikacji przetargowej, dziennika budowy i inne</t>
  </si>
  <si>
    <t xml:space="preserve">odsetki od nieterminowych wpłat 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</si>
  <si>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</si>
  <si>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</si>
  <si>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</si>
  <si>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</si>
  <si>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</si>
  <si>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odsetki, opłaty za upomnienia, opłata prolongacyjna</t>
  </si>
  <si>
    <t>podatek od spadków i darowizn</t>
  </si>
  <si>
    <t>podatek od posiadania psów</t>
  </si>
  <si>
    <t>opłata targowa</t>
  </si>
  <si>
    <t>opłata administracyjna</t>
  </si>
  <si>
    <t>opłata skarbowa</t>
  </si>
  <si>
    <t>opłata stała - wpis do ewidencji gospodarczej</t>
  </si>
  <si>
    <t xml:space="preserve">odsetki od nieterminowych wpłat  </t>
  </si>
  <si>
    <t xml:space="preserve">podatek dochodowy od osób fizycznych </t>
  </si>
  <si>
    <t xml:space="preserve">podatek dochodowy od osób prawnych </t>
  </si>
  <si>
    <t>odsetki od  środków na rachunkach bankowych</t>
  </si>
  <si>
    <t xml:space="preserve">opłaty za pobyt w żłobkach                                                                </t>
  </si>
  <si>
    <t xml:space="preserve">Zasiłki i pomoc w naturze oraz składki na ubezpieczenia społeczne </t>
  </si>
  <si>
    <t>zwrot niesłusznie pobranych dodatków mieszkaniowych</t>
  </si>
  <si>
    <t xml:space="preserve">opłaty za składowanie odpadów komunalnych w Rokitnie </t>
  </si>
  <si>
    <t>Fundusz Ochrony Środowiska i Gospodarki Wodnej</t>
  </si>
  <si>
    <t>opłaty za korzystanie z przystanków przez prywatnych przewoźników</t>
  </si>
  <si>
    <t>podatek od działalności gospodarczej osób fizycznych opłacany w formie karty podatkowej</t>
  </si>
  <si>
    <t>odpisy na rachunek środków specjalnych izb skarbowych od dodatkowych wpływów przekazanych do budżatu miasta</t>
  </si>
  <si>
    <t>dotacja celowa z budżetu państwa na dofinansowanie dożywiania uczniów</t>
  </si>
  <si>
    <t xml:space="preserve">Edukacyjna opieka wychowawcza </t>
  </si>
  <si>
    <t>dotacja celowa z budżetu państwa na pomoc repatriantom</t>
  </si>
  <si>
    <t>dochody z tytułu zarządzania nieruchomościami Skarbu Państwa</t>
  </si>
  <si>
    <t xml:space="preserve">Komendy powiatowe Państwowej Straży Pożarnej </t>
  </si>
  <si>
    <t>opłata za egzamin na wykonywanie transportu drogowego taksówką</t>
  </si>
  <si>
    <t>podatek dochodowy od osób fizycznych</t>
  </si>
  <si>
    <t>odpłatność rodziców za pobyt dzieci w rodzinach zastępczych</t>
  </si>
  <si>
    <t>801</t>
  </si>
  <si>
    <t>dotacja celowa z budżetu państwa na realizację zadania "Prezentacja spektaklu "Ferdydurke" teatrów Provisorium i Kompani "Teatr" w teatrze X-cai w Tokio 
i w Tsakubie (Japonia)"</t>
  </si>
  <si>
    <t>dotacja celowa z Gminy Świdnik na refundację wydatków poniesionych 
na budowę składowiska odpadów komunalnych w Rokitnie</t>
  </si>
  <si>
    <t xml:space="preserve">dotacja celowa z budżetu państwa na zasiłki i  pomoc w naturze 
oraz na składki na ubezpieczenia społeczne  </t>
  </si>
  <si>
    <t>dotacja celowa z budżetu państwa na zasiłki rodzinne, pielęgnacyjne 
i wychowawcze</t>
  </si>
  <si>
    <t>dotacja celowa z budżetu państwa na spłatę zobowiązań powstałych w 2003 roku z tytułu oświetlenia dróg publicznych krajowych, wojewódzkich 
i powiatowych</t>
  </si>
  <si>
    <t>Świadczenia rodzinne oraz składki na ubezpieczenia emerytalne 
i rentowe z ubezpieczenia społecznego</t>
  </si>
  <si>
    <t>opłata za wydanie licencji na wykonywanie krajowego transportu drogowego 
i opłata za wydanie zaświadczenia i wypisu z zaświadczenia na wykonywanie przewozu osób i rzeczy na potrzeby własne</t>
  </si>
  <si>
    <t>udział w dochodach budżetu państwa z tytułu opłat za pobyt 
w środowiskowych domach samopomocy</t>
  </si>
  <si>
    <t>odsetki od środków na rachunkach bankowych stołówek szkolnych</t>
  </si>
  <si>
    <t>dotacja celowa z budżetu państwa na doposażenie placówki wsparcia dziennego i podnoszenie standardów w Domu Dziecka Nr 3</t>
  </si>
  <si>
    <t>środki na częściowe sfinansowanie kosztów obsługi zadań z zakresu rehabilitacji zawodowej i społecznej</t>
  </si>
  <si>
    <t>dotacja celowa na dofinansowanie zakupu sprzętu specjalistycznego 
i wyposażenia indywidualnego strażaków</t>
  </si>
  <si>
    <t>dotacja celowa z budżetu państwa na kurs języka polskiego i kurs adaptacyjny dla repatriantów</t>
  </si>
  <si>
    <t>dotacja celowa z budżetu państwa na realizację programu "Upowszechnianie 
i promocja czytelnictwa"</t>
  </si>
  <si>
    <t>dotacja na dzieci z innych powiatów umieszczone w rodzinach zastępczych 
na terenie miasta Lublin</t>
  </si>
  <si>
    <t>dotacja celowa z budżetu państwa na finansowanie zadań bieżących 
z zakresu gospodarki nieruchomościami</t>
  </si>
  <si>
    <t xml:space="preserve">dotacja celowa z budżetu państwa na zakupy inwestycyjne dla zespołu 
do spraw orzekania o niepełnosprawności </t>
  </si>
  <si>
    <t>odsetki od środków na rachunku bankowym - program Socrates-Comenius</t>
  </si>
  <si>
    <t>85226</t>
  </si>
  <si>
    <t>zwrot kosztów szkolenia kandydatów na prowadzenie rodzin zastępczych</t>
  </si>
  <si>
    <t>zwrot zasiłków udzielonych w latach ubiegłych</t>
  </si>
  <si>
    <t>Urzędy naczelnych organów władzy państwowej, kontroli i ochrony prawa oraz sądownictwa</t>
  </si>
  <si>
    <t xml:space="preserve">Urzędy naczelnych organów władzy państwowej, kontroli i ochrony prawa </t>
  </si>
  <si>
    <t>Dział</t>
  </si>
  <si>
    <t>z tego:</t>
  </si>
  <si>
    <t>Pozostała działalność</t>
  </si>
  <si>
    <t>czynsz dzierżawny za obwody łowieckie</t>
  </si>
  <si>
    <t xml:space="preserve">wpływy ze sprzedaży psów w schronisku </t>
  </si>
  <si>
    <t>opłaty wnoszone przez rolników za zużytą wodę (Rokitno)</t>
  </si>
  <si>
    <t>zwrot środków przez spółdzielnie mieszkaniowe za skredytowane mieszkania</t>
  </si>
  <si>
    <t>wpływy z dzierżawy gruntów</t>
  </si>
  <si>
    <t>sprzedaż działek</t>
  </si>
  <si>
    <t>sprzedaż mieszkań komunalnych</t>
  </si>
  <si>
    <t>opłaty za wieczyste użytkowanie</t>
  </si>
  <si>
    <t>Załącznik nr 2</t>
  </si>
  <si>
    <t xml:space="preserve">Wydatki </t>
  </si>
  <si>
    <t>z dnia 28 kwietnia 2005 roku</t>
  </si>
  <si>
    <t>Treść
(nazwa działu, rozdziału, zadania)</t>
  </si>
  <si>
    <t>Plan
na 2004 rok
wg uchwały
budżetowej</t>
  </si>
  <si>
    <t>Plan
na 2004 rok
po zmianach</t>
  </si>
  <si>
    <t>Wykonanie
na 31 grudnia
2004 roku</t>
  </si>
  <si>
    <t>%
6:5</t>
  </si>
  <si>
    <t>Wydatki budżetu miasta ogółem</t>
  </si>
  <si>
    <t>Wydatki na zadania własne</t>
  </si>
  <si>
    <t>01030</t>
  </si>
  <si>
    <t xml:space="preserve">Izby rolnicze </t>
  </si>
  <si>
    <t>wpłaty na rzecz Lubelskiej Izby Rolniczej</t>
  </si>
  <si>
    <t>020</t>
  </si>
  <si>
    <t>Leśnictwo</t>
  </si>
  <si>
    <t>02002</t>
  </si>
  <si>
    <t xml:space="preserve">Nadzór nad gospodarką leśną </t>
  </si>
  <si>
    <t>zadania w zakresie nadzoru nad lasami</t>
  </si>
  <si>
    <t xml:space="preserve">Handel </t>
  </si>
  <si>
    <t>porządkowanie targowisk, handlu ulicznego</t>
  </si>
  <si>
    <t>Lokalny transport zbiorowy</t>
  </si>
  <si>
    <t>usługi komunikacyjne w zakresie transportu zbiorowego</t>
  </si>
  <si>
    <t>pokrycie straty bilansowej w MPK Lublin Sp. z o.o.</t>
  </si>
  <si>
    <t>transport zbiorowy w mieście</t>
  </si>
  <si>
    <t>badania rynku komunikacji miejskiej</t>
  </si>
  <si>
    <t>bieżące utrzymanie dróg</t>
  </si>
  <si>
    <t>remonty dróg</t>
  </si>
  <si>
    <t>inwestycje</t>
  </si>
  <si>
    <t>Drogi wewnętrzne</t>
  </si>
  <si>
    <t>dotacja dla Lubelskiego Ośrodka Informacji Turystycznej</t>
  </si>
  <si>
    <t>w tym:</t>
  </si>
  <si>
    <t>promocja miasta - 50.000 zł</t>
  </si>
  <si>
    <t>upowszechnianie turystyki i krajoznawstwa</t>
  </si>
  <si>
    <t xml:space="preserve">realizacja projektu Trasa: "Euro-Trójkąt Przyjaźni Lublin - Łuck - Brześć" </t>
  </si>
  <si>
    <t>w tym: inwestycje</t>
  </si>
  <si>
    <t>realizacja projektu "Turystyczne Centrum Obsługi Ruchu Transgranicznego 
w Lublinie"</t>
  </si>
  <si>
    <t xml:space="preserve">dotacja dla Zarządu Nieruchomości Komunalnych </t>
  </si>
  <si>
    <t xml:space="preserve">środki na specjalistyczne prace konserwatorskie w budynkach 
w obrębie Starego Miasta </t>
  </si>
  <si>
    <t xml:space="preserve">remonty </t>
  </si>
  <si>
    <t xml:space="preserve">Różne jednostki obsługi gospodarki mieszkaniowej </t>
  </si>
  <si>
    <t>koszty rozbiórek budynków</t>
  </si>
  <si>
    <t>koszty przeprowadzek i przechowywania rzeczy osób eksmitowanych 
oraz zakwaterowania osób poszkodowanych w wypadkach losowych</t>
  </si>
  <si>
    <t>odszkodowania</t>
  </si>
  <si>
    <t>wydatki związane z utrzymaniem zasobów komunalnych, sprzedażą mienia komunalnego oraz szacunki nieruchomości</t>
  </si>
  <si>
    <t>w tym: remonty</t>
  </si>
  <si>
    <t>Towarzystwa budownictwa społecznego</t>
  </si>
  <si>
    <t>wydatki majątkowe</t>
  </si>
  <si>
    <t>Plany zagospodarowania przestrzennego</t>
  </si>
  <si>
    <t>koszty funkcjonowania Miejskiej Komisji Urbanistyczno-Architektonicznej</t>
  </si>
  <si>
    <t>opracowania planistyczne, strategia rozwoju miasta i inne</t>
  </si>
  <si>
    <t>Opracowania geodezyjne i kartograficzne</t>
  </si>
  <si>
    <t>regulacja stanów geodezyjno - prawnych nieruchomości, opracowania geodezyjne</t>
  </si>
  <si>
    <t>utrzymanie cmentarzy komunalnych i urządzeń cmentarnych</t>
  </si>
  <si>
    <t>utrzymanie cmentarza przy ul. Walecznych</t>
  </si>
  <si>
    <t>Rady miast i miast na prawach powiatu</t>
  </si>
  <si>
    <t>funkcjonowanie Rady Miasta</t>
  </si>
  <si>
    <t>funkcjonowanie jednostek pomocniczych miasta</t>
  </si>
  <si>
    <t>wybory do jednostek pomocniczych miasta</t>
  </si>
  <si>
    <t>wynagrodzenia osobowe</t>
  </si>
  <si>
    <t>wydatki rzeczowe</t>
  </si>
  <si>
    <t>pochodne od wynagrodzeń</t>
  </si>
  <si>
    <t>promocja miasta</t>
  </si>
  <si>
    <t>w tym poprzez sport - 280.594 zł</t>
  </si>
  <si>
    <t>działalność w ramach Związku Transgranicznego "Euroregion Bug"</t>
  </si>
  <si>
    <t>dofinansowanie działań na rzecz utrzymania bezpieczeństwa w mieście</t>
  </si>
  <si>
    <t>dofinansowanie Straży Pożarnej</t>
  </si>
  <si>
    <t>Ochotnicze straże pożarne</t>
  </si>
  <si>
    <t>wydatki Ochotniczej Straży Pożarnej w Głusku i OSP - Ratownictwo Wodne 
w Lublinie</t>
  </si>
  <si>
    <t>system monitoringu w mieście</t>
  </si>
  <si>
    <t>wydatki związane z działalnością Miejskiego Zespołu Reagowania Kryzysowego</t>
  </si>
  <si>
    <t xml:space="preserve">Dochody od osób prawnych, od osób fizycznych i od innych jednostek nieposiadających osobowości prawnej oraz wydatki związane z ich poborem </t>
  </si>
  <si>
    <t>Pobór podatków, opłat i niepodatkowych należności budżetowych</t>
  </si>
  <si>
    <t>wynagrodzenie za inkaso opłaty targowej i podatków</t>
  </si>
  <si>
    <t>Obsługa długu publicznego</t>
  </si>
  <si>
    <t>Obsługa papierów wartościowych, kredytów i pożyczek jednostek samorządu terytorialnego</t>
  </si>
  <si>
    <t>wypłata oprocentowania obligacji oraz wydatki związane z obsługą emisji obligacji komunalnych</t>
  </si>
  <si>
    <t xml:space="preserve">odsetki od pożyczek i kredytów </t>
  </si>
  <si>
    <t>koszty obsługi rachunku bankowego</t>
  </si>
  <si>
    <t>wpłata do budżetu państwa</t>
  </si>
  <si>
    <t>Rezerwy ogólne i celowe</t>
  </si>
  <si>
    <t>rezerwa budżetowa</t>
  </si>
  <si>
    <t>rezerwa celowa na udział własny projektów współfinansowanych ze środków Unii Europejskiej</t>
  </si>
  <si>
    <t xml:space="preserve">rezerwa celowa na uruchomienie od 1 września 2004 roku nowego segmentu dydaktycznego w Zespole Szkół nr 5 </t>
  </si>
  <si>
    <t>rezerwa celowa na wydatki związane z rozszerzeniem działalności Domu Pomocy Społecznej "Betania"</t>
  </si>
  <si>
    <t>Prywatyzacja</t>
  </si>
  <si>
    <t>wydatki związane ze sprzedażą spółek</t>
  </si>
  <si>
    <t>akcja "Bezpieczna droga"</t>
  </si>
  <si>
    <t>realizacja projektów w ramach programu Socrates - Comenius</t>
  </si>
  <si>
    <t>wydatki związane z finansowaniem wyprawki szkolnej</t>
  </si>
  <si>
    <t>dotacje dla niepublicznych szkół podstawowych</t>
  </si>
  <si>
    <t xml:space="preserve">Przedszkola </t>
  </si>
  <si>
    <t>przedszkola przy szkołach podstawowych, z tego:</t>
  </si>
  <si>
    <t>przedszkola, z tego:</t>
  </si>
  <si>
    <t>dotacje dla przedszkoli publicznych i niepublicznych</t>
  </si>
  <si>
    <t>dotacje dla gimnazjów publicznych i niepublicznych</t>
  </si>
  <si>
    <t>Dowożenie uczniów do szkół</t>
  </si>
  <si>
    <t>dowożenie uczniów do szkół</t>
  </si>
  <si>
    <t xml:space="preserve">dotacje dla publicznych i niepublicznych liceów </t>
  </si>
  <si>
    <t>dotacje dla publicznych liceów profilowanych</t>
  </si>
  <si>
    <t xml:space="preserve">Szkoły zawodowe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</si>
</sst>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_ ;\-#,##0\ "/>
    <numFmt numFmtId="167" formatCode="#,##0;[Red]#,##0"/>
    <numFmt numFmtId="168" formatCode="#,##0.0"/>
    <numFmt numFmtId="169" formatCode="###0"/>
    <numFmt numFmtId="170" formatCode="0.0"/>
    <numFmt numFmtId="171" formatCode="0.000%"/>
    <numFmt numFmtId="172" formatCode="00\-000"/>
    <numFmt numFmtId="173" formatCode="#,##0;&quot;-&quot;#,##0"/>
    <numFmt numFmtId="174" formatCode="#,##0;[Red]&quot;-&quot;#,##0"/>
    <numFmt numFmtId="175" formatCode="#,##0.00;&quot;-&quot;#,##0.00"/>
    <numFmt numFmtId="176" formatCode="#,##0.00;[Red]&quot;-&quot;#,##0.00"/>
    <numFmt numFmtId="177" formatCode="h:m"/>
    <numFmt numFmtId="178" formatCode="\ h\ h:m"/>
  </numFmts>
  <fonts count="2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i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i/>
      <sz val="13"/>
      <name val="Arial CE"/>
      <family val="2"/>
    </font>
    <font>
      <b/>
      <i/>
      <sz val="11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</fonts>
  <fills count="9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</fills>
  <borders count="13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ashDotDot"/>
      <bottom style="dotted"/>
    </border>
    <border>
      <left style="thin"/>
      <right style="thin"/>
      <top style="dotted"/>
      <bottom style="dashDotDot"/>
    </border>
    <border>
      <left style="thin"/>
      <right style="thin"/>
      <top>
        <color indexed="63"/>
      </top>
      <bottom style="dashDot"/>
    </border>
    <border>
      <left style="double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uble"/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Alignment="0"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42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3" fontId="0" fillId="3" borderId="3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3" fontId="1" fillId="3" borderId="5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3" borderId="7" xfId="0" applyFont="1" applyFill="1" applyBorder="1" applyAlignment="1">
      <alignment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3" fontId="0" fillId="3" borderId="5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1" fontId="0" fillId="0" borderId="7" xfId="0" applyNumberFormat="1" applyFont="1" applyBorder="1" applyAlignment="1">
      <alignment/>
    </xf>
    <xf numFmtId="3" fontId="0" fillId="0" borderId="3" xfId="0" applyNumberFormat="1" applyFont="1" applyBorder="1" applyAlignment="1">
      <alignment wrapText="1"/>
    </xf>
    <xf numFmtId="1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1" fillId="3" borderId="3" xfId="0" applyNumberFormat="1" applyFont="1" applyFill="1" applyBorder="1" applyAlignment="1">
      <alignment horizontal="right" wrapText="1"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" fontId="0" fillId="3" borderId="5" xfId="0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 quotePrefix="1">
      <alignment horizontal="right"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0" fontId="0" fillId="3" borderId="3" xfId="0" applyNumberFormat="1" applyFont="1" applyFill="1" applyBorder="1" applyAlignment="1">
      <alignment horizontal="right" wrapText="1"/>
    </xf>
    <xf numFmtId="0" fontId="1" fillId="3" borderId="7" xfId="0" applyFont="1" applyFill="1" applyBorder="1" applyAlignment="1">
      <alignment wrapText="1"/>
    </xf>
    <xf numFmtId="0" fontId="4" fillId="3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3" borderId="2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3" fontId="1" fillId="3" borderId="2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/>
    </xf>
    <xf numFmtId="3" fontId="1" fillId="3" borderId="5" xfId="0" applyNumberFormat="1" applyFont="1" applyFill="1" applyBorder="1" applyAlignment="1">
      <alignment/>
    </xf>
    <xf numFmtId="3" fontId="1" fillId="4" borderId="5" xfId="0" applyNumberFormat="1" applyFont="1" applyFill="1" applyBorder="1" applyAlignment="1">
      <alignment horizontal="right" wrapText="1"/>
    </xf>
    <xf numFmtId="3" fontId="0" fillId="3" borderId="10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3" borderId="2" xfId="0" applyFont="1" applyFill="1" applyBorder="1" applyAlignment="1" quotePrefix="1">
      <alignment horizontal="right"/>
    </xf>
    <xf numFmtId="0" fontId="1" fillId="4" borderId="6" xfId="0" applyFont="1" applyFill="1" applyBorder="1" applyAlignment="1">
      <alignment/>
    </xf>
    <xf numFmtId="3" fontId="1" fillId="3" borderId="6" xfId="0" applyNumberFormat="1" applyFont="1" applyFill="1" applyBorder="1" applyAlignment="1">
      <alignment horizontal="right"/>
    </xf>
    <xf numFmtId="0" fontId="0" fillId="3" borderId="5" xfId="0" applyFont="1" applyFill="1" applyBorder="1" applyAlignment="1" quotePrefix="1">
      <alignment horizontal="right"/>
    </xf>
    <xf numFmtId="0" fontId="0" fillId="3" borderId="6" xfId="0" applyFont="1" applyFill="1" applyBorder="1" applyAlignment="1" quotePrefix="1">
      <alignment horizontal="right"/>
    </xf>
    <xf numFmtId="0" fontId="0" fillId="3" borderId="7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3" fontId="1" fillId="3" borderId="5" xfId="0" applyNumberFormat="1" applyFont="1" applyFill="1" applyBorder="1" applyAlignment="1">
      <alignment horizontal="right" wrapText="1"/>
    </xf>
    <xf numFmtId="10" fontId="0" fillId="3" borderId="1" xfId="0" applyNumberFormat="1" applyFont="1" applyFill="1" applyBorder="1" applyAlignment="1">
      <alignment horizontal="right" wrapText="1"/>
    </xf>
    <xf numFmtId="10" fontId="0" fillId="3" borderId="2" xfId="0" applyNumberFormat="1" applyFont="1" applyFill="1" applyBorder="1" applyAlignment="1">
      <alignment horizontal="right"/>
    </xf>
    <xf numFmtId="10" fontId="0" fillId="3" borderId="5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 wrapText="1"/>
    </xf>
    <xf numFmtId="3" fontId="0" fillId="3" borderId="11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14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 wrapText="1"/>
    </xf>
    <xf numFmtId="3" fontId="0" fillId="3" borderId="14" xfId="0" applyNumberFormat="1" applyFont="1" applyFill="1" applyBorder="1" applyAlignment="1">
      <alignment horizontal="right" wrapText="1"/>
    </xf>
    <xf numFmtId="3" fontId="0" fillId="3" borderId="6" xfId="0" applyNumberFormat="1" applyFont="1" applyFill="1" applyBorder="1" applyAlignment="1">
      <alignment horizontal="right"/>
    </xf>
    <xf numFmtId="3" fontId="0" fillId="3" borderId="15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3" borderId="17" xfId="0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right"/>
    </xf>
    <xf numFmtId="0" fontId="1" fillId="3" borderId="19" xfId="0" applyFont="1" applyFill="1" applyBorder="1" applyAlignment="1">
      <alignment/>
    </xf>
    <xf numFmtId="3" fontId="1" fillId="3" borderId="20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3" fontId="4" fillId="3" borderId="21" xfId="0" applyNumberFormat="1" applyFont="1" applyFill="1" applyBorder="1" applyAlignment="1">
      <alignment/>
    </xf>
    <xf numFmtId="3" fontId="1" fillId="3" borderId="22" xfId="0" applyNumberFormat="1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right"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 quotePrefix="1">
      <alignment horizontal="right"/>
    </xf>
    <xf numFmtId="3" fontId="1" fillId="3" borderId="10" xfId="0" applyNumberFormat="1" applyFont="1" applyFill="1" applyBorder="1" applyAlignment="1">
      <alignment horizontal="right"/>
    </xf>
    <xf numFmtId="10" fontId="1" fillId="3" borderId="2" xfId="0" applyNumberFormat="1" applyFont="1" applyFill="1" applyBorder="1" applyAlignment="1">
      <alignment horizontal="right" wrapText="1"/>
    </xf>
    <xf numFmtId="10" fontId="1" fillId="3" borderId="5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right" wrapText="1"/>
    </xf>
    <xf numFmtId="10" fontId="1" fillId="3" borderId="5" xfId="0" applyNumberFormat="1" applyFont="1" applyFill="1" applyBorder="1" applyAlignment="1">
      <alignment horizontal="right" wrapText="1"/>
    </xf>
    <xf numFmtId="3" fontId="0" fillId="3" borderId="10" xfId="0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/>
    </xf>
    <xf numFmtId="3" fontId="0" fillId="3" borderId="11" xfId="0" applyNumberFormat="1" applyFont="1" applyFill="1" applyBorder="1" applyAlignment="1">
      <alignment horizontal="right"/>
    </xf>
    <xf numFmtId="3" fontId="0" fillId="3" borderId="23" xfId="0" applyNumberFormat="1" applyFont="1" applyFill="1" applyBorder="1" applyAlignment="1">
      <alignment horizontal="right"/>
    </xf>
    <xf numFmtId="3" fontId="0" fillId="3" borderId="24" xfId="0" applyNumberFormat="1" applyFont="1" applyFill="1" applyBorder="1" applyAlignment="1">
      <alignment horizontal="right" wrapText="1"/>
    </xf>
    <xf numFmtId="3" fontId="0" fillId="3" borderId="23" xfId="0" applyNumberFormat="1" applyFont="1" applyFill="1" applyBorder="1" applyAlignment="1">
      <alignment horizontal="right" wrapText="1"/>
    </xf>
    <xf numFmtId="10" fontId="0" fillId="3" borderId="23" xfId="0" applyNumberFormat="1" applyFont="1" applyFill="1" applyBorder="1" applyAlignment="1">
      <alignment horizontal="right" wrapText="1"/>
    </xf>
    <xf numFmtId="0" fontId="0" fillId="3" borderId="6" xfId="0" applyFont="1" applyFill="1" applyBorder="1" applyAlignment="1">
      <alignment horizontal="right" wrapText="1"/>
    </xf>
    <xf numFmtId="3" fontId="0" fillId="4" borderId="24" xfId="0" applyNumberFormat="1" applyFont="1" applyFill="1" applyBorder="1" applyAlignment="1">
      <alignment horizontal="right" wrapText="1"/>
    </xf>
    <xf numFmtId="0" fontId="0" fillId="0" borderId="8" xfId="0" applyFont="1" applyBorder="1" applyAlignment="1">
      <alignment/>
    </xf>
    <xf numFmtId="10" fontId="0" fillId="3" borderId="23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 wrapText="1"/>
    </xf>
    <xf numFmtId="10" fontId="0" fillId="3" borderId="4" xfId="0" applyNumberFormat="1" applyFont="1" applyFill="1" applyBorder="1" applyAlignment="1">
      <alignment horizontal="right" wrapText="1"/>
    </xf>
    <xf numFmtId="3" fontId="0" fillId="3" borderId="12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10" fontId="1" fillId="2" borderId="5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 horizontal="left" wrapText="1"/>
    </xf>
    <xf numFmtId="3" fontId="1" fillId="3" borderId="9" xfId="0" applyNumberFormat="1" applyFont="1" applyFill="1" applyBorder="1" applyAlignment="1">
      <alignment horizontal="right" wrapText="1"/>
    </xf>
    <xf numFmtId="3" fontId="0" fillId="3" borderId="11" xfId="0" applyNumberFormat="1" applyFont="1" applyFill="1" applyBorder="1" applyAlignment="1">
      <alignment horizontal="right" wrapText="1"/>
    </xf>
    <xf numFmtId="10" fontId="0" fillId="3" borderId="3" xfId="0" applyNumberFormat="1" applyFont="1" applyFill="1" applyBorder="1" applyAlignment="1">
      <alignment horizontal="right"/>
    </xf>
    <xf numFmtId="3" fontId="0" fillId="3" borderId="15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 wrapText="1"/>
    </xf>
    <xf numFmtId="3" fontId="0" fillId="3" borderId="24" xfId="0" applyNumberFormat="1" applyFont="1" applyFill="1" applyBorder="1" applyAlignment="1">
      <alignment wrapText="1"/>
    </xf>
    <xf numFmtId="10" fontId="0" fillId="3" borderId="4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wrapText="1"/>
    </xf>
    <xf numFmtId="3" fontId="1" fillId="3" borderId="10" xfId="0" applyNumberFormat="1" applyFont="1" applyFill="1" applyBorder="1" applyAlignment="1">
      <alignment horizontal="right" wrapText="1"/>
    </xf>
    <xf numFmtId="10" fontId="1" fillId="2" borderId="2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/>
    </xf>
    <xf numFmtId="10" fontId="1" fillId="3" borderId="2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10" fontId="0" fillId="3" borderId="5" xfId="0" applyNumberFormat="1" applyFont="1" applyFill="1" applyBorder="1" applyAlignment="1">
      <alignment horizontal="right" wrapText="1"/>
    </xf>
    <xf numFmtId="10" fontId="0" fillId="3" borderId="14" xfId="0" applyNumberFormat="1" applyFont="1" applyFill="1" applyBorder="1" applyAlignment="1">
      <alignment horizontal="right"/>
    </xf>
    <xf numFmtId="3" fontId="0" fillId="3" borderId="23" xfId="0" applyNumberFormat="1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3" borderId="24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 wrapText="1"/>
    </xf>
    <xf numFmtId="3" fontId="0" fillId="3" borderId="2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10" fontId="1" fillId="2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/>
    </xf>
    <xf numFmtId="3" fontId="1" fillId="4" borderId="10" xfId="0" applyNumberFormat="1" applyFont="1" applyFill="1" applyBorder="1" applyAlignment="1">
      <alignment horizontal="right" wrapText="1"/>
    </xf>
    <xf numFmtId="3" fontId="0" fillId="4" borderId="4" xfId="0" applyNumberFormat="1" applyFont="1" applyFill="1" applyBorder="1" applyAlignment="1">
      <alignment horizontal="right" wrapText="1"/>
    </xf>
    <xf numFmtId="3" fontId="0" fillId="4" borderId="23" xfId="0" applyNumberFormat="1" applyFont="1" applyFill="1" applyBorder="1" applyAlignment="1">
      <alignment horizontal="right" wrapText="1"/>
    </xf>
    <xf numFmtId="0" fontId="0" fillId="4" borderId="5" xfId="0" applyFont="1" applyFill="1" applyBorder="1" applyAlignment="1">
      <alignment/>
    </xf>
    <xf numFmtId="3" fontId="0" fillId="4" borderId="5" xfId="0" applyNumberFormat="1" applyFont="1" applyFill="1" applyBorder="1" applyAlignment="1">
      <alignment horizontal="right" wrapText="1"/>
    </xf>
    <xf numFmtId="3" fontId="0" fillId="3" borderId="14" xfId="0" applyNumberFormat="1" applyFont="1" applyFill="1" applyBorder="1" applyAlignment="1">
      <alignment wrapText="1"/>
    </xf>
    <xf numFmtId="10" fontId="1" fillId="3" borderId="22" xfId="0" applyNumberFormat="1" applyFont="1" applyFill="1" applyBorder="1" applyAlignment="1">
      <alignment horizontal="right"/>
    </xf>
    <xf numFmtId="10" fontId="1" fillId="3" borderId="22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0" fillId="0" borderId="2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0" fillId="5" borderId="10" xfId="0" applyNumberFormat="1" applyFont="1" applyFill="1" applyBorder="1" applyAlignment="1">
      <alignment horizontal="right" wrapText="1"/>
    </xf>
    <xf numFmtId="10" fontId="1" fillId="0" borderId="2" xfId="0" applyNumberFormat="1" applyFont="1" applyBorder="1" applyAlignment="1">
      <alignment wrapText="1"/>
    </xf>
    <xf numFmtId="0" fontId="1" fillId="0" borderId="5" xfId="0" applyFont="1" applyBorder="1" applyAlignment="1">
      <alignment horizontal="right"/>
    </xf>
    <xf numFmtId="0" fontId="1" fillId="0" borderId="26" xfId="0" applyFont="1" applyBorder="1" applyAlignment="1">
      <alignment horizontal="left" wrapText="1"/>
    </xf>
    <xf numFmtId="3" fontId="1" fillId="0" borderId="22" xfId="0" applyNumberFormat="1" applyFont="1" applyBorder="1" applyAlignment="1">
      <alignment horizontal="right" wrapText="1"/>
    </xf>
    <xf numFmtId="10" fontId="1" fillId="2" borderId="5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2" xfId="0" applyFont="1" applyFill="1" applyBorder="1" applyAlignment="1" quotePrefix="1">
      <alignment horizontal="right"/>
    </xf>
    <xf numFmtId="10" fontId="1" fillId="3" borderId="8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10" fontId="1" fillId="3" borderId="5" xfId="0" applyNumberFormat="1" applyFont="1" applyFill="1" applyBorder="1" applyAlignment="1">
      <alignment/>
    </xf>
    <xf numFmtId="10" fontId="0" fillId="3" borderId="5" xfId="0" applyNumberFormat="1" applyFont="1" applyFill="1" applyBorder="1" applyAlignment="1">
      <alignment/>
    </xf>
    <xf numFmtId="0" fontId="1" fillId="6" borderId="7" xfId="0" applyFont="1" applyFill="1" applyBorder="1" applyAlignment="1">
      <alignment horizontal="right" wrapText="1"/>
    </xf>
    <xf numFmtId="0" fontId="1" fillId="6" borderId="2" xfId="0" applyFont="1" applyFill="1" applyBorder="1" applyAlignment="1">
      <alignment wrapText="1"/>
    </xf>
    <xf numFmtId="3" fontId="1" fillId="6" borderId="2" xfId="0" applyNumberFormat="1" applyFont="1" applyFill="1" applyBorder="1" applyAlignment="1">
      <alignment horizontal="right" wrapText="1"/>
    </xf>
    <xf numFmtId="0" fontId="1" fillId="6" borderId="6" xfId="0" applyFont="1" applyFill="1" applyBorder="1" applyAlignment="1">
      <alignment horizontal="right" wrapText="1"/>
    </xf>
    <xf numFmtId="0" fontId="1" fillId="6" borderId="6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10" fontId="1" fillId="3" borderId="2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/>
    </xf>
    <xf numFmtId="10" fontId="0" fillId="3" borderId="23" xfId="0" applyNumberFormat="1" applyFont="1" applyFill="1" applyBorder="1" applyAlignment="1">
      <alignment/>
    </xf>
    <xf numFmtId="10" fontId="1" fillId="0" borderId="5" xfId="0" applyNumberFormat="1" applyFont="1" applyBorder="1" applyAlignment="1">
      <alignment wrapText="1"/>
    </xf>
    <xf numFmtId="3" fontId="1" fillId="3" borderId="22" xfId="0" applyNumberFormat="1" applyFont="1" applyFill="1" applyBorder="1" applyAlignment="1">
      <alignment horizontal="right" wrapText="1"/>
    </xf>
    <xf numFmtId="3" fontId="1" fillId="3" borderId="22" xfId="0" applyNumberFormat="1" applyFont="1" applyFill="1" applyBorder="1" applyAlignment="1">
      <alignment/>
    </xf>
    <xf numFmtId="10" fontId="1" fillId="3" borderId="22" xfId="0" applyNumberFormat="1" applyFont="1" applyFill="1" applyBorder="1" applyAlignment="1">
      <alignment/>
    </xf>
    <xf numFmtId="3" fontId="1" fillId="3" borderId="26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3" fontId="1" fillId="0" borderId="6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wrapText="1"/>
    </xf>
    <xf numFmtId="1" fontId="1" fillId="3" borderId="5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wrapText="1"/>
    </xf>
    <xf numFmtId="49" fontId="1" fillId="0" borderId="5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10" fontId="1" fillId="0" borderId="22" xfId="0" applyNumberFormat="1" applyFont="1" applyBorder="1" applyAlignment="1">
      <alignment wrapText="1"/>
    </xf>
    <xf numFmtId="49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wrapText="1"/>
    </xf>
    <xf numFmtId="10" fontId="1" fillId="2" borderId="2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7" xfId="0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10" fontId="1" fillId="3" borderId="0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10" fontId="0" fillId="3" borderId="1" xfId="0" applyNumberFormat="1" applyFont="1" applyFill="1" applyBorder="1" applyAlignment="1">
      <alignment horizontal="right"/>
    </xf>
    <xf numFmtId="10" fontId="0" fillId="3" borderId="27" xfId="0" applyNumberFormat="1" applyFont="1" applyFill="1" applyBorder="1" applyAlignment="1">
      <alignment horizontal="right"/>
    </xf>
    <xf numFmtId="10" fontId="0" fillId="3" borderId="8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1" fontId="1" fillId="0" borderId="2" xfId="0" applyNumberFormat="1" applyFont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3" fontId="5" fillId="3" borderId="30" xfId="0" applyNumberFormat="1" applyFont="1" applyFill="1" applyBorder="1" applyAlignment="1">
      <alignment horizontal="center" vertical="center"/>
    </xf>
    <xf numFmtId="3" fontId="1" fillId="3" borderId="31" xfId="0" applyNumberFormat="1" applyFont="1" applyFill="1" applyBorder="1" applyAlignment="1">
      <alignment horizontal="right"/>
    </xf>
    <xf numFmtId="3" fontId="4" fillId="3" borderId="32" xfId="0" applyNumberFormat="1" applyFont="1" applyFill="1" applyBorder="1" applyAlignment="1">
      <alignment horizontal="right"/>
    </xf>
    <xf numFmtId="3" fontId="1" fillId="3" borderId="26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 wrapText="1"/>
    </xf>
    <xf numFmtId="10" fontId="1" fillId="3" borderId="1" xfId="0" applyNumberFormat="1" applyFont="1" applyFill="1" applyBorder="1" applyAlignment="1">
      <alignment horizontal="right"/>
    </xf>
    <xf numFmtId="10" fontId="0" fillId="3" borderId="27" xfId="0" applyNumberFormat="1" applyFont="1" applyFill="1" applyBorder="1" applyAlignment="1">
      <alignment horizontal="right" wrapText="1"/>
    </xf>
    <xf numFmtId="10" fontId="1" fillId="3" borderId="1" xfId="0" applyNumberFormat="1" applyFont="1" applyFill="1" applyBorder="1" applyAlignment="1">
      <alignment horizontal="right" wrapText="1"/>
    </xf>
    <xf numFmtId="10" fontId="1" fillId="3" borderId="27" xfId="0" applyNumberFormat="1" applyFont="1" applyFill="1" applyBorder="1" applyAlignment="1">
      <alignment horizontal="right" wrapText="1"/>
    </xf>
    <xf numFmtId="10" fontId="1" fillId="3" borderId="33" xfId="0" applyNumberFormat="1" applyFont="1" applyFill="1" applyBorder="1" applyAlignment="1">
      <alignment horizontal="right" wrapText="1"/>
    </xf>
    <xf numFmtId="10" fontId="1" fillId="3" borderId="34" xfId="0" applyNumberFormat="1" applyFont="1" applyFill="1" applyBorder="1" applyAlignment="1">
      <alignment horizontal="right" wrapText="1"/>
    </xf>
    <xf numFmtId="10" fontId="0" fillId="3" borderId="35" xfId="0" applyNumberFormat="1" applyFont="1" applyFill="1" applyBorder="1" applyAlignment="1">
      <alignment horizontal="right" wrapText="1"/>
    </xf>
    <xf numFmtId="10" fontId="0" fillId="3" borderId="34" xfId="0" applyNumberFormat="1" applyFont="1" applyFill="1" applyBorder="1" applyAlignment="1">
      <alignment horizontal="right" wrapText="1"/>
    </xf>
    <xf numFmtId="10" fontId="0" fillId="3" borderId="34" xfId="0" applyNumberFormat="1" applyFont="1" applyFill="1" applyBorder="1" applyAlignment="1">
      <alignment horizontal="right"/>
    </xf>
    <xf numFmtId="10" fontId="1" fillId="2" borderId="27" xfId="0" applyNumberFormat="1" applyFont="1" applyFill="1" applyBorder="1" applyAlignment="1">
      <alignment horizontal="right"/>
    </xf>
    <xf numFmtId="10" fontId="0" fillId="3" borderId="8" xfId="0" applyNumberFormat="1" applyFont="1" applyFill="1" applyBorder="1" applyAlignment="1">
      <alignment horizontal="right" wrapText="1"/>
    </xf>
    <xf numFmtId="10" fontId="1" fillId="3" borderId="8" xfId="0" applyNumberFormat="1" applyFont="1" applyFill="1" applyBorder="1" applyAlignment="1">
      <alignment horizontal="right" wrapText="1"/>
    </xf>
    <xf numFmtId="10" fontId="1" fillId="2" borderId="27" xfId="0" applyNumberFormat="1" applyFont="1" applyFill="1" applyBorder="1" applyAlignment="1">
      <alignment horizontal="right" wrapText="1"/>
    </xf>
    <xf numFmtId="10" fontId="1" fillId="3" borderId="27" xfId="0" applyNumberFormat="1" applyFont="1" applyFill="1" applyBorder="1" applyAlignment="1">
      <alignment horizontal="right"/>
    </xf>
    <xf numFmtId="10" fontId="0" fillId="3" borderId="29" xfId="0" applyNumberFormat="1" applyFont="1" applyFill="1" applyBorder="1" applyAlignment="1">
      <alignment horizontal="right"/>
    </xf>
    <xf numFmtId="10" fontId="0" fillId="3" borderId="33" xfId="0" applyNumberFormat="1" applyFont="1" applyFill="1" applyBorder="1" applyAlignment="1">
      <alignment horizontal="right"/>
    </xf>
    <xf numFmtId="10" fontId="0" fillId="3" borderId="35" xfId="0" applyNumberFormat="1" applyFont="1" applyFill="1" applyBorder="1" applyAlignment="1">
      <alignment horizontal="right"/>
    </xf>
    <xf numFmtId="10" fontId="0" fillId="3" borderId="33" xfId="0" applyNumberFormat="1" applyFont="1" applyFill="1" applyBorder="1" applyAlignment="1">
      <alignment horizontal="right" wrapText="1"/>
    </xf>
    <xf numFmtId="10" fontId="0" fillId="3" borderId="36" xfId="0" applyNumberFormat="1" applyFont="1" applyFill="1" applyBorder="1" applyAlignment="1">
      <alignment horizontal="right"/>
    </xf>
    <xf numFmtId="10" fontId="1" fillId="2" borderId="27" xfId="0" applyNumberFormat="1" applyFont="1" applyFill="1" applyBorder="1" applyAlignment="1">
      <alignment/>
    </xf>
    <xf numFmtId="10" fontId="0" fillId="3" borderId="8" xfId="0" applyNumberFormat="1" applyFont="1" applyFill="1" applyBorder="1" applyAlignment="1">
      <alignment/>
    </xf>
    <xf numFmtId="10" fontId="0" fillId="3" borderId="1" xfId="0" applyNumberFormat="1" applyFont="1" applyFill="1" applyBorder="1" applyAlignment="1">
      <alignment/>
    </xf>
    <xf numFmtId="10" fontId="0" fillId="3" borderId="37" xfId="0" applyNumberFormat="1" applyFont="1" applyFill="1" applyBorder="1" applyAlignment="1">
      <alignment horizontal="right" wrapText="1"/>
    </xf>
    <xf numFmtId="10" fontId="0" fillId="3" borderId="28" xfId="0" applyNumberFormat="1" applyFont="1" applyFill="1" applyBorder="1" applyAlignment="1">
      <alignment horizontal="right"/>
    </xf>
    <xf numFmtId="10" fontId="0" fillId="3" borderId="28" xfId="0" applyNumberFormat="1" applyFont="1" applyFill="1" applyBorder="1" applyAlignment="1">
      <alignment horizontal="right" wrapText="1"/>
    </xf>
    <xf numFmtId="10" fontId="1" fillId="3" borderId="26" xfId="0" applyNumberFormat="1" applyFont="1" applyFill="1" applyBorder="1" applyAlignment="1">
      <alignment horizontal="right" wrapText="1"/>
    </xf>
    <xf numFmtId="10" fontId="0" fillId="3" borderId="26" xfId="0" applyNumberFormat="1" applyFont="1" applyFill="1" applyBorder="1" applyAlignment="1">
      <alignment horizontal="right" wrapText="1"/>
    </xf>
    <xf numFmtId="0" fontId="0" fillId="0" borderId="8" xfId="0" applyFont="1" applyBorder="1" applyAlignment="1">
      <alignment wrapText="1"/>
    </xf>
    <xf numFmtId="10" fontId="0" fillId="3" borderId="26" xfId="0" applyNumberFormat="1" applyFont="1" applyFill="1" applyBorder="1" applyAlignment="1">
      <alignment horizontal="right"/>
    </xf>
    <xf numFmtId="10" fontId="0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10" fontId="1" fillId="3" borderId="32" xfId="0" applyNumberFormat="1" applyFont="1" applyFill="1" applyBorder="1" applyAlignment="1">
      <alignment horizontal="right"/>
    </xf>
    <xf numFmtId="10" fontId="1" fillId="3" borderId="26" xfId="0" applyNumberFormat="1" applyFont="1" applyFill="1" applyBorder="1" applyAlignment="1">
      <alignment horizontal="right"/>
    </xf>
    <xf numFmtId="10" fontId="1" fillId="3" borderId="33" xfId="0" applyNumberFormat="1" applyFont="1" applyFill="1" applyBorder="1" applyAlignment="1">
      <alignment/>
    </xf>
    <xf numFmtId="10" fontId="0" fillId="3" borderId="13" xfId="0" applyNumberFormat="1" applyFont="1" applyFill="1" applyBorder="1" applyAlignment="1">
      <alignment/>
    </xf>
    <xf numFmtId="10" fontId="1" fillId="3" borderId="29" xfId="0" applyNumberFormat="1" applyFont="1" applyFill="1" applyBorder="1" applyAlignment="1">
      <alignment horizontal="right" wrapText="1"/>
    </xf>
    <xf numFmtId="10" fontId="0" fillId="3" borderId="29" xfId="0" applyNumberFormat="1" applyFont="1" applyFill="1" applyBorder="1" applyAlignment="1">
      <alignment/>
    </xf>
    <xf numFmtId="10" fontId="0" fillId="3" borderId="36" xfId="0" applyNumberFormat="1" applyFon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10" fontId="1" fillId="6" borderId="1" xfId="0" applyNumberFormat="1" applyFont="1" applyFill="1" applyBorder="1" applyAlignment="1">
      <alignment horizontal="right" wrapText="1"/>
    </xf>
    <xf numFmtId="10" fontId="1" fillId="3" borderId="13" xfId="0" applyNumberFormat="1" applyFont="1" applyFill="1" applyBorder="1" applyAlignment="1">
      <alignment horizontal="right" wrapText="1"/>
    </xf>
    <xf numFmtId="10" fontId="0" fillId="3" borderId="34" xfId="0" applyNumberFormat="1" applyFont="1" applyFill="1" applyBorder="1" applyAlignment="1">
      <alignment/>
    </xf>
    <xf numFmtId="10" fontId="0" fillId="3" borderId="35" xfId="0" applyNumberFormat="1" applyFont="1" applyFill="1" applyBorder="1" applyAlignment="1">
      <alignment/>
    </xf>
    <xf numFmtId="10" fontId="0" fillId="3" borderId="33" xfId="0" applyNumberFormat="1" applyFont="1" applyFill="1" applyBorder="1" applyAlignment="1">
      <alignment/>
    </xf>
    <xf numFmtId="10" fontId="1" fillId="3" borderId="8" xfId="0" applyNumberFormat="1" applyFont="1" applyFill="1" applyBorder="1" applyAlignment="1">
      <alignment/>
    </xf>
    <xf numFmtId="10" fontId="1" fillId="3" borderId="13" xfId="0" applyNumberFormat="1" applyFont="1" applyFill="1" applyBorder="1" applyAlignment="1">
      <alignment/>
    </xf>
    <xf numFmtId="10" fontId="0" fillId="3" borderId="38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3" fontId="1" fillId="0" borderId="27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1" fillId="3" borderId="27" xfId="0" applyNumberFormat="1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8" xfId="0" applyFont="1" applyBorder="1" applyAlignment="1">
      <alignment/>
    </xf>
    <xf numFmtId="3" fontId="0" fillId="0" borderId="0" xfId="0" applyNumberFormat="1" applyFont="1" applyBorder="1" applyAlignment="1">
      <alignment/>
    </xf>
    <xf numFmtId="10" fontId="1" fillId="4" borderId="0" xfId="0" applyNumberFormat="1" applyFont="1" applyFill="1" applyBorder="1" applyAlignment="1">
      <alignment horizontal="right" wrapText="1"/>
    </xf>
    <xf numFmtId="0" fontId="0" fillId="6" borderId="8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10" fontId="1" fillId="3" borderId="6" xfId="0" applyNumberFormat="1" applyFont="1" applyFill="1" applyBorder="1" applyAlignment="1">
      <alignment horizontal="right" wrapText="1"/>
    </xf>
    <xf numFmtId="3" fontId="0" fillId="3" borderId="15" xfId="0" applyNumberFormat="1" applyFont="1" applyFill="1" applyBorder="1" applyAlignment="1">
      <alignment/>
    </xf>
    <xf numFmtId="3" fontId="0" fillId="0" borderId="6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49" fontId="0" fillId="0" borderId="7" xfId="0" applyNumberFormat="1" applyFont="1" applyBorder="1" applyAlignment="1">
      <alignment/>
    </xf>
    <xf numFmtId="3" fontId="0" fillId="0" borderId="39" xfId="0" applyNumberFormat="1" applyFont="1" applyBorder="1" applyAlignment="1">
      <alignment wrapText="1"/>
    </xf>
    <xf numFmtId="3" fontId="1" fillId="0" borderId="6" xfId="0" applyNumberFormat="1" applyFont="1" applyBorder="1" applyAlignment="1">
      <alignment/>
    </xf>
    <xf numFmtId="3" fontId="0" fillId="3" borderId="15" xfId="0" applyNumberFormat="1" applyFont="1" applyFill="1" applyBorder="1" applyAlignment="1">
      <alignment wrapText="1"/>
    </xf>
    <xf numFmtId="10" fontId="0" fillId="3" borderId="7" xfId="0" applyNumberFormat="1" applyFont="1" applyFill="1" applyBorder="1" applyAlignment="1">
      <alignment horizontal="right"/>
    </xf>
    <xf numFmtId="10" fontId="0" fillId="3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10" fontId="1" fillId="3" borderId="40" xfId="0" applyNumberFormat="1" applyFont="1" applyFill="1" applyBorder="1" applyAlignment="1">
      <alignment horizontal="right"/>
    </xf>
    <xf numFmtId="10" fontId="0" fillId="3" borderId="15" xfId="0" applyNumberFormat="1" applyFont="1" applyFill="1" applyBorder="1" applyAlignment="1">
      <alignment horizontal="right"/>
    </xf>
    <xf numFmtId="10" fontId="4" fillId="3" borderId="41" xfId="0" applyNumberFormat="1" applyFont="1" applyFill="1" applyBorder="1" applyAlignment="1">
      <alignment/>
    </xf>
    <xf numFmtId="10" fontId="1" fillId="2" borderId="10" xfId="0" applyNumberFormat="1" applyFont="1" applyFill="1" applyBorder="1" applyAlignment="1">
      <alignment horizontal="right" wrapText="1"/>
    </xf>
    <xf numFmtId="10" fontId="1" fillId="3" borderId="10" xfId="0" applyNumberFormat="1" applyFont="1" applyFill="1" applyBorder="1" applyAlignment="1">
      <alignment horizontal="right"/>
    </xf>
    <xf numFmtId="10" fontId="0" fillId="3" borderId="9" xfId="0" applyNumberFormat="1" applyFont="1" applyFill="1" applyBorder="1" applyAlignment="1">
      <alignment horizontal="right" wrapText="1"/>
    </xf>
    <xf numFmtId="10" fontId="0" fillId="3" borderId="10" xfId="0" applyNumberFormat="1" applyFont="1" applyFill="1" applyBorder="1" applyAlignment="1">
      <alignment horizontal="right" wrapText="1"/>
    </xf>
    <xf numFmtId="10" fontId="0" fillId="3" borderId="11" xfId="0" applyNumberFormat="1" applyFont="1" applyFill="1" applyBorder="1" applyAlignment="1">
      <alignment horizontal="right"/>
    </xf>
    <xf numFmtId="10" fontId="0" fillId="3" borderId="24" xfId="0" applyNumberFormat="1" applyFont="1" applyFill="1" applyBorder="1" applyAlignment="1">
      <alignment horizontal="right" wrapText="1"/>
    </xf>
    <xf numFmtId="10" fontId="0" fillId="3" borderId="25" xfId="0" applyNumberFormat="1" applyFont="1" applyFill="1" applyBorder="1" applyAlignment="1">
      <alignment horizontal="right"/>
    </xf>
    <xf numFmtId="10" fontId="0" fillId="3" borderId="12" xfId="0" applyNumberFormat="1" applyFont="1" applyFill="1" applyBorder="1" applyAlignment="1">
      <alignment horizontal="right" wrapText="1"/>
    </xf>
    <xf numFmtId="10" fontId="0" fillId="3" borderId="12" xfId="0" applyNumberFormat="1" applyFont="1" applyFill="1" applyBorder="1" applyAlignment="1">
      <alignment horizontal="right"/>
    </xf>
    <xf numFmtId="10" fontId="1" fillId="2" borderId="9" xfId="0" applyNumberFormat="1" applyFont="1" applyFill="1" applyBorder="1" applyAlignment="1">
      <alignment horizontal="right" wrapText="1"/>
    </xf>
    <xf numFmtId="10" fontId="1" fillId="3" borderId="10" xfId="0" applyNumberFormat="1" applyFont="1" applyFill="1" applyBorder="1" applyAlignment="1">
      <alignment horizontal="right" wrapText="1"/>
    </xf>
    <xf numFmtId="10" fontId="0" fillId="3" borderId="11" xfId="0" applyNumberFormat="1" applyFont="1" applyFill="1" applyBorder="1" applyAlignment="1">
      <alignment horizontal="right" wrapText="1"/>
    </xf>
    <xf numFmtId="10" fontId="0" fillId="3" borderId="15" xfId="0" applyNumberFormat="1" applyFont="1" applyFill="1" applyBorder="1" applyAlignment="1">
      <alignment horizontal="right" wrapText="1"/>
    </xf>
    <xf numFmtId="10" fontId="0" fillId="3" borderId="24" xfId="0" applyNumberFormat="1" applyFont="1" applyFill="1" applyBorder="1" applyAlignment="1">
      <alignment wrapText="1"/>
    </xf>
    <xf numFmtId="10" fontId="0" fillId="3" borderId="15" xfId="0" applyNumberFormat="1" applyFont="1" applyFill="1" applyBorder="1" applyAlignment="1">
      <alignment wrapText="1"/>
    </xf>
    <xf numFmtId="10" fontId="0" fillId="3" borderId="10" xfId="0" applyNumberFormat="1" applyFont="1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24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1" fillId="3" borderId="10" xfId="0" applyNumberFormat="1" applyFont="1" applyFill="1" applyBorder="1" applyAlignment="1">
      <alignment/>
    </xf>
    <xf numFmtId="10" fontId="0" fillId="3" borderId="9" xfId="0" applyNumberFormat="1" applyFont="1" applyFill="1" applyBorder="1" applyAlignment="1">
      <alignment wrapText="1"/>
    </xf>
    <xf numFmtId="10" fontId="1" fillId="3" borderId="10" xfId="0" applyNumberFormat="1" applyFont="1" applyFill="1" applyBorder="1" applyAlignment="1">
      <alignment wrapText="1"/>
    </xf>
    <xf numFmtId="10" fontId="1" fillId="2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right" wrapText="1"/>
    </xf>
    <xf numFmtId="10" fontId="0" fillId="4" borderId="5" xfId="0" applyNumberFormat="1" applyFont="1" applyFill="1" applyBorder="1" applyAlignment="1">
      <alignment horizontal="right" wrapText="1"/>
    </xf>
    <xf numFmtId="10" fontId="0" fillId="4" borderId="4" xfId="0" applyNumberFormat="1" applyFont="1" applyFill="1" applyBorder="1" applyAlignment="1">
      <alignment horizontal="right" wrapText="1"/>
    </xf>
    <xf numFmtId="10" fontId="0" fillId="4" borderId="23" xfId="0" applyNumberFormat="1" applyFont="1" applyFill="1" applyBorder="1" applyAlignment="1">
      <alignment horizontal="right" wrapText="1"/>
    </xf>
    <xf numFmtId="10" fontId="0" fillId="3" borderId="9" xfId="0" applyNumberFormat="1" applyFont="1" applyFill="1" applyBorder="1" applyAlignment="1">
      <alignment horizontal="right"/>
    </xf>
    <xf numFmtId="10" fontId="1" fillId="3" borderId="9" xfId="0" applyNumberFormat="1" applyFont="1" applyFill="1" applyBorder="1" applyAlignment="1">
      <alignment horizontal="right" wrapText="1"/>
    </xf>
    <xf numFmtId="10" fontId="1" fillId="3" borderId="42" xfId="0" applyNumberFormat="1" applyFont="1" applyFill="1" applyBorder="1" applyAlignment="1">
      <alignment horizontal="right"/>
    </xf>
    <xf numFmtId="10" fontId="0" fillId="0" borderId="9" xfId="0" applyNumberFormat="1" applyFont="1" applyBorder="1" applyAlignment="1">
      <alignment wrapText="1"/>
    </xf>
    <xf numFmtId="10" fontId="0" fillId="5" borderId="10" xfId="0" applyNumberFormat="1" applyFont="1" applyFill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10" fontId="1" fillId="0" borderId="22" xfId="0" applyNumberFormat="1" applyFont="1" applyBorder="1" applyAlignment="1">
      <alignment horizontal="right" wrapText="1"/>
    </xf>
    <xf numFmtId="10" fontId="1" fillId="3" borderId="15" xfId="0" applyNumberFormat="1" applyFont="1" applyFill="1" applyBorder="1" applyAlignment="1">
      <alignment horizontal="right" wrapText="1"/>
    </xf>
    <xf numFmtId="10" fontId="0" fillId="3" borderId="15" xfId="0" applyNumberFormat="1" applyFont="1" applyFill="1" applyBorder="1" applyAlignment="1">
      <alignment/>
    </xf>
    <xf numFmtId="10" fontId="0" fillId="3" borderId="11" xfId="0" applyNumberFormat="1" applyFont="1" applyFill="1" applyBorder="1" applyAlignment="1">
      <alignment/>
    </xf>
    <xf numFmtId="10" fontId="0" fillId="3" borderId="25" xfId="0" applyNumberFormat="1" applyFont="1" applyFill="1" applyBorder="1" applyAlignment="1">
      <alignment/>
    </xf>
    <xf numFmtId="10" fontId="0" fillId="3" borderId="2" xfId="0" applyNumberFormat="1" applyFont="1" applyFill="1" applyBorder="1" applyAlignment="1">
      <alignment/>
    </xf>
    <xf numFmtId="10" fontId="0" fillId="0" borderId="10" xfId="0" applyNumberFormat="1" applyFont="1" applyBorder="1" applyAlignment="1">
      <alignment wrapText="1"/>
    </xf>
    <xf numFmtId="10" fontId="0" fillId="0" borderId="39" xfId="0" applyNumberFormat="1" applyFont="1" applyBorder="1" applyAlignment="1">
      <alignment wrapText="1"/>
    </xf>
    <xf numFmtId="10" fontId="0" fillId="0" borderId="12" xfId="0" applyNumberFormat="1" applyFont="1" applyBorder="1" applyAlignment="1">
      <alignment wrapText="1"/>
    </xf>
    <xf numFmtId="10" fontId="0" fillId="0" borderId="11" xfId="0" applyNumberFormat="1" applyFont="1" applyBorder="1" applyAlignment="1">
      <alignment wrapText="1"/>
    </xf>
    <xf numFmtId="10" fontId="0" fillId="0" borderId="0" xfId="0" applyNumberFormat="1" applyBorder="1" applyAlignment="1">
      <alignment/>
    </xf>
    <xf numFmtId="1" fontId="8" fillId="3" borderId="18" xfId="0" applyNumberFormat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right"/>
    </xf>
    <xf numFmtId="0" fontId="2" fillId="3" borderId="43" xfId="0" applyFont="1" applyFill="1" applyBorder="1" applyAlignment="1">
      <alignment/>
    </xf>
    <xf numFmtId="0" fontId="2" fillId="3" borderId="44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3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/>
    </xf>
    <xf numFmtId="0" fontId="0" fillId="3" borderId="8" xfId="0" applyFont="1" applyFill="1" applyBorder="1" applyAlignment="1" quotePrefix="1">
      <alignment horizontal="right"/>
    </xf>
    <xf numFmtId="3" fontId="0" fillId="3" borderId="0" xfId="0" applyNumberFormat="1" applyFont="1" applyFill="1" applyBorder="1" applyAlignment="1">
      <alignment horizontal="right" wrapText="1"/>
    </xf>
    <xf numFmtId="10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right"/>
    </xf>
    <xf numFmtId="0" fontId="0" fillId="3" borderId="0" xfId="0" applyFont="1" applyFill="1" applyBorder="1" applyAlignment="1" quotePrefix="1">
      <alignment horizontal="right"/>
    </xf>
    <xf numFmtId="0" fontId="0" fillId="3" borderId="0" xfId="0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0" fontId="1" fillId="0" borderId="8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3" fontId="1" fillId="3" borderId="1" xfId="0" applyNumberFormat="1" applyFont="1" applyFill="1" applyBorder="1" applyAlignment="1">
      <alignment horizontal="left" wrapText="1"/>
    </xf>
    <xf numFmtId="3" fontId="0" fillId="3" borderId="25" xfId="0" applyNumberFormat="1" applyFont="1" applyFill="1" applyBorder="1" applyAlignment="1">
      <alignment wrapText="1"/>
    </xf>
    <xf numFmtId="3" fontId="1" fillId="0" borderId="6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1" fillId="2" borderId="46" xfId="0" applyNumberFormat="1" applyFont="1" applyFill="1" applyBorder="1" applyAlignment="1">
      <alignment wrapText="1"/>
    </xf>
    <xf numFmtId="10" fontId="0" fillId="3" borderId="25" xfId="0" applyNumberFormat="1" applyFont="1" applyFill="1" applyBorder="1" applyAlignment="1">
      <alignment wrapText="1"/>
    </xf>
    <xf numFmtId="0" fontId="1" fillId="3" borderId="2" xfId="0" applyFont="1" applyFill="1" applyBorder="1" applyAlignment="1" quotePrefix="1">
      <alignment horizontal="right"/>
    </xf>
    <xf numFmtId="10" fontId="1" fillId="3" borderId="29" xfId="0" applyNumberFormat="1" applyFont="1" applyFill="1" applyBorder="1" applyAlignment="1">
      <alignment horizontal="right"/>
    </xf>
    <xf numFmtId="10" fontId="1" fillId="0" borderId="6" xfId="0" applyNumberFormat="1" applyFont="1" applyBorder="1" applyAlignment="1">
      <alignment horizontal="right" wrapText="1"/>
    </xf>
    <xf numFmtId="10" fontId="0" fillId="0" borderId="2" xfId="0" applyNumberFormat="1" applyFont="1" applyBorder="1" applyAlignment="1">
      <alignment horizontal="right" wrapText="1"/>
    </xf>
    <xf numFmtId="10" fontId="1" fillId="3" borderId="7" xfId="0" applyNumberFormat="1" applyFont="1" applyFill="1" applyBorder="1" applyAlignment="1">
      <alignment horizontal="right"/>
    </xf>
    <xf numFmtId="10" fontId="0" fillId="3" borderId="3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46" xfId="0" applyFont="1" applyFill="1" applyBorder="1" applyAlignment="1">
      <alignment wrapText="1"/>
    </xf>
    <xf numFmtId="10" fontId="1" fillId="2" borderId="6" xfId="0" applyNumberFormat="1" applyFont="1" applyFill="1" applyBorder="1" applyAlignment="1">
      <alignment wrapText="1"/>
    </xf>
    <xf numFmtId="3" fontId="1" fillId="3" borderId="10" xfId="0" applyNumberFormat="1" applyFont="1" applyFill="1" applyBorder="1" applyAlignment="1">
      <alignment wrapText="1"/>
    </xf>
    <xf numFmtId="10" fontId="0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10" fontId="0" fillId="0" borderId="5" xfId="0" applyNumberFormat="1" applyFont="1" applyBorder="1" applyAlignment="1">
      <alignment wrapText="1"/>
    </xf>
    <xf numFmtId="10" fontId="0" fillId="3" borderId="14" xfId="0" applyNumberFormat="1" applyFont="1" applyFill="1" applyBorder="1" applyAlignment="1">
      <alignment horizontal="right" wrapText="1"/>
    </xf>
    <xf numFmtId="3" fontId="1" fillId="3" borderId="10" xfId="0" applyNumberFormat="1" applyFont="1" applyFill="1" applyBorder="1" applyAlignment="1">
      <alignment/>
    </xf>
    <xf numFmtId="0" fontId="1" fillId="3" borderId="6" xfId="0" applyNumberFormat="1" applyFont="1" applyFill="1" applyBorder="1" applyAlignment="1">
      <alignment/>
    </xf>
    <xf numFmtId="3" fontId="0" fillId="3" borderId="24" xfId="0" applyNumberFormat="1" applyFont="1" applyFill="1" applyBorder="1" applyAlignment="1">
      <alignment horizontal="right"/>
    </xf>
    <xf numFmtId="1" fontId="0" fillId="3" borderId="5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left" wrapText="1"/>
    </xf>
    <xf numFmtId="10" fontId="0" fillId="3" borderId="2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3" fontId="0" fillId="3" borderId="25" xfId="0" applyNumberFormat="1" applyFont="1" applyFill="1" applyBorder="1" applyAlignment="1">
      <alignment horizontal="right" wrapText="1"/>
    </xf>
    <xf numFmtId="0" fontId="0" fillId="3" borderId="3" xfId="0" applyFont="1" applyFill="1" applyBorder="1" applyAlignment="1">
      <alignment wrapText="1"/>
    </xf>
    <xf numFmtId="10" fontId="0" fillId="0" borderId="3" xfId="0" applyNumberFormat="1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2" borderId="5" xfId="0" applyFont="1" applyFill="1" applyBorder="1" applyAlignment="1">
      <alignment horizontal="left" wrapText="1"/>
    </xf>
    <xf numFmtId="10" fontId="0" fillId="3" borderId="37" xfId="0" applyNumberFormat="1" applyFon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/>
    </xf>
    <xf numFmtId="1" fontId="0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 wrapText="1"/>
    </xf>
    <xf numFmtId="10" fontId="1" fillId="3" borderId="47" xfId="0" applyNumberFormat="1" applyFont="1" applyFill="1" applyBorder="1" applyAlignment="1">
      <alignment horizontal="right" wrapText="1"/>
    </xf>
    <xf numFmtId="3" fontId="0" fillId="3" borderId="39" xfId="0" applyNumberFormat="1" applyFont="1" applyFill="1" applyBorder="1" applyAlignment="1">
      <alignment horizontal="right" wrapText="1"/>
    </xf>
    <xf numFmtId="10" fontId="0" fillId="3" borderId="39" xfId="0" applyNumberFormat="1" applyFont="1" applyFill="1" applyBorder="1" applyAlignment="1">
      <alignment horizontal="right" wrapText="1"/>
    </xf>
    <xf numFmtId="0" fontId="0" fillId="3" borderId="23" xfId="0" applyFont="1" applyFill="1" applyBorder="1" applyAlignment="1">
      <alignment wrapText="1"/>
    </xf>
    <xf numFmtId="1" fontId="1" fillId="2" borderId="2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10" fontId="0" fillId="3" borderId="7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166" fontId="0" fillId="3" borderId="12" xfId="23" applyNumberFormat="1" applyFont="1" applyFill="1" applyBorder="1" applyAlignment="1">
      <alignment/>
    </xf>
    <xf numFmtId="0" fontId="1" fillId="3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10" fontId="0" fillId="3" borderId="48" xfId="0" applyNumberFormat="1" applyFont="1" applyFill="1" applyBorder="1" applyAlignment="1">
      <alignment/>
    </xf>
    <xf numFmtId="3" fontId="1" fillId="2" borderId="27" xfId="0" applyNumberFormat="1" applyFont="1" applyFill="1" applyBorder="1" applyAlignment="1">
      <alignment/>
    </xf>
    <xf numFmtId="3" fontId="1" fillId="3" borderId="40" xfId="0" applyNumberFormat="1" applyFont="1" applyFill="1" applyBorder="1" applyAlignment="1">
      <alignment horizontal="right"/>
    </xf>
    <xf numFmtId="3" fontId="4" fillId="3" borderId="41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3" fontId="0" fillId="3" borderId="49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 horizontal="right"/>
    </xf>
    <xf numFmtId="3" fontId="0" fillId="4" borderId="10" xfId="0" applyNumberFormat="1" applyFont="1" applyFill="1" applyBorder="1" applyAlignment="1">
      <alignment horizontal="right" wrapText="1"/>
    </xf>
    <xf numFmtId="3" fontId="0" fillId="4" borderId="12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42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3" fontId="0" fillId="0" borderId="9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wrapText="1"/>
    </xf>
    <xf numFmtId="3" fontId="1" fillId="2" borderId="10" xfId="0" applyNumberFormat="1" applyFont="1" applyFill="1" applyBorder="1" applyAlignment="1">
      <alignment wrapText="1"/>
    </xf>
    <xf numFmtId="3" fontId="0" fillId="3" borderId="39" xfId="0" applyNumberFormat="1" applyFont="1" applyFill="1" applyBorder="1" applyAlignment="1">
      <alignment horizontal="right"/>
    </xf>
    <xf numFmtId="3" fontId="1" fillId="3" borderId="39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 wrapText="1"/>
    </xf>
    <xf numFmtId="3" fontId="1" fillId="6" borderId="9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 horizontal="right" wrapText="1"/>
    </xf>
    <xf numFmtId="3" fontId="1" fillId="3" borderId="42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wrapText="1"/>
    </xf>
    <xf numFmtId="3" fontId="1" fillId="2" borderId="10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3" fontId="1" fillId="2" borderId="50" xfId="0" applyNumberFormat="1" applyFont="1" applyFill="1" applyBorder="1" applyAlignment="1">
      <alignment wrapText="1"/>
    </xf>
    <xf numFmtId="3" fontId="1" fillId="0" borderId="42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1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1" fillId="3" borderId="5" xfId="0" applyFont="1" applyFill="1" applyBorder="1" applyAlignment="1">
      <alignment horizontal="left" wrapText="1"/>
    </xf>
    <xf numFmtId="0" fontId="0" fillId="3" borderId="23" xfId="0" applyFont="1" applyFill="1" applyBorder="1" applyAlignment="1">
      <alignment/>
    </xf>
    <xf numFmtId="0" fontId="0" fillId="3" borderId="2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wrapText="1"/>
    </xf>
    <xf numFmtId="0" fontId="0" fillId="3" borderId="14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wrapText="1"/>
    </xf>
    <xf numFmtId="0" fontId="0" fillId="3" borderId="51" xfId="0" applyFont="1" applyFill="1" applyBorder="1" applyAlignment="1">
      <alignment wrapText="1"/>
    </xf>
    <xf numFmtId="0" fontId="0" fillId="3" borderId="14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0" fontId="1" fillId="4" borderId="5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horizontal="left" wrapText="1"/>
    </xf>
    <xf numFmtId="0" fontId="0" fillId="4" borderId="23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7" xfId="0" applyFont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1" fillId="3" borderId="2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 wrapText="1"/>
    </xf>
    <xf numFmtId="3" fontId="1" fillId="3" borderId="22" xfId="0" applyNumberFormat="1" applyFont="1" applyFill="1" applyBorder="1" applyAlignment="1">
      <alignment wrapText="1"/>
    </xf>
    <xf numFmtId="3" fontId="1" fillId="3" borderId="5" xfId="0" applyNumberFormat="1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2" fillId="3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1" fillId="7" borderId="2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" borderId="6" xfId="0" applyFont="1" applyFill="1" applyBorder="1" applyAlignment="1">
      <alignment wrapText="1"/>
    </xf>
    <xf numFmtId="3" fontId="1" fillId="2" borderId="1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10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3" fontId="0" fillId="4" borderId="5" xfId="0" applyNumberFormat="1" applyFont="1" applyFill="1" applyBorder="1" applyAlignment="1">
      <alignment horizontal="right"/>
    </xf>
    <xf numFmtId="10" fontId="0" fillId="0" borderId="15" xfId="0" applyNumberFormat="1" applyFont="1" applyBorder="1" applyAlignment="1">
      <alignment wrapText="1"/>
    </xf>
    <xf numFmtId="49" fontId="1" fillId="2" borderId="2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3" fontId="1" fillId="2" borderId="9" xfId="0" applyNumberFormat="1" applyFont="1" applyFill="1" applyBorder="1" applyAlignment="1">
      <alignment wrapText="1"/>
    </xf>
    <xf numFmtId="49" fontId="0" fillId="0" borderId="6" xfId="0" applyNumberFormat="1" applyFont="1" applyBorder="1" applyAlignment="1">
      <alignment/>
    </xf>
    <xf numFmtId="3" fontId="0" fillId="3" borderId="4" xfId="0" applyNumberFormat="1" applyFont="1" applyFill="1" applyBorder="1" applyAlignment="1">
      <alignment/>
    </xf>
    <xf numFmtId="10" fontId="0" fillId="3" borderId="4" xfId="0" applyNumberFormat="1" applyFont="1" applyFill="1" applyBorder="1" applyAlignment="1">
      <alignment/>
    </xf>
    <xf numFmtId="0" fontId="1" fillId="4" borderId="6" xfId="0" applyFont="1" applyFill="1" applyBorder="1" applyAlignment="1">
      <alignment horizontal="right"/>
    </xf>
    <xf numFmtId="10" fontId="1" fillId="4" borderId="5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left" wrapText="1"/>
    </xf>
    <xf numFmtId="0" fontId="0" fillId="8" borderId="8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wrapText="1"/>
    </xf>
    <xf numFmtId="3" fontId="1" fillId="4" borderId="10" xfId="0" applyNumberFormat="1" applyFont="1" applyFill="1" applyBorder="1" applyAlignment="1">
      <alignment wrapText="1"/>
    </xf>
    <xf numFmtId="3" fontId="1" fillId="4" borderId="5" xfId="0" applyNumberFormat="1" applyFont="1" applyFill="1" applyBorder="1" applyAlignment="1">
      <alignment wrapText="1"/>
    </xf>
    <xf numFmtId="10" fontId="1" fillId="4" borderId="5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3" fontId="0" fillId="4" borderId="5" xfId="0" applyNumberFormat="1" applyFont="1" applyFill="1" applyBorder="1" applyAlignment="1">
      <alignment wrapText="1"/>
    </xf>
    <xf numFmtId="10" fontId="0" fillId="4" borderId="5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wrapText="1"/>
    </xf>
    <xf numFmtId="10" fontId="0" fillId="3" borderId="29" xfId="0" applyNumberFormat="1" applyFont="1" applyFill="1" applyBorder="1" applyAlignment="1">
      <alignment horizontal="right" wrapText="1"/>
    </xf>
    <xf numFmtId="10" fontId="0" fillId="3" borderId="0" xfId="0" applyNumberFormat="1" applyFont="1" applyFill="1" applyBorder="1" applyAlignment="1">
      <alignment horizontal="right"/>
    </xf>
    <xf numFmtId="0" fontId="0" fillId="0" borderId="29" xfId="0" applyFont="1" applyBorder="1" applyAlignment="1">
      <alignment wrapText="1"/>
    </xf>
    <xf numFmtId="0" fontId="0" fillId="3" borderId="7" xfId="0" applyFont="1" applyFill="1" applyBorder="1" applyAlignment="1">
      <alignment horizontal="left" wrapText="1"/>
    </xf>
    <xf numFmtId="3" fontId="4" fillId="3" borderId="41" xfId="0" applyNumberFormat="1" applyFont="1" applyFill="1" applyBorder="1" applyAlignment="1">
      <alignment horizontal="right"/>
    </xf>
    <xf numFmtId="3" fontId="4" fillId="3" borderId="21" xfId="0" applyNumberFormat="1" applyFont="1" applyFill="1" applyBorder="1" applyAlignment="1">
      <alignment horizontal="right"/>
    </xf>
    <xf numFmtId="10" fontId="4" fillId="3" borderId="21" xfId="0" applyNumberFormat="1" applyFont="1" applyFill="1" applyBorder="1" applyAlignment="1">
      <alignment horizontal="right"/>
    </xf>
    <xf numFmtId="10" fontId="0" fillId="3" borderId="52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3" xfId="0" applyFont="1" applyBorder="1" applyAlignment="1">
      <alignment/>
    </xf>
    <xf numFmtId="10" fontId="10" fillId="3" borderId="14" xfId="0" applyNumberFormat="1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3" borderId="6" xfId="0" applyFont="1" applyFill="1" applyBorder="1" applyAlignment="1">
      <alignment/>
    </xf>
    <xf numFmtId="10" fontId="10" fillId="3" borderId="5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0" fillId="3" borderId="3" xfId="0" applyNumberFormat="1" applyFont="1" applyFill="1" applyBorder="1" applyAlignment="1">
      <alignment/>
    </xf>
    <xf numFmtId="10" fontId="0" fillId="3" borderId="3" xfId="0" applyNumberFormat="1" applyFont="1" applyFill="1" applyBorder="1" applyAlignment="1">
      <alignment/>
    </xf>
    <xf numFmtId="10" fontId="0" fillId="3" borderId="1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 horizontal="right" wrapText="1"/>
    </xf>
    <xf numFmtId="10" fontId="0" fillId="4" borderId="3" xfId="0" applyNumberFormat="1" applyFont="1" applyFill="1" applyBorder="1" applyAlignment="1">
      <alignment horizontal="right" wrapText="1"/>
    </xf>
    <xf numFmtId="3" fontId="1" fillId="3" borderId="7" xfId="0" applyNumberFormat="1" applyFont="1" applyFill="1" applyBorder="1" applyAlignment="1">
      <alignment horizontal="right" wrapText="1"/>
    </xf>
    <xf numFmtId="3" fontId="0" fillId="3" borderId="5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0" fontId="1" fillId="3" borderId="2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10" fontId="1" fillId="3" borderId="5" xfId="0" applyNumberFormat="1" applyFont="1" applyFill="1" applyBorder="1" applyAlignment="1">
      <alignment/>
    </xf>
    <xf numFmtId="10" fontId="0" fillId="3" borderId="5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49" fontId="0" fillId="0" borderId="5" xfId="0" applyNumberFormat="1" applyFont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 wrapText="1"/>
    </xf>
    <xf numFmtId="0" fontId="0" fillId="3" borderId="5" xfId="0" applyFont="1" applyFill="1" applyBorder="1" applyAlignment="1" quotePrefix="1">
      <alignment horizontal="right" wrapText="1"/>
    </xf>
    <xf numFmtId="3" fontId="0" fillId="0" borderId="0" xfId="0" applyNumberFormat="1" applyFont="1" applyBorder="1" applyAlignment="1">
      <alignment wrapText="1"/>
    </xf>
    <xf numFmtId="0" fontId="0" fillId="0" borderId="29" xfId="0" applyBorder="1" applyAlignment="1">
      <alignment/>
    </xf>
    <xf numFmtId="3" fontId="1" fillId="4" borderId="0" xfId="0" applyNumberFormat="1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1" fontId="1" fillId="7" borderId="2" xfId="0" applyNumberFormat="1" applyFont="1" applyFill="1" applyBorder="1" applyAlignment="1">
      <alignment/>
    </xf>
    <xf numFmtId="3" fontId="1" fillId="7" borderId="2" xfId="0" applyNumberFormat="1" applyFont="1" applyFill="1" applyBorder="1" applyAlignment="1">
      <alignment wrapText="1"/>
    </xf>
    <xf numFmtId="10" fontId="1" fillId="7" borderId="2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/>
    </xf>
    <xf numFmtId="10" fontId="0" fillId="3" borderId="39" xfId="0" applyNumberFormat="1" applyFont="1" applyFill="1" applyBorder="1" applyAlignment="1">
      <alignment horizontal="right"/>
    </xf>
    <xf numFmtId="3" fontId="0" fillId="4" borderId="24" xfId="0" applyNumberFormat="1" applyFont="1" applyFill="1" applyBorder="1" applyAlignment="1">
      <alignment horizontal="right"/>
    </xf>
    <xf numFmtId="10" fontId="0" fillId="4" borderId="24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0" fontId="0" fillId="3" borderId="24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3" fontId="0" fillId="3" borderId="23" xfId="0" applyNumberFormat="1" applyFont="1" applyFill="1" applyBorder="1" applyAlignment="1">
      <alignment/>
    </xf>
    <xf numFmtId="10" fontId="0" fillId="3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0" fillId="3" borderId="2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 wrapText="1"/>
    </xf>
    <xf numFmtId="3" fontId="0" fillId="3" borderId="14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 wrapText="1"/>
    </xf>
    <xf numFmtId="3" fontId="0" fillId="3" borderId="5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/>
    </xf>
    <xf numFmtId="3" fontId="0" fillId="3" borderId="23" xfId="0" applyNumberFormat="1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1" fillId="0" borderId="53" xfId="0" applyFont="1" applyBorder="1" applyAlignment="1">
      <alignment/>
    </xf>
    <xf numFmtId="0" fontId="0" fillId="4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horizontal="right" wrapText="1"/>
    </xf>
    <xf numFmtId="10" fontId="0" fillId="4" borderId="6" xfId="0" applyNumberFormat="1" applyFont="1" applyFill="1" applyBorder="1" applyAlignment="1">
      <alignment horizontal="right" wrapText="1"/>
    </xf>
    <xf numFmtId="3" fontId="0" fillId="3" borderId="0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3" fontId="1" fillId="3" borderId="6" xfId="0" applyNumberFormat="1" applyFont="1" applyFill="1" applyBorder="1" applyAlignment="1">
      <alignment/>
    </xf>
    <xf numFmtId="10" fontId="1" fillId="3" borderId="6" xfId="0" applyNumberFormat="1" applyFont="1" applyFill="1" applyBorder="1" applyAlignment="1">
      <alignment/>
    </xf>
    <xf numFmtId="3" fontId="0" fillId="0" borderId="3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 wrapText="1"/>
    </xf>
    <xf numFmtId="0" fontId="0" fillId="4" borderId="3" xfId="0" applyFont="1" applyFill="1" applyBorder="1" applyAlignment="1">
      <alignment horizontal="left" wrapText="1"/>
    </xf>
    <xf numFmtId="3" fontId="0" fillId="4" borderId="11" xfId="0" applyNumberFormat="1" applyFont="1" applyFill="1" applyBorder="1" applyAlignment="1">
      <alignment horizontal="right" wrapText="1"/>
    </xf>
    <xf numFmtId="0" fontId="1" fillId="8" borderId="8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8" borderId="0" xfId="0" applyFont="1" applyFill="1" applyAlignment="1">
      <alignment/>
    </xf>
    <xf numFmtId="3" fontId="1" fillId="3" borderId="39" xfId="0" applyNumberFormat="1" applyFont="1" applyFill="1" applyBorder="1" applyAlignment="1">
      <alignment horizontal="right" wrapText="1"/>
    </xf>
    <xf numFmtId="3" fontId="1" fillId="3" borderId="54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 wrapText="1"/>
    </xf>
    <xf numFmtId="10" fontId="0" fillId="0" borderId="25" xfId="0" applyNumberFormat="1" applyFont="1" applyBorder="1" applyAlignment="1">
      <alignment wrapText="1"/>
    </xf>
    <xf numFmtId="0" fontId="0" fillId="6" borderId="7" xfId="0" applyFont="1" applyFill="1" applyBorder="1" applyAlignment="1">
      <alignment wrapText="1"/>
    </xf>
    <xf numFmtId="3" fontId="0" fillId="6" borderId="6" xfId="0" applyNumberFormat="1" applyFont="1" applyFill="1" applyBorder="1" applyAlignment="1">
      <alignment wrapText="1"/>
    </xf>
    <xf numFmtId="0" fontId="0" fillId="6" borderId="23" xfId="0" applyFont="1" applyFill="1" applyBorder="1" applyAlignment="1">
      <alignment wrapText="1"/>
    </xf>
    <xf numFmtId="10" fontId="1" fillId="3" borderId="9" xfId="0" applyNumberFormat="1" applyFont="1" applyFill="1" applyBorder="1" applyAlignment="1">
      <alignment horizontal="right"/>
    </xf>
    <xf numFmtId="3" fontId="0" fillId="3" borderId="51" xfId="0" applyNumberFormat="1" applyFont="1" applyFill="1" applyBorder="1" applyAlignment="1">
      <alignment wrapText="1"/>
    </xf>
    <xf numFmtId="10" fontId="0" fillId="3" borderId="51" xfId="0" applyNumberFormat="1" applyFont="1" applyFill="1" applyBorder="1" applyAlignment="1">
      <alignment wrapText="1"/>
    </xf>
    <xf numFmtId="0" fontId="0" fillId="3" borderId="55" xfId="0" applyFont="1" applyFill="1" applyBorder="1" applyAlignment="1">
      <alignment horizontal="right"/>
    </xf>
    <xf numFmtId="0" fontId="0" fillId="3" borderId="55" xfId="0" applyFont="1" applyFill="1" applyBorder="1" applyAlignment="1" quotePrefix="1">
      <alignment horizontal="right"/>
    </xf>
    <xf numFmtId="0" fontId="0" fillId="3" borderId="55" xfId="0" applyFont="1" applyFill="1" applyBorder="1" applyAlignment="1">
      <alignment horizontal="left" wrapText="1"/>
    </xf>
    <xf numFmtId="3" fontId="0" fillId="3" borderId="55" xfId="0" applyNumberFormat="1" applyFont="1" applyFill="1" applyBorder="1" applyAlignment="1">
      <alignment horizontal="right" wrapText="1"/>
    </xf>
    <xf numFmtId="10" fontId="0" fillId="3" borderId="55" xfId="0" applyNumberFormat="1" applyFont="1" applyFill="1" applyBorder="1" applyAlignment="1">
      <alignment horizontal="right" wrapText="1"/>
    </xf>
    <xf numFmtId="10" fontId="0" fillId="3" borderId="55" xfId="0" applyNumberFormat="1" applyFont="1" applyFill="1" applyBorder="1" applyAlignment="1">
      <alignment horizontal="right"/>
    </xf>
    <xf numFmtId="0" fontId="0" fillId="3" borderId="55" xfId="0" applyFont="1" applyFill="1" applyBorder="1" applyAlignment="1">
      <alignment wrapText="1"/>
    </xf>
    <xf numFmtId="3" fontId="0" fillId="3" borderId="55" xfId="0" applyNumberFormat="1" applyFont="1" applyFill="1" applyBorder="1" applyAlignment="1">
      <alignment horizontal="right"/>
    </xf>
    <xf numFmtId="10" fontId="0" fillId="3" borderId="53" xfId="0" applyNumberFormat="1" applyFont="1" applyFill="1" applyBorder="1" applyAlignment="1">
      <alignment horizontal="right"/>
    </xf>
    <xf numFmtId="0" fontId="0" fillId="3" borderId="55" xfId="0" applyFont="1" applyFill="1" applyBorder="1" applyAlignment="1">
      <alignment/>
    </xf>
    <xf numFmtId="10" fontId="0" fillId="3" borderId="25" xfId="0" applyNumberFormat="1" applyFont="1" applyFill="1" applyBorder="1" applyAlignment="1">
      <alignment horizontal="right" wrapText="1"/>
    </xf>
    <xf numFmtId="0" fontId="0" fillId="0" borderId="55" xfId="0" applyFont="1" applyBorder="1" applyAlignment="1">
      <alignment wrapText="1"/>
    </xf>
    <xf numFmtId="3" fontId="0" fillId="0" borderId="55" xfId="0" applyNumberFormat="1" applyFont="1" applyBorder="1" applyAlignment="1">
      <alignment wrapText="1"/>
    </xf>
    <xf numFmtId="10" fontId="0" fillId="0" borderId="55" xfId="0" applyNumberFormat="1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10" fontId="1" fillId="6" borderId="2" xfId="0" applyNumberFormat="1" applyFont="1" applyFill="1" applyBorder="1" applyAlignment="1">
      <alignment horizontal="right" wrapText="1"/>
    </xf>
    <xf numFmtId="0" fontId="1" fillId="6" borderId="5" xfId="0" applyFont="1" applyFill="1" applyBorder="1" applyAlignment="1">
      <alignment horizontal="right" wrapText="1"/>
    </xf>
    <xf numFmtId="3" fontId="0" fillId="0" borderId="55" xfId="0" applyNumberFormat="1" applyFont="1" applyBorder="1" applyAlignment="1">
      <alignment horizontal="right"/>
    </xf>
    <xf numFmtId="1" fontId="0" fillId="0" borderId="55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3" borderId="14" xfId="0" applyFont="1" applyFill="1" applyBorder="1" applyAlignment="1">
      <alignment/>
    </xf>
    <xf numFmtId="10" fontId="0" fillId="3" borderId="0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right" wrapText="1"/>
    </xf>
    <xf numFmtId="0" fontId="0" fillId="4" borderId="55" xfId="0" applyFont="1" applyFill="1" applyBorder="1" applyAlignment="1">
      <alignment/>
    </xf>
    <xf numFmtId="3" fontId="0" fillId="4" borderId="55" xfId="0" applyNumberFormat="1" applyFont="1" applyFill="1" applyBorder="1" applyAlignment="1">
      <alignment horizontal="right" wrapText="1"/>
    </xf>
    <xf numFmtId="10" fontId="0" fillId="4" borderId="55" xfId="0" applyNumberFormat="1" applyFont="1" applyFill="1" applyBorder="1" applyAlignment="1">
      <alignment horizontal="right" wrapText="1"/>
    </xf>
    <xf numFmtId="10" fontId="0" fillId="3" borderId="53" xfId="0" applyNumberFormat="1" applyFont="1" applyFill="1" applyBorder="1" applyAlignment="1">
      <alignment horizontal="right" wrapText="1"/>
    </xf>
    <xf numFmtId="0" fontId="0" fillId="4" borderId="53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55" xfId="0" applyFont="1" applyFill="1" applyBorder="1" applyAlignment="1">
      <alignment horizontal="right"/>
    </xf>
    <xf numFmtId="0" fontId="0" fillId="4" borderId="55" xfId="0" applyFont="1" applyFill="1" applyBorder="1" applyAlignment="1">
      <alignment horizontal="left" wrapText="1"/>
    </xf>
    <xf numFmtId="0" fontId="0" fillId="0" borderId="53" xfId="0" applyFont="1" applyBorder="1" applyAlignment="1">
      <alignment wrapText="1"/>
    </xf>
    <xf numFmtId="0" fontId="0" fillId="0" borderId="55" xfId="0" applyFont="1" applyBorder="1" applyAlignment="1">
      <alignment horizontal="right"/>
    </xf>
    <xf numFmtId="0" fontId="0" fillId="0" borderId="55" xfId="0" applyFont="1" applyBorder="1" applyAlignment="1">
      <alignment/>
    </xf>
    <xf numFmtId="3" fontId="0" fillId="5" borderId="55" xfId="0" applyNumberFormat="1" applyFont="1" applyFill="1" applyBorder="1" applyAlignment="1">
      <alignment horizontal="right" wrapText="1"/>
    </xf>
    <xf numFmtId="10" fontId="0" fillId="5" borderId="55" xfId="0" applyNumberFormat="1" applyFont="1" applyFill="1" applyBorder="1" applyAlignment="1">
      <alignment horizontal="right" wrapText="1"/>
    </xf>
    <xf numFmtId="0" fontId="1" fillId="6" borderId="7" xfId="0" applyFont="1" applyFill="1" applyBorder="1" applyAlignment="1">
      <alignment wrapText="1"/>
    </xf>
    <xf numFmtId="0" fontId="0" fillId="6" borderId="3" xfId="0" applyFont="1" applyFill="1" applyBorder="1" applyAlignment="1">
      <alignment horizontal="left" wrapText="1"/>
    </xf>
    <xf numFmtId="3" fontId="0" fillId="6" borderId="11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10" fontId="0" fillId="6" borderId="3" xfId="0" applyNumberFormat="1" applyFont="1" applyFill="1" applyBorder="1" applyAlignment="1">
      <alignment horizontal="right" wrapText="1"/>
    </xf>
    <xf numFmtId="3" fontId="0" fillId="4" borderId="55" xfId="0" applyNumberFormat="1" applyFont="1" applyFill="1" applyBorder="1" applyAlignment="1">
      <alignment horizontal="right"/>
    </xf>
    <xf numFmtId="10" fontId="1" fillId="0" borderId="25" xfId="0" applyNumberFormat="1" applyFont="1" applyBorder="1" applyAlignment="1">
      <alignment wrapText="1"/>
    </xf>
    <xf numFmtId="10" fontId="0" fillId="3" borderId="5" xfId="0" applyNumberFormat="1" applyFont="1" applyFill="1" applyBorder="1" applyAlignment="1">
      <alignment wrapText="1"/>
    </xf>
    <xf numFmtId="10" fontId="10" fillId="0" borderId="0" xfId="0" applyNumberFormat="1" applyFont="1" applyBorder="1" applyAlignment="1">
      <alignment horizontal="right"/>
    </xf>
    <xf numFmtId="0" fontId="3" fillId="3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10" fontId="1" fillId="0" borderId="2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center" vertical="center"/>
    </xf>
    <xf numFmtId="10" fontId="0" fillId="0" borderId="1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10" fontId="1" fillId="0" borderId="22" xfId="0" applyNumberFormat="1" applyFont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2" xfId="0" applyFont="1" applyBorder="1" applyAlignment="1" quotePrefix="1">
      <alignment horizontal="righ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6" xfId="0" applyFont="1" applyBorder="1" applyAlignment="1">
      <alignment/>
    </xf>
    <xf numFmtId="3" fontId="0" fillId="0" borderId="2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3" fontId="1" fillId="2" borderId="10" xfId="0" applyNumberFormat="1" applyFont="1" applyFill="1" applyBorder="1" applyAlignment="1">
      <alignment/>
    </xf>
    <xf numFmtId="10" fontId="1" fillId="2" borderId="10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0" fontId="1" fillId="2" borderId="2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6" xfId="0" applyNumberFormat="1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0" fontId="0" fillId="0" borderId="56" xfId="0" applyFont="1" applyBorder="1" applyAlignment="1">
      <alignment/>
    </xf>
    <xf numFmtId="3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/>
    </xf>
    <xf numFmtId="0" fontId="10" fillId="0" borderId="57" xfId="0" applyFont="1" applyBorder="1" applyAlignment="1">
      <alignment/>
    </xf>
    <xf numFmtId="3" fontId="10" fillId="0" borderId="57" xfId="0" applyNumberFormat="1" applyFont="1" applyBorder="1" applyAlignment="1">
      <alignment/>
    </xf>
    <xf numFmtId="10" fontId="10" fillId="0" borderId="57" xfId="0" applyNumberFormat="1" applyFont="1" applyBorder="1" applyAlignment="1">
      <alignment/>
    </xf>
    <xf numFmtId="0" fontId="0" fillId="0" borderId="58" xfId="0" applyFont="1" applyBorder="1" applyAlignment="1">
      <alignment wrapText="1"/>
    </xf>
    <xf numFmtId="3" fontId="0" fillId="0" borderId="58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5" xfId="0" applyFont="1" applyBorder="1" applyAlignment="1">
      <alignment/>
    </xf>
    <xf numFmtId="3" fontId="0" fillId="0" borderId="55" xfId="0" applyNumberFormat="1" applyFont="1" applyBorder="1" applyAlignment="1">
      <alignment/>
    </xf>
    <xf numFmtId="10" fontId="0" fillId="0" borderId="5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9" xfId="0" applyFont="1" applyBorder="1" applyAlignment="1">
      <alignment/>
    </xf>
    <xf numFmtId="3" fontId="10" fillId="0" borderId="59" xfId="0" applyNumberFormat="1" applyFont="1" applyBorder="1" applyAlignment="1">
      <alignment/>
    </xf>
    <xf numFmtId="10" fontId="10" fillId="0" borderId="5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6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0" fillId="0" borderId="4" xfId="0" applyFont="1" applyBorder="1" applyAlignment="1">
      <alignment/>
    </xf>
    <xf numFmtId="0" fontId="0" fillId="0" borderId="60" xfId="0" applyFont="1" applyBorder="1" applyAlignment="1">
      <alignment wrapText="1"/>
    </xf>
    <xf numFmtId="3" fontId="0" fillId="0" borderId="60" xfId="0" applyNumberFormat="1" applyFont="1" applyBorder="1" applyAlignment="1">
      <alignment/>
    </xf>
    <xf numFmtId="10" fontId="0" fillId="0" borderId="60" xfId="0" applyNumberFormat="1" applyFont="1" applyBorder="1" applyAlignment="1">
      <alignment/>
    </xf>
    <xf numFmtId="0" fontId="0" fillId="0" borderId="51" xfId="0" applyFont="1" applyBorder="1" applyAlignment="1">
      <alignment/>
    </xf>
    <xf numFmtId="3" fontId="0" fillId="0" borderId="51" xfId="0" applyNumberFormat="1" applyFont="1" applyBorder="1" applyAlignment="1">
      <alignment/>
    </xf>
    <xf numFmtId="10" fontId="0" fillId="0" borderId="51" xfId="0" applyNumberFormat="1" applyFont="1" applyBorder="1" applyAlignment="1">
      <alignment/>
    </xf>
    <xf numFmtId="0" fontId="0" fillId="0" borderId="61" xfId="0" applyFont="1" applyBorder="1" applyAlignment="1">
      <alignment wrapText="1"/>
    </xf>
    <xf numFmtId="3" fontId="0" fillId="0" borderId="61" xfId="0" applyNumberFormat="1" applyFont="1" applyBorder="1" applyAlignment="1">
      <alignment/>
    </xf>
    <xf numFmtId="10" fontId="0" fillId="0" borderId="61" xfId="0" applyNumberFormat="1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51" xfId="0" applyFont="1" applyBorder="1" applyAlignment="1">
      <alignment wrapText="1"/>
    </xf>
    <xf numFmtId="0" fontId="10" fillId="0" borderId="62" xfId="0" applyFont="1" applyBorder="1" applyAlignment="1">
      <alignment wrapText="1"/>
    </xf>
    <xf numFmtId="3" fontId="10" fillId="0" borderId="62" xfId="0" applyNumberFormat="1" applyFont="1" applyBorder="1" applyAlignment="1">
      <alignment/>
    </xf>
    <xf numFmtId="10" fontId="10" fillId="0" borderId="62" xfId="0" applyNumberFormat="1" applyFont="1" applyBorder="1" applyAlignment="1">
      <alignment/>
    </xf>
    <xf numFmtId="10" fontId="10" fillId="0" borderId="4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10" fontId="10" fillId="0" borderId="14" xfId="0" applyNumberFormat="1" applyFont="1" applyBorder="1" applyAlignment="1">
      <alignment/>
    </xf>
    <xf numFmtId="0" fontId="0" fillId="0" borderId="63" xfId="0" applyFont="1" applyBorder="1" applyAlignment="1">
      <alignment/>
    </xf>
    <xf numFmtId="3" fontId="0" fillId="0" borderId="63" xfId="0" applyNumberFormat="1" applyFont="1" applyBorder="1" applyAlignment="1">
      <alignment/>
    </xf>
    <xf numFmtId="10" fontId="0" fillId="0" borderId="63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4" xfId="0" applyFont="1" applyBorder="1" applyAlignment="1">
      <alignment/>
    </xf>
    <xf numFmtId="3" fontId="0" fillId="0" borderId="64" xfId="0" applyNumberFormat="1" applyFont="1" applyBorder="1" applyAlignment="1">
      <alignment/>
    </xf>
    <xf numFmtId="10" fontId="0" fillId="0" borderId="64" xfId="0" applyNumberFormat="1" applyFont="1" applyBorder="1" applyAlignment="1">
      <alignment/>
    </xf>
    <xf numFmtId="0" fontId="0" fillId="0" borderId="65" xfId="0" applyFont="1" applyBorder="1" applyAlignment="1">
      <alignment wrapText="1"/>
    </xf>
    <xf numFmtId="3" fontId="0" fillId="0" borderId="65" xfId="0" applyNumberFormat="1" applyFont="1" applyBorder="1" applyAlignment="1">
      <alignment/>
    </xf>
    <xf numFmtId="10" fontId="0" fillId="0" borderId="65" xfId="0" applyNumberFormat="1" applyFont="1" applyBorder="1" applyAlignment="1">
      <alignment/>
    </xf>
    <xf numFmtId="0" fontId="0" fillId="0" borderId="66" xfId="0" applyFont="1" applyBorder="1" applyAlignment="1">
      <alignment/>
    </xf>
    <xf numFmtId="3" fontId="0" fillId="0" borderId="66" xfId="0" applyNumberFormat="1" applyFont="1" applyBorder="1" applyAlignment="1">
      <alignment/>
    </xf>
    <xf numFmtId="10" fontId="0" fillId="0" borderId="66" xfId="0" applyNumberFormat="1" applyFont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10" fillId="3" borderId="4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10" fillId="0" borderId="4" xfId="0" applyFont="1" applyBorder="1" applyAlignment="1">
      <alignment wrapText="1"/>
    </xf>
    <xf numFmtId="3" fontId="10" fillId="0" borderId="4" xfId="0" applyNumberFormat="1" applyFont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10" fillId="0" borderId="62" xfId="0" applyFont="1" applyBorder="1" applyAlignment="1">
      <alignment/>
    </xf>
    <xf numFmtId="0" fontId="10" fillId="0" borderId="23" xfId="0" applyFont="1" applyBorder="1" applyAlignment="1">
      <alignment/>
    </xf>
    <xf numFmtId="3" fontId="10" fillId="0" borderId="23" xfId="0" applyNumberFormat="1" applyFont="1" applyBorder="1" applyAlignment="1">
      <alignment/>
    </xf>
    <xf numFmtId="10" fontId="10" fillId="0" borderId="2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0" fontId="1" fillId="0" borderId="22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10" fontId="1" fillId="0" borderId="6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1" fillId="3" borderId="2" xfId="0" applyFont="1" applyFill="1" applyBorder="1" applyAlignment="1">
      <alignment/>
    </xf>
    <xf numFmtId="0" fontId="4" fillId="0" borderId="5" xfId="0" applyFont="1" applyBorder="1" applyAlignment="1">
      <alignment wrapText="1"/>
    </xf>
    <xf numFmtId="0" fontId="0" fillId="3" borderId="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3" fontId="0" fillId="3" borderId="56" xfId="0" applyNumberFormat="1" applyFont="1" applyFill="1" applyBorder="1" applyAlignment="1">
      <alignment/>
    </xf>
    <xf numFmtId="10" fontId="0" fillId="3" borderId="56" xfId="0" applyNumberFormat="1" applyFont="1" applyFill="1" applyBorder="1" applyAlignment="1">
      <alignment/>
    </xf>
    <xf numFmtId="0" fontId="10" fillId="3" borderId="57" xfId="0" applyFont="1" applyFill="1" applyBorder="1" applyAlignment="1">
      <alignment/>
    </xf>
    <xf numFmtId="3" fontId="10" fillId="3" borderId="57" xfId="0" applyNumberFormat="1" applyFont="1" applyFill="1" applyBorder="1" applyAlignment="1">
      <alignment/>
    </xf>
    <xf numFmtId="10" fontId="10" fillId="3" borderId="57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9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3" fontId="6" fillId="2" borderId="46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0" fontId="9" fillId="0" borderId="5" xfId="0" applyFont="1" applyBorder="1" applyAlignment="1">
      <alignment wrapText="1"/>
    </xf>
    <xf numFmtId="0" fontId="2" fillId="0" borderId="0" xfId="0" applyFont="1" applyAlignment="1">
      <alignment/>
    </xf>
    <xf numFmtId="0" fontId="9" fillId="0" borderId="6" xfId="0" applyFont="1" applyBorder="1" applyAlignment="1">
      <alignment horizontal="left" wrapText="1"/>
    </xf>
    <xf numFmtId="3" fontId="9" fillId="0" borderId="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7" fillId="0" borderId="0" xfId="0" applyFont="1" applyAlignment="1">
      <alignment/>
    </xf>
    <xf numFmtId="1" fontId="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2" fillId="0" borderId="43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3" xfId="0" applyFont="1" applyBorder="1" applyAlignment="1">
      <alignment/>
    </xf>
    <xf numFmtId="1" fontId="2" fillId="0" borderId="74" xfId="0" applyNumberFormat="1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1" fontId="2" fillId="0" borderId="74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1" fontId="9" fillId="0" borderId="45" xfId="0" applyNumberFormat="1" applyFont="1" applyBorder="1" applyAlignment="1">
      <alignment/>
    </xf>
    <xf numFmtId="0" fontId="9" fillId="0" borderId="45" xfId="0" applyFont="1" applyBorder="1" applyAlignment="1">
      <alignment horizontal="center"/>
    </xf>
    <xf numFmtId="0" fontId="9" fillId="0" borderId="4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77" xfId="0" applyFont="1" applyBorder="1" applyAlignment="1">
      <alignment horizontal="center" vertical="top" wrapText="1"/>
    </xf>
    <xf numFmtId="1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6" fillId="0" borderId="19" xfId="0" applyNumberFormat="1" applyFont="1" applyBorder="1" applyAlignment="1">
      <alignment/>
    </xf>
    <xf numFmtId="3" fontId="18" fillId="0" borderId="78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78" xfId="0" applyNumberFormat="1" applyFont="1" applyBorder="1" applyAlignment="1">
      <alignment/>
    </xf>
    <xf numFmtId="3" fontId="11" fillId="0" borderId="79" xfId="0" applyNumberFormat="1" applyFont="1" applyBorder="1" applyAlignment="1">
      <alignment/>
    </xf>
    <xf numFmtId="10" fontId="11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9" fillId="0" borderId="6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9" fillId="0" borderId="80" xfId="0" applyNumberFormat="1" applyFont="1" applyBorder="1" applyAlignment="1">
      <alignment/>
    </xf>
    <xf numFmtId="3" fontId="9" fillId="0" borderId="81" xfId="0" applyNumberFormat="1" applyFont="1" applyBorder="1" applyAlignment="1">
      <alignment/>
    </xf>
    <xf numFmtId="3" fontId="9" fillId="0" borderId="82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83" xfId="0" applyNumberFormat="1" applyFont="1" applyBorder="1" applyAlignment="1">
      <alignment/>
    </xf>
    <xf numFmtId="10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3" fontId="18" fillId="0" borderId="84" xfId="0" applyNumberFormat="1" applyFont="1" applyBorder="1" applyAlignment="1">
      <alignment/>
    </xf>
    <xf numFmtId="10" fontId="18" fillId="0" borderId="2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" fontId="18" fillId="2" borderId="2" xfId="0" applyNumberFormat="1" applyFont="1" applyFill="1" applyBorder="1" applyAlignment="1">
      <alignment/>
    </xf>
    <xf numFmtId="3" fontId="18" fillId="2" borderId="1" xfId="0" applyNumberFormat="1" applyFont="1" applyFill="1" applyBorder="1" applyAlignment="1">
      <alignment/>
    </xf>
    <xf numFmtId="3" fontId="18" fillId="2" borderId="5" xfId="0" applyNumberFormat="1" applyFont="1" applyFill="1" applyBorder="1" applyAlignment="1">
      <alignment/>
    </xf>
    <xf numFmtId="3" fontId="18" fillId="2" borderId="10" xfId="0" applyNumberFormat="1" applyFont="1" applyFill="1" applyBorder="1" applyAlignment="1">
      <alignment/>
    </xf>
    <xf numFmtId="3" fontId="18" fillId="2" borderId="85" xfId="0" applyNumberFormat="1" applyFont="1" applyFill="1" applyBorder="1" applyAlignment="1">
      <alignment/>
    </xf>
    <xf numFmtId="10" fontId="18" fillId="2" borderId="5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1" fontId="18" fillId="0" borderId="6" xfId="0" applyNumberFormat="1" applyFont="1" applyBorder="1" applyAlignment="1">
      <alignment/>
    </xf>
    <xf numFmtId="1" fontId="18" fillId="0" borderId="2" xfId="0" applyNumberFormat="1" applyFont="1" applyBorder="1" applyAlignment="1">
      <alignment vertical="top"/>
    </xf>
    <xf numFmtId="3" fontId="18" fillId="0" borderId="27" xfId="0" applyNumberFormat="1" applyFont="1" applyBorder="1" applyAlignment="1">
      <alignment wrapText="1"/>
    </xf>
    <xf numFmtId="3" fontId="18" fillId="0" borderId="2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86" xfId="0" applyNumberFormat="1" applyFont="1" applyBorder="1" applyAlignment="1">
      <alignment/>
    </xf>
    <xf numFmtId="10" fontId="18" fillId="0" borderId="2" xfId="0" applyNumberFormat="1" applyFont="1" applyBorder="1" applyAlignment="1">
      <alignment/>
    </xf>
    <xf numFmtId="1" fontId="19" fillId="0" borderId="6" xfId="0" applyNumberFormat="1" applyFont="1" applyBorder="1" applyAlignment="1">
      <alignment/>
    </xf>
    <xf numFmtId="1" fontId="19" fillId="0" borderId="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9" fillId="0" borderId="87" xfId="0" applyNumberFormat="1" applyFont="1" applyBorder="1" applyAlignment="1">
      <alignment/>
    </xf>
    <xf numFmtId="10" fontId="19" fillId="0" borderId="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10" fontId="19" fillId="0" borderId="4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10" fontId="19" fillId="0" borderId="23" xfId="0" applyNumberFormat="1" applyFont="1" applyBorder="1" applyAlignment="1">
      <alignment/>
    </xf>
    <xf numFmtId="3" fontId="19" fillId="0" borderId="48" xfId="0" applyNumberFormat="1" applyFont="1" applyBorder="1" applyAlignment="1">
      <alignment wrapText="1"/>
    </xf>
    <xf numFmtId="3" fontId="19" fillId="0" borderId="88" xfId="0" applyNumberFormat="1" applyFont="1" applyBorder="1" applyAlignment="1">
      <alignment/>
    </xf>
    <xf numFmtId="3" fontId="19" fillId="0" borderId="13" xfId="0" applyNumberFormat="1" applyFont="1" applyBorder="1" applyAlignment="1">
      <alignment wrapText="1"/>
    </xf>
    <xf numFmtId="3" fontId="19" fillId="0" borderId="6" xfId="0" applyNumberFormat="1" applyFont="1" applyBorder="1" applyAlignment="1">
      <alignment/>
    </xf>
    <xf numFmtId="3" fontId="19" fillId="0" borderId="23" xfId="0" applyNumberFormat="1" applyFont="1" applyBorder="1" applyAlignment="1">
      <alignment wrapText="1"/>
    </xf>
    <xf numFmtId="3" fontId="19" fillId="0" borderId="49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1" fontId="19" fillId="0" borderId="5" xfId="0" applyNumberFormat="1" applyFont="1" applyBorder="1" applyAlignment="1">
      <alignment/>
    </xf>
    <xf numFmtId="3" fontId="19" fillId="0" borderId="89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90" xfId="0" applyNumberFormat="1" applyFont="1" applyBorder="1" applyAlignment="1">
      <alignment/>
    </xf>
    <xf numFmtId="10" fontId="19" fillId="0" borderId="14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85" xfId="0" applyNumberFormat="1" applyFont="1" applyBorder="1" applyAlignment="1">
      <alignment/>
    </xf>
    <xf numFmtId="10" fontId="18" fillId="0" borderId="5" xfId="0" applyNumberFormat="1" applyFont="1" applyBorder="1" applyAlignment="1">
      <alignment/>
    </xf>
    <xf numFmtId="1" fontId="19" fillId="0" borderId="2" xfId="0" applyNumberFormat="1" applyFont="1" applyBorder="1" applyAlignment="1">
      <alignment/>
    </xf>
    <xf numFmtId="3" fontId="19" fillId="0" borderId="27" xfId="0" applyNumberFormat="1" applyFont="1" applyBorder="1" applyAlignment="1">
      <alignment wrapText="1"/>
    </xf>
    <xf numFmtId="3" fontId="19" fillId="0" borderId="2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85" xfId="0" applyNumberFormat="1" applyFont="1" applyBorder="1" applyAlignment="1">
      <alignment/>
    </xf>
    <xf numFmtId="10" fontId="19" fillId="0" borderId="5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91" xfId="0" applyNumberFormat="1" applyFont="1" applyBorder="1" applyAlignment="1">
      <alignment/>
    </xf>
    <xf numFmtId="10" fontId="19" fillId="0" borderId="4" xfId="0" applyNumberFormat="1" applyFont="1" applyBorder="1" applyAlignment="1">
      <alignment/>
    </xf>
    <xf numFmtId="10" fontId="19" fillId="0" borderId="3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10" fontId="19" fillId="0" borderId="23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1" fontId="19" fillId="0" borderId="6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6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83" xfId="0" applyNumberFormat="1" applyFont="1" applyBorder="1" applyAlignment="1">
      <alignment/>
    </xf>
    <xf numFmtId="3" fontId="18" fillId="2" borderId="27" xfId="0" applyNumberFormat="1" applyFont="1" applyFill="1" applyBorder="1" applyAlignment="1">
      <alignment/>
    </xf>
    <xf numFmtId="3" fontId="18" fillId="2" borderId="2" xfId="0" applyNumberFormat="1" applyFont="1" applyFill="1" applyBorder="1" applyAlignment="1">
      <alignment/>
    </xf>
    <xf numFmtId="3" fontId="18" fillId="2" borderId="9" xfId="0" applyNumberFormat="1" applyFont="1" applyFill="1" applyBorder="1" applyAlignment="1">
      <alignment/>
    </xf>
    <xf numFmtId="3" fontId="18" fillId="2" borderId="86" xfId="0" applyNumberFormat="1" applyFont="1" applyFill="1" applyBorder="1" applyAlignment="1">
      <alignment/>
    </xf>
    <xf numFmtId="10" fontId="18" fillId="2" borderId="2" xfId="0" applyNumberFormat="1" applyFont="1" applyFill="1" applyBorder="1" applyAlignment="1">
      <alignment/>
    </xf>
    <xf numFmtId="1" fontId="18" fillId="0" borderId="2" xfId="0" applyNumberFormat="1" applyFont="1" applyBorder="1" applyAlignment="1">
      <alignment/>
    </xf>
    <xf numFmtId="3" fontId="19" fillId="0" borderId="86" xfId="0" applyNumberFormat="1" applyFont="1" applyBorder="1" applyAlignment="1">
      <alignment/>
    </xf>
    <xf numFmtId="10" fontId="19" fillId="0" borderId="2" xfId="0" applyNumberFormat="1" applyFont="1" applyBorder="1" applyAlignment="1">
      <alignment/>
    </xf>
    <xf numFmtId="10" fontId="18" fillId="3" borderId="2" xfId="0" applyNumberFormat="1" applyFont="1" applyFill="1" applyBorder="1" applyAlignment="1">
      <alignment/>
    </xf>
    <xf numFmtId="10" fontId="19" fillId="3" borderId="2" xfId="0" applyNumberFormat="1" applyFont="1" applyFill="1" applyBorder="1" applyAlignment="1">
      <alignment/>
    </xf>
    <xf numFmtId="3" fontId="18" fillId="0" borderId="1" xfId="0" applyNumberFormat="1" applyFont="1" applyBorder="1" applyAlignment="1">
      <alignment wrapText="1"/>
    </xf>
    <xf numFmtId="1" fontId="18" fillId="0" borderId="7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10" fontId="19" fillId="0" borderId="6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1" fontId="18" fillId="2" borderId="5" xfId="0" applyNumberFormat="1" applyFont="1" applyFill="1" applyBorder="1" applyAlignment="1">
      <alignment/>
    </xf>
    <xf numFmtId="1" fontId="18" fillId="2" borderId="5" xfId="0" applyNumberFormat="1" applyFont="1" applyFill="1" applyBorder="1" applyAlignment="1">
      <alignment/>
    </xf>
    <xf numFmtId="3" fontId="18" fillId="2" borderId="1" xfId="0" applyNumberFormat="1" applyFont="1" applyFill="1" applyBorder="1" applyAlignment="1">
      <alignment wrapText="1"/>
    </xf>
    <xf numFmtId="1" fontId="18" fillId="0" borderId="5" xfId="0" applyNumberFormat="1" applyFont="1" applyBorder="1" applyAlignment="1">
      <alignment vertical="top"/>
    </xf>
    <xf numFmtId="10" fontId="19" fillId="0" borderId="5" xfId="0" applyNumberFormat="1" applyFont="1" applyBorder="1" applyAlignment="1">
      <alignment/>
    </xf>
    <xf numFmtId="1" fontId="18" fillId="0" borderId="2" xfId="0" applyNumberFormat="1" applyFont="1" applyBorder="1" applyAlignment="1">
      <alignment/>
    </xf>
    <xf numFmtId="3" fontId="19" fillId="0" borderId="28" xfId="0" applyNumberFormat="1" applyFont="1" applyBorder="1" applyAlignment="1">
      <alignment wrapText="1"/>
    </xf>
    <xf numFmtId="10" fontId="19" fillId="0" borderId="7" xfId="0" applyNumberFormat="1" applyFont="1" applyBorder="1" applyAlignment="1">
      <alignment/>
    </xf>
    <xf numFmtId="3" fontId="19" fillId="0" borderId="1" xfId="0" applyNumberFormat="1" applyFont="1" applyBorder="1" applyAlignment="1">
      <alignment wrapText="1"/>
    </xf>
    <xf numFmtId="3" fontId="18" fillId="2" borderId="2" xfId="0" applyNumberFormat="1" applyFont="1" applyFill="1" applyBorder="1" applyAlignment="1">
      <alignment wrapText="1"/>
    </xf>
    <xf numFmtId="10" fontId="18" fillId="0" borderId="14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10" fontId="19" fillId="0" borderId="51" xfId="0" applyNumberFormat="1" applyFont="1" applyBorder="1" applyAlignment="1">
      <alignment/>
    </xf>
    <xf numFmtId="3" fontId="19" fillId="0" borderId="8" xfId="0" applyNumberFormat="1" applyFont="1" applyBorder="1" applyAlignment="1">
      <alignment wrapText="1"/>
    </xf>
    <xf numFmtId="3" fontId="19" fillId="0" borderId="15" xfId="0" applyNumberFormat="1" applyFont="1" applyBorder="1" applyAlignment="1">
      <alignment/>
    </xf>
    <xf numFmtId="3" fontId="18" fillId="0" borderId="5" xfId="0" applyNumberFormat="1" applyFont="1" applyBorder="1" applyAlignment="1">
      <alignment wrapText="1"/>
    </xf>
    <xf numFmtId="3" fontId="19" fillId="0" borderId="89" xfId="0" applyNumberFormat="1" applyFont="1" applyBorder="1" applyAlignment="1">
      <alignment wrapText="1"/>
    </xf>
    <xf numFmtId="10" fontId="18" fillId="0" borderId="51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0" fontId="18" fillId="0" borderId="7" xfId="0" applyNumberFormat="1" applyFont="1" applyBorder="1" applyAlignment="1">
      <alignment/>
    </xf>
    <xf numFmtId="3" fontId="18" fillId="2" borderId="27" xfId="0" applyNumberFormat="1" applyFont="1" applyFill="1" applyBorder="1" applyAlignment="1">
      <alignment wrapText="1"/>
    </xf>
    <xf numFmtId="1" fontId="18" fillId="2" borderId="2" xfId="0" applyNumberFormat="1" applyFont="1" applyFill="1" applyBorder="1" applyAlignment="1">
      <alignment/>
    </xf>
    <xf numFmtId="1" fontId="18" fillId="0" borderId="5" xfId="0" applyNumberFormat="1" applyFont="1" applyBorder="1" applyAlignment="1">
      <alignment/>
    </xf>
    <xf numFmtId="3" fontId="19" fillId="0" borderId="47" xfId="0" applyNumberFormat="1" applyFont="1" applyBorder="1" applyAlignment="1">
      <alignment wrapText="1"/>
    </xf>
    <xf numFmtId="3" fontId="19" fillId="0" borderId="29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10" fontId="18" fillId="4" borderId="2" xfId="0" applyNumberFormat="1" applyFont="1" applyFill="1" applyBorder="1" applyAlignment="1">
      <alignment/>
    </xf>
    <xf numFmtId="0" fontId="19" fillId="0" borderId="27" xfId="0" applyFont="1" applyBorder="1" applyAlignment="1">
      <alignment horizontal="left" wrapText="1"/>
    </xf>
    <xf numFmtId="10" fontId="19" fillId="4" borderId="2" xfId="0" applyNumberFormat="1" applyFont="1" applyFill="1" applyBorder="1" applyAlignment="1">
      <alignment/>
    </xf>
    <xf numFmtId="3" fontId="19" fillId="0" borderId="29" xfId="0" applyNumberFormat="1" applyFont="1" applyBorder="1" applyAlignment="1">
      <alignment wrapText="1"/>
    </xf>
    <xf numFmtId="1" fontId="20" fillId="0" borderId="6" xfId="0" applyNumberFormat="1" applyFont="1" applyBorder="1" applyAlignment="1">
      <alignment/>
    </xf>
    <xf numFmtId="3" fontId="20" fillId="0" borderId="8" xfId="0" applyNumberFormat="1" applyFont="1" applyBorder="1" applyAlignment="1">
      <alignment wrapText="1"/>
    </xf>
    <xf numFmtId="3" fontId="20" fillId="0" borderId="6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3" fontId="20" fillId="0" borderId="83" xfId="0" applyNumberFormat="1" applyFont="1" applyBorder="1" applyAlignment="1">
      <alignment/>
    </xf>
    <xf numFmtId="10" fontId="20" fillId="0" borderId="6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" fontId="18" fillId="2" borderId="27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0" fillId="0" borderId="27" xfId="0" applyNumberFormat="1" applyFont="1" applyBorder="1" applyAlignment="1">
      <alignment wrapText="1"/>
    </xf>
    <xf numFmtId="3" fontId="20" fillId="0" borderId="2" xfId="0" applyNumberFormat="1" applyFont="1" applyBorder="1" applyAlignment="1">
      <alignment/>
    </xf>
    <xf numFmtId="3" fontId="20" fillId="0" borderId="9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86" xfId="0" applyNumberFormat="1" applyFont="1" applyBorder="1" applyAlignment="1">
      <alignment/>
    </xf>
    <xf numFmtId="10" fontId="20" fillId="0" borderId="5" xfId="0" applyNumberFormat="1" applyFont="1" applyBorder="1" applyAlignment="1">
      <alignment/>
    </xf>
    <xf numFmtId="10" fontId="20" fillId="0" borderId="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3" fontId="1" fillId="3" borderId="20" xfId="0" applyNumberFormat="1" applyFont="1" applyFill="1" applyBorder="1" applyAlignment="1">
      <alignment/>
    </xf>
    <xf numFmtId="10" fontId="1" fillId="3" borderId="20" xfId="0" applyNumberFormat="1" applyFont="1" applyFill="1" applyBorder="1" applyAlignment="1">
      <alignment/>
    </xf>
    <xf numFmtId="0" fontId="0" fillId="3" borderId="6" xfId="0" applyFont="1" applyFill="1" applyBorder="1" applyAlignment="1">
      <alignment horizontal="left"/>
    </xf>
    <xf numFmtId="0" fontId="10" fillId="0" borderId="22" xfId="0" applyFont="1" applyBorder="1" applyAlignment="1">
      <alignment/>
    </xf>
    <xf numFmtId="0" fontId="4" fillId="3" borderId="22" xfId="0" applyFont="1" applyFill="1" applyBorder="1" applyAlignment="1">
      <alignment horizontal="left"/>
    </xf>
    <xf numFmtId="3" fontId="4" fillId="3" borderId="22" xfId="0" applyNumberFormat="1" applyFont="1" applyFill="1" applyBorder="1" applyAlignment="1">
      <alignment/>
    </xf>
    <xf numFmtId="10" fontId="4" fillId="3" borderId="2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10" fontId="1" fillId="2" borderId="5" xfId="0" applyNumberFormat="1" applyFont="1" applyFill="1" applyBorder="1" applyAlignment="1">
      <alignment/>
    </xf>
    <xf numFmtId="0" fontId="1" fillId="0" borderId="5" xfId="0" applyFont="1" applyBorder="1" applyAlignment="1">
      <alignment horizontal="left" wrapText="1"/>
    </xf>
    <xf numFmtId="10" fontId="1" fillId="0" borderId="5" xfId="0" applyNumberFormat="1" applyFont="1" applyBorder="1" applyAlignment="1">
      <alignment horizontal="right"/>
    </xf>
    <xf numFmtId="10" fontId="0" fillId="0" borderId="3" xfId="0" applyNumberFormat="1" applyFont="1" applyBorder="1" applyAlignment="1">
      <alignment horizontal="right"/>
    </xf>
    <xf numFmtId="10" fontId="0" fillId="0" borderId="4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3" fontId="0" fillId="0" borderId="23" xfId="0" applyNumberFormat="1" applyFont="1" applyBorder="1" applyAlignment="1">
      <alignment horizontal="right"/>
    </xf>
    <xf numFmtId="10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 wrapText="1"/>
    </xf>
    <xf numFmtId="10" fontId="0" fillId="0" borderId="5" xfId="0" applyNumberFormat="1" applyFont="1" applyBorder="1" applyAlignment="1">
      <alignment horizontal="right"/>
    </xf>
    <xf numFmtId="3" fontId="22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3" fontId="23" fillId="0" borderId="5" xfId="0" applyNumberFormat="1" applyFont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10" fontId="0" fillId="0" borderId="5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0" fillId="0" borderId="95" xfId="0" applyFont="1" applyBorder="1" applyAlignment="1">
      <alignment horizontal="left" wrapText="1"/>
    </xf>
    <xf numFmtId="3" fontId="0" fillId="0" borderId="95" xfId="0" applyNumberFormat="1" applyFont="1" applyBorder="1" applyAlignment="1">
      <alignment/>
    </xf>
    <xf numFmtId="10" fontId="0" fillId="0" borderId="95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3" xfId="0" applyFont="1" applyBorder="1" applyAlignment="1">
      <alignment horizontal="left" wrapText="1"/>
    </xf>
    <xf numFmtId="3" fontId="10" fillId="0" borderId="23" xfId="0" applyNumberFormat="1" applyFont="1" applyBorder="1" applyAlignment="1">
      <alignment/>
    </xf>
    <xf numFmtId="3" fontId="10" fillId="6" borderId="23" xfId="0" applyNumberFormat="1" applyFont="1" applyFill="1" applyBorder="1" applyAlignment="1">
      <alignment/>
    </xf>
    <xf numFmtId="10" fontId="10" fillId="0" borderId="23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6" xfId="0" applyFont="1" applyBorder="1" applyAlignment="1">
      <alignment horizontal="left" wrapText="1"/>
    </xf>
    <xf numFmtId="3" fontId="0" fillId="6" borderId="6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6" borderId="2" xfId="0" applyNumberFormat="1" applyFont="1" applyFill="1" applyBorder="1" applyAlignment="1">
      <alignment/>
    </xf>
    <xf numFmtId="0" fontId="4" fillId="0" borderId="96" xfId="0" applyFont="1" applyBorder="1" applyAlignment="1">
      <alignment horizontal="left" wrapText="1"/>
    </xf>
    <xf numFmtId="3" fontId="4" fillId="0" borderId="96" xfId="0" applyNumberFormat="1" applyFont="1" applyBorder="1" applyAlignment="1">
      <alignment/>
    </xf>
    <xf numFmtId="10" fontId="4" fillId="0" borderId="96" xfId="0" applyNumberFormat="1" applyFont="1" applyBorder="1" applyAlignment="1">
      <alignment/>
    </xf>
    <xf numFmtId="0" fontId="4" fillId="0" borderId="22" xfId="0" applyFont="1" applyBorder="1" applyAlignment="1">
      <alignment horizontal="left" wrapText="1"/>
    </xf>
    <xf numFmtId="3" fontId="4" fillId="0" borderId="22" xfId="0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0" fontId="4" fillId="0" borderId="54" xfId="0" applyFont="1" applyBorder="1" applyAlignment="1">
      <alignment wrapText="1"/>
    </xf>
    <xf numFmtId="3" fontId="4" fillId="0" borderId="54" xfId="0" applyNumberFormat="1" applyFont="1" applyBorder="1" applyAlignment="1">
      <alignment/>
    </xf>
    <xf numFmtId="10" fontId="4" fillId="0" borderId="54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10" fontId="0" fillId="0" borderId="0" xfId="0" applyNumberFormat="1" applyAlignment="1">
      <alignment/>
    </xf>
    <xf numFmtId="3" fontId="6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centerContinuous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3" fontId="1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8" fillId="0" borderId="44" xfId="0" applyFont="1" applyBorder="1" applyAlignment="1">
      <alignment horizontal="left" vertical="center" wrapText="1"/>
    </xf>
    <xf numFmtId="0" fontId="8" fillId="0" borderId="43" xfId="0" applyFont="1" applyBorder="1" applyAlignment="1">
      <alignment vertical="center"/>
    </xf>
    <xf numFmtId="3" fontId="13" fillId="0" borderId="97" xfId="0" applyNumberFormat="1" applyFont="1" applyBorder="1" applyAlignment="1">
      <alignment horizontal="centerContinuous" vertical="center"/>
    </xf>
    <xf numFmtId="3" fontId="13" fillId="0" borderId="73" xfId="0" applyNumberFormat="1" applyFont="1" applyBorder="1" applyAlignment="1">
      <alignment horizontal="left" vertical="center"/>
    </xf>
    <xf numFmtId="10" fontId="13" fillId="0" borderId="98" xfId="0" applyNumberFormat="1" applyFont="1" applyBorder="1" applyAlignment="1">
      <alignment horizontal="centerContinuous" vertical="center"/>
    </xf>
    <xf numFmtId="3" fontId="8" fillId="0" borderId="97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3" fillId="0" borderId="99" xfId="0" applyFont="1" applyBorder="1" applyAlignment="1">
      <alignment horizontal="center" wrapText="1"/>
    </xf>
    <xf numFmtId="0" fontId="13" fillId="0" borderId="74" xfId="0" applyFont="1" applyBorder="1" applyAlignment="1">
      <alignment horizontal="center"/>
    </xf>
    <xf numFmtId="3" fontId="13" fillId="0" borderId="98" xfId="0" applyNumberFormat="1" applyFont="1" applyBorder="1" applyAlignment="1">
      <alignment horizontal="center" wrapText="1"/>
    </xf>
    <xf numFmtId="10" fontId="13" fillId="0" borderId="68" xfId="0" applyNumberFormat="1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99" xfId="0" applyFont="1" applyBorder="1" applyAlignment="1">
      <alignment horizontal="center" vertical="top" wrapText="1"/>
    </xf>
    <xf numFmtId="0" fontId="8" fillId="0" borderId="74" xfId="0" applyFont="1" applyBorder="1" applyAlignment="1">
      <alignment vertical="top"/>
    </xf>
    <xf numFmtId="3" fontId="13" fillId="0" borderId="100" xfId="0" applyNumberFormat="1" applyFont="1" applyBorder="1" applyAlignment="1">
      <alignment horizontal="center" vertical="top" wrapText="1"/>
    </xf>
    <xf numFmtId="3" fontId="13" fillId="0" borderId="0" xfId="0" applyNumberFormat="1" applyFont="1" applyAlignment="1">
      <alignment horizontal="center" vertical="top" wrapText="1"/>
    </xf>
    <xf numFmtId="3" fontId="13" fillId="0" borderId="43" xfId="0" applyNumberFormat="1" applyFont="1" applyBorder="1" applyAlignment="1">
      <alignment horizontal="center" vertical="top" wrapText="1"/>
    </xf>
    <xf numFmtId="20" fontId="13" fillId="0" borderId="77" xfId="0" applyNumberFormat="1" applyFont="1" applyBorder="1" applyAlignment="1" quotePrefix="1">
      <alignment horizontal="center" vertical="top"/>
    </xf>
    <xf numFmtId="49" fontId="13" fillId="0" borderId="74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8" fillId="0" borderId="101" xfId="0" applyNumberFormat="1" applyFont="1" applyBorder="1" applyAlignment="1">
      <alignment horizontal="center" vertical="center"/>
    </xf>
    <xf numFmtId="0" fontId="1" fillId="2" borderId="46" xfId="0" applyNumberFormat="1" applyFont="1" applyFill="1" applyBorder="1" applyAlignment="1">
      <alignment horizontal="right" wrapText="1"/>
    </xf>
    <xf numFmtId="0" fontId="1" fillId="2" borderId="27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right"/>
    </xf>
    <xf numFmtId="10" fontId="2" fillId="2" borderId="2" xfId="0" applyNumberFormat="1" applyFont="1" applyFill="1" applyBorder="1" applyAlignment="1">
      <alignment horizontal="right"/>
    </xf>
    <xf numFmtId="0" fontId="1" fillId="3" borderId="22" xfId="0" applyNumberFormat="1" applyFont="1" applyFill="1" applyBorder="1" applyAlignment="1">
      <alignment horizontal="right" wrapText="1"/>
    </xf>
    <xf numFmtId="0" fontId="1" fillId="3" borderId="26" xfId="0" applyFont="1" applyFill="1" applyBorder="1" applyAlignment="1">
      <alignment horizontal="center" wrapText="1"/>
    </xf>
    <xf numFmtId="0" fontId="4" fillId="0" borderId="5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3" fontId="4" fillId="0" borderId="5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0" fillId="6" borderId="7" xfId="0" applyNumberFormat="1" applyFont="1" applyFill="1" applyBorder="1" applyAlignment="1">
      <alignment wrapText="1"/>
    </xf>
    <xf numFmtId="3" fontId="0" fillId="6" borderId="7" xfId="0" applyNumberFormat="1" applyFont="1" applyFill="1" applyBorder="1" applyAlignment="1">
      <alignment/>
    </xf>
    <xf numFmtId="3" fontId="0" fillId="6" borderId="6" xfId="0" applyNumberFormat="1" applyFont="1" applyFill="1" applyBorder="1" applyAlignment="1">
      <alignment/>
    </xf>
    <xf numFmtId="10" fontId="0" fillId="6" borderId="7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6" borderId="6" xfId="0" applyFill="1" applyBorder="1" applyAlignment="1">
      <alignment/>
    </xf>
    <xf numFmtId="0" fontId="0" fillId="6" borderId="6" xfId="0" applyNumberFormat="1" applyFont="1" applyFill="1" applyBorder="1" applyAlignment="1">
      <alignment wrapText="1"/>
    </xf>
    <xf numFmtId="3" fontId="0" fillId="6" borderId="8" xfId="0" applyNumberFormat="1" applyFont="1" applyFill="1" applyBorder="1" applyAlignment="1">
      <alignment/>
    </xf>
    <xf numFmtId="10" fontId="0" fillId="6" borderId="6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6" borderId="5" xfId="0" applyFill="1" applyBorder="1" applyAlignment="1">
      <alignment/>
    </xf>
    <xf numFmtId="0" fontId="0" fillId="6" borderId="5" xfId="0" applyNumberFormat="1" applyFont="1" applyFill="1" applyBorder="1" applyAlignment="1">
      <alignment wrapText="1"/>
    </xf>
    <xf numFmtId="0" fontId="0" fillId="6" borderId="5" xfId="0" applyFont="1" applyFill="1" applyBorder="1" applyAlignment="1">
      <alignment wrapText="1"/>
    </xf>
    <xf numFmtId="3" fontId="0" fillId="6" borderId="1" xfId="0" applyNumberFormat="1" applyFont="1" applyFill="1" applyBorder="1" applyAlignment="1">
      <alignment/>
    </xf>
    <xf numFmtId="3" fontId="0" fillId="6" borderId="5" xfId="0" applyNumberFormat="1" applyFont="1" applyFill="1" applyBorder="1" applyAlignment="1">
      <alignment/>
    </xf>
    <xf numFmtId="10" fontId="0" fillId="6" borderId="5" xfId="0" applyNumberFormat="1" applyFont="1" applyFill="1" applyBorder="1" applyAlignment="1">
      <alignment/>
    </xf>
    <xf numFmtId="3" fontId="0" fillId="6" borderId="8" xfId="0" applyNumberFormat="1" applyFont="1" applyFill="1" applyBorder="1" applyAlignment="1">
      <alignment wrapText="1"/>
    </xf>
    <xf numFmtId="3" fontId="0" fillId="6" borderId="1" xfId="0" applyNumberFormat="1" applyFont="1" applyFill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3" fontId="4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left" wrapText="1"/>
    </xf>
    <xf numFmtId="3" fontId="10" fillId="0" borderId="27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49" fontId="0" fillId="0" borderId="4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right" wrapText="1"/>
    </xf>
    <xf numFmtId="10" fontId="0" fillId="0" borderId="23" xfId="0" applyNumberFormat="1" applyFont="1" applyBorder="1" applyAlignment="1">
      <alignment/>
    </xf>
    <xf numFmtId="0" fontId="0" fillId="0" borderId="48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0" fillId="0" borderId="14" xfId="0" applyNumberFormat="1" applyFont="1" applyBorder="1" applyAlignment="1">
      <alignment horizontal="right" wrapText="1"/>
    </xf>
    <xf numFmtId="10" fontId="0" fillId="0" borderId="14" xfId="0" applyNumberFormat="1" applyFont="1" applyBorder="1" applyAlignment="1">
      <alignment/>
    </xf>
    <xf numFmtId="49" fontId="10" fillId="0" borderId="2" xfId="0" applyNumberFormat="1" applyFont="1" applyBorder="1" applyAlignment="1">
      <alignment wrapText="1"/>
    </xf>
    <xf numFmtId="0" fontId="10" fillId="0" borderId="27" xfId="0" applyFont="1" applyBorder="1" applyAlignment="1">
      <alignment wrapText="1"/>
    </xf>
    <xf numFmtId="3" fontId="10" fillId="0" borderId="2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0" fontId="0" fillId="6" borderId="2" xfId="0" applyNumberFormat="1" applyFont="1" applyFill="1" applyBorder="1" applyAlignment="1">
      <alignment horizontal="right"/>
    </xf>
    <xf numFmtId="0" fontId="24" fillId="0" borderId="1" xfId="0" applyFont="1" applyBorder="1" applyAlignment="1">
      <alignment wrapText="1"/>
    </xf>
    <xf numFmtId="3" fontId="4" fillId="0" borderId="27" xfId="0" applyNumberFormat="1" applyFont="1" applyBorder="1" applyAlignment="1">
      <alignment horizontal="left" wrapText="1"/>
    </xf>
    <xf numFmtId="3" fontId="4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10" fillId="6" borderId="5" xfId="0" applyFont="1" applyFill="1" applyBorder="1" applyAlignment="1">
      <alignment/>
    </xf>
    <xf numFmtId="0" fontId="10" fillId="6" borderId="2" xfId="0" applyNumberFormat="1" applyFont="1" applyFill="1" applyBorder="1" applyAlignment="1">
      <alignment wrapText="1"/>
    </xf>
    <xf numFmtId="3" fontId="10" fillId="6" borderId="1" xfId="0" applyNumberFormat="1" applyFont="1" applyFill="1" applyBorder="1" applyAlignment="1">
      <alignment horizontal="left" wrapText="1"/>
    </xf>
    <xf numFmtId="3" fontId="10" fillId="6" borderId="5" xfId="0" applyNumberFormat="1" applyFont="1" applyFill="1" applyBorder="1" applyAlignment="1">
      <alignment/>
    </xf>
    <xf numFmtId="10" fontId="10" fillId="6" borderId="5" xfId="0" applyNumberFormat="1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2" xfId="0" applyNumberFormat="1" applyFont="1" applyFill="1" applyBorder="1" applyAlignment="1">
      <alignment wrapText="1"/>
    </xf>
    <xf numFmtId="3" fontId="0" fillId="6" borderId="1" xfId="0" applyNumberFormat="1" applyFont="1" applyFill="1" applyBorder="1" applyAlignment="1">
      <alignment horizontal="left" wrapText="1"/>
    </xf>
    <xf numFmtId="3" fontId="0" fillId="6" borderId="5" xfId="0" applyNumberFormat="1" applyFont="1" applyFill="1" applyBorder="1" applyAlignment="1">
      <alignment/>
    </xf>
    <xf numFmtId="10" fontId="0" fillId="6" borderId="5" xfId="0" applyNumberFormat="1" applyFont="1" applyFill="1" applyBorder="1" applyAlignment="1">
      <alignment/>
    </xf>
    <xf numFmtId="0" fontId="10" fillId="0" borderId="1" xfId="0" applyFont="1" applyBorder="1" applyAlignment="1">
      <alignment wrapText="1"/>
    </xf>
    <xf numFmtId="0" fontId="0" fillId="6" borderId="3" xfId="0" applyNumberFormat="1" applyFont="1" applyFill="1" applyBorder="1" applyAlignment="1">
      <alignment wrapText="1"/>
    </xf>
    <xf numFmtId="0" fontId="0" fillId="6" borderId="28" xfId="0" applyFont="1" applyFill="1" applyBorder="1" applyAlignment="1">
      <alignment wrapText="1"/>
    </xf>
    <xf numFmtId="3" fontId="0" fillId="6" borderId="3" xfId="0" applyNumberFormat="1" applyFont="1" applyFill="1" applyBorder="1" applyAlignment="1">
      <alignment/>
    </xf>
    <xf numFmtId="10" fontId="0" fillId="6" borderId="3" xfId="0" applyNumberFormat="1" applyFont="1" applyFill="1" applyBorder="1" applyAlignment="1">
      <alignment/>
    </xf>
    <xf numFmtId="0" fontId="0" fillId="6" borderId="4" xfId="0" applyNumberFormat="1" applyFont="1" applyFill="1" applyBorder="1" applyAlignment="1">
      <alignment wrapText="1"/>
    </xf>
    <xf numFmtId="0" fontId="0" fillId="6" borderId="13" xfId="0" applyFont="1" applyFill="1" applyBorder="1" applyAlignment="1">
      <alignment wrapText="1"/>
    </xf>
    <xf numFmtId="3" fontId="0" fillId="6" borderId="4" xfId="0" applyNumberFormat="1" applyFont="1" applyFill="1" applyBorder="1" applyAlignment="1">
      <alignment/>
    </xf>
    <xf numFmtId="10" fontId="0" fillId="6" borderId="23" xfId="0" applyNumberFormat="1" applyFont="1" applyFill="1" applyBorder="1" applyAlignment="1">
      <alignment/>
    </xf>
    <xf numFmtId="10" fontId="0" fillId="6" borderId="51" xfId="0" applyNumberFormat="1" applyFont="1" applyFill="1" applyBorder="1" applyAlignment="1">
      <alignment/>
    </xf>
    <xf numFmtId="0" fontId="0" fillId="6" borderId="23" xfId="0" applyNumberFormat="1" applyFont="1" applyFill="1" applyBorder="1" applyAlignment="1">
      <alignment wrapText="1"/>
    </xf>
    <xf numFmtId="0" fontId="0" fillId="6" borderId="48" xfId="0" applyFont="1" applyFill="1" applyBorder="1" applyAlignment="1">
      <alignment wrapText="1"/>
    </xf>
    <xf numFmtId="3" fontId="0" fillId="6" borderId="23" xfId="0" applyNumberFormat="1" applyFont="1" applyFill="1" applyBorder="1" applyAlignment="1">
      <alignment/>
    </xf>
    <xf numFmtId="0" fontId="0" fillId="6" borderId="1" xfId="0" applyFont="1" applyFill="1" applyBorder="1" applyAlignment="1">
      <alignment wrapText="1"/>
    </xf>
    <xf numFmtId="0" fontId="10" fillId="6" borderId="2" xfId="0" applyFont="1" applyFill="1" applyBorder="1" applyAlignment="1">
      <alignment/>
    </xf>
    <xf numFmtId="3" fontId="10" fillId="6" borderId="2" xfId="0" applyNumberFormat="1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3" fontId="10" fillId="6" borderId="2" xfId="0" applyNumberFormat="1" applyFont="1" applyFill="1" applyBorder="1" applyAlignment="1">
      <alignment/>
    </xf>
    <xf numFmtId="0" fontId="0" fillId="6" borderId="6" xfId="0" applyFill="1" applyBorder="1" applyAlignment="1">
      <alignment/>
    </xf>
    <xf numFmtId="1" fontId="0" fillId="6" borderId="3" xfId="0" applyNumberFormat="1" applyFont="1" applyFill="1" applyBorder="1" applyAlignment="1">
      <alignment wrapText="1"/>
    </xf>
    <xf numFmtId="0" fontId="0" fillId="6" borderId="3" xfId="0" applyFont="1" applyFill="1" applyBorder="1" applyAlignment="1">
      <alignment wrapText="1"/>
    </xf>
    <xf numFmtId="3" fontId="0" fillId="6" borderId="3" xfId="0" applyNumberFormat="1" applyFont="1" applyFill="1" applyBorder="1" applyAlignment="1">
      <alignment/>
    </xf>
    <xf numFmtId="10" fontId="0" fillId="6" borderId="23" xfId="0" applyNumberFormat="1" applyFont="1" applyFill="1" applyBorder="1" applyAlignment="1">
      <alignment/>
    </xf>
    <xf numFmtId="3" fontId="0" fillId="6" borderId="4" xfId="0" applyNumberFormat="1" applyFont="1" applyFill="1" applyBorder="1" applyAlignment="1">
      <alignment/>
    </xf>
    <xf numFmtId="1" fontId="0" fillId="6" borderId="23" xfId="0" applyNumberFormat="1" applyFont="1" applyFill="1" applyBorder="1" applyAlignment="1">
      <alignment wrapText="1"/>
    </xf>
    <xf numFmtId="3" fontId="0" fillId="6" borderId="23" xfId="0" applyNumberFormat="1" applyFont="1" applyFill="1" applyBorder="1" applyAlignment="1">
      <alignment/>
    </xf>
    <xf numFmtId="1" fontId="0" fillId="6" borderId="4" xfId="0" applyNumberFormat="1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10" fontId="0" fillId="6" borderId="4" xfId="0" applyNumberFormat="1" applyFont="1" applyFill="1" applyBorder="1" applyAlignment="1">
      <alignment/>
    </xf>
    <xf numFmtId="10" fontId="0" fillId="6" borderId="6" xfId="0" applyNumberFormat="1" applyFont="1" applyFill="1" applyBorder="1" applyAlignment="1">
      <alignment/>
    </xf>
    <xf numFmtId="10" fontId="0" fillId="6" borderId="14" xfId="0" applyNumberFormat="1" applyFont="1" applyFill="1" applyBorder="1" applyAlignment="1">
      <alignment/>
    </xf>
    <xf numFmtId="3" fontId="0" fillId="6" borderId="14" xfId="0" applyNumberFormat="1" applyFont="1" applyFill="1" applyBorder="1" applyAlignment="1">
      <alignment/>
    </xf>
    <xf numFmtId="10" fontId="10" fillId="6" borderId="2" xfId="0" applyNumberFormat="1" applyFont="1" applyFill="1" applyBorder="1" applyAlignment="1">
      <alignment/>
    </xf>
    <xf numFmtId="1" fontId="0" fillId="6" borderId="51" xfId="0" applyNumberFormat="1" applyFont="1" applyFill="1" applyBorder="1" applyAlignment="1">
      <alignment wrapText="1"/>
    </xf>
    <xf numFmtId="0" fontId="0" fillId="6" borderId="47" xfId="0" applyFont="1" applyFill="1" applyBorder="1" applyAlignment="1">
      <alignment wrapText="1"/>
    </xf>
    <xf numFmtId="3" fontId="0" fillId="6" borderId="51" xfId="0" applyNumberFormat="1" applyFont="1" applyFill="1" applyBorder="1" applyAlignment="1">
      <alignment/>
    </xf>
    <xf numFmtId="0" fontId="0" fillId="6" borderId="5" xfId="0" applyFill="1" applyBorder="1" applyAlignment="1">
      <alignment/>
    </xf>
    <xf numFmtId="1" fontId="0" fillId="6" borderId="14" xfId="0" applyNumberFormat="1" applyFont="1" applyFill="1" applyBorder="1" applyAlignment="1">
      <alignment wrapText="1"/>
    </xf>
    <xf numFmtId="0" fontId="0" fillId="6" borderId="89" xfId="0" applyFont="1" applyFill="1" applyBorder="1" applyAlignment="1">
      <alignment wrapText="1"/>
    </xf>
    <xf numFmtId="3" fontId="1" fillId="6" borderId="22" xfId="0" applyNumberFormat="1" applyFont="1" applyFill="1" applyBorder="1" applyAlignment="1">
      <alignment wrapText="1"/>
    </xf>
    <xf numFmtId="0" fontId="2" fillId="6" borderId="22" xfId="0" applyFont="1" applyFill="1" applyBorder="1" applyAlignment="1">
      <alignment horizontal="center" wrapText="1"/>
    </xf>
    <xf numFmtId="3" fontId="1" fillId="6" borderId="22" xfId="0" applyNumberFormat="1" applyFont="1" applyFill="1" applyBorder="1" applyAlignment="1">
      <alignment/>
    </xf>
    <xf numFmtId="10" fontId="1" fillId="6" borderId="22" xfId="0" applyNumberFormat="1" applyFont="1" applyFill="1" applyBorder="1" applyAlignment="1">
      <alignment/>
    </xf>
    <xf numFmtId="0" fontId="1" fillId="6" borderId="6" xfId="0" applyFont="1" applyFill="1" applyBorder="1" applyAlignment="1">
      <alignment/>
    </xf>
    <xf numFmtId="3" fontId="4" fillId="6" borderId="19" xfId="0" applyNumberFormat="1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3" fontId="4" fillId="6" borderId="5" xfId="0" applyNumberFormat="1" applyFont="1" applyFill="1" applyBorder="1" applyAlignment="1">
      <alignment/>
    </xf>
    <xf numFmtId="10" fontId="4" fillId="6" borderId="5" xfId="0" applyNumberFormat="1" applyFont="1" applyFill="1" applyBorder="1" applyAlignment="1">
      <alignment/>
    </xf>
    <xf numFmtId="0" fontId="1" fillId="6" borderId="0" xfId="0" applyFont="1" applyFill="1" applyAlignment="1">
      <alignment/>
    </xf>
    <xf numFmtId="3" fontId="4" fillId="6" borderId="5" xfId="0" applyNumberFormat="1" applyFont="1" applyFill="1" applyBorder="1" applyAlignment="1">
      <alignment wrapText="1"/>
    </xf>
    <xf numFmtId="49" fontId="0" fillId="6" borderId="5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right"/>
    </xf>
    <xf numFmtId="3" fontId="1" fillId="3" borderId="39" xfId="0" applyNumberFormat="1" applyFont="1" applyFill="1" applyBorder="1" applyAlignment="1">
      <alignment horizontal="center"/>
    </xf>
    <xf numFmtId="0" fontId="1" fillId="3" borderId="102" xfId="0" applyFont="1" applyFill="1" applyBorder="1" applyAlignment="1">
      <alignment horizontal="left" wrapText="1"/>
    </xf>
    <xf numFmtId="3" fontId="1" fillId="3" borderId="103" xfId="0" applyNumberFormat="1" applyFont="1" applyFill="1" applyBorder="1" applyAlignment="1">
      <alignment horizontal="right"/>
    </xf>
    <xf numFmtId="3" fontId="1" fillId="3" borderId="54" xfId="0" applyNumberFormat="1" applyFont="1" applyFill="1" applyBorder="1" applyAlignment="1">
      <alignment horizontal="center"/>
    </xf>
    <xf numFmtId="10" fontId="1" fillId="3" borderId="54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0" fontId="0" fillId="0" borderId="104" xfId="0" applyNumberFormat="1" applyFont="1" applyBorder="1" applyAlignment="1">
      <alignment horizontal="center"/>
    </xf>
    <xf numFmtId="3" fontId="0" fillId="0" borderId="10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3" fontId="0" fillId="0" borderId="104" xfId="0" applyNumberFormat="1" applyFont="1" applyBorder="1" applyAlignment="1">
      <alignment/>
    </xf>
    <xf numFmtId="0" fontId="0" fillId="0" borderId="105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05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10" fontId="0" fillId="0" borderId="23" xfId="0" applyNumberFormat="1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4" xfId="0" applyFont="1" applyBorder="1" applyAlignment="1">
      <alignment wrapText="1"/>
    </xf>
    <xf numFmtId="0" fontId="1" fillId="0" borderId="54" xfId="0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4" xfId="0" applyNumberFormat="1" applyFont="1" applyBorder="1" applyAlignment="1">
      <alignment horizontal="center"/>
    </xf>
    <xf numFmtId="10" fontId="1" fillId="0" borderId="54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3" fontId="0" fillId="0" borderId="106" xfId="0" applyNumberFormat="1" applyFont="1" applyBorder="1" applyAlignment="1">
      <alignment/>
    </xf>
    <xf numFmtId="3" fontId="0" fillId="0" borderId="106" xfId="0" applyNumberFormat="1" applyFont="1" applyBorder="1" applyAlignment="1">
      <alignment horizontal="center"/>
    </xf>
    <xf numFmtId="10" fontId="0" fillId="0" borderId="106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10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6" xfId="0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10" fontId="2" fillId="0" borderId="6" xfId="0" applyNumberFormat="1" applyFont="1" applyBorder="1" applyAlignment="1">
      <alignment wrapText="1"/>
    </xf>
    <xf numFmtId="3" fontId="1" fillId="2" borderId="46" xfId="0" applyNumberFormat="1" applyFont="1" applyFill="1" applyBorder="1" applyAlignment="1">
      <alignment/>
    </xf>
    <xf numFmtId="10" fontId="1" fillId="2" borderId="46" xfId="0" applyNumberFormat="1" applyFont="1" applyFill="1" applyBorder="1" applyAlignment="1">
      <alignment/>
    </xf>
    <xf numFmtId="0" fontId="0" fillId="0" borderId="53" xfId="0" applyBorder="1" applyAlignment="1">
      <alignment/>
    </xf>
    <xf numFmtId="10" fontId="1" fillId="3" borderId="5" xfId="0" applyNumberFormat="1" applyFont="1" applyFill="1" applyBorder="1" applyAlignment="1">
      <alignment wrapText="1"/>
    </xf>
    <xf numFmtId="10" fontId="0" fillId="3" borderId="3" xfId="0" applyNumberFormat="1" applyFont="1" applyFill="1" applyBorder="1" applyAlignment="1">
      <alignment wrapText="1"/>
    </xf>
    <xf numFmtId="0" fontId="0" fillId="0" borderId="107" xfId="0" applyFont="1" applyBorder="1" applyAlignment="1">
      <alignment wrapText="1"/>
    </xf>
    <xf numFmtId="3" fontId="0" fillId="0" borderId="107" xfId="0" applyNumberFormat="1" applyFont="1" applyBorder="1" applyAlignment="1">
      <alignment/>
    </xf>
    <xf numFmtId="10" fontId="0" fillId="0" borderId="107" xfId="0" applyNumberFormat="1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108" xfId="0" applyFont="1" applyBorder="1" applyAlignment="1">
      <alignment wrapText="1"/>
    </xf>
    <xf numFmtId="3" fontId="0" fillId="0" borderId="108" xfId="0" applyNumberFormat="1" applyFont="1" applyBorder="1" applyAlignment="1">
      <alignment/>
    </xf>
    <xf numFmtId="10" fontId="0" fillId="0" borderId="108" xfId="0" applyNumberFormat="1" applyFont="1" applyBorder="1" applyAlignment="1">
      <alignment/>
    </xf>
    <xf numFmtId="0" fontId="0" fillId="0" borderId="109" xfId="0" applyFont="1" applyBorder="1" applyAlignment="1">
      <alignment horizontal="left" wrapText="1"/>
    </xf>
    <xf numFmtId="3" fontId="0" fillId="0" borderId="109" xfId="0" applyNumberFormat="1" applyFont="1" applyBorder="1" applyAlignment="1">
      <alignment/>
    </xf>
    <xf numFmtId="10" fontId="0" fillId="0" borderId="109" xfId="0" applyNumberFormat="1" applyFont="1" applyBorder="1" applyAlignment="1">
      <alignment/>
    </xf>
    <xf numFmtId="0" fontId="0" fillId="0" borderId="109" xfId="0" applyFont="1" applyBorder="1" applyAlignment="1">
      <alignment wrapText="1"/>
    </xf>
    <xf numFmtId="0" fontId="0" fillId="0" borderId="110" xfId="0" applyFont="1" applyBorder="1" applyAlignment="1">
      <alignment horizontal="left" wrapText="1"/>
    </xf>
    <xf numFmtId="3" fontId="0" fillId="0" borderId="110" xfId="0" applyNumberFormat="1" applyFont="1" applyBorder="1" applyAlignment="1">
      <alignment/>
    </xf>
    <xf numFmtId="10" fontId="0" fillId="0" borderId="110" xfId="0" applyNumberFormat="1" applyFont="1" applyBorder="1" applyAlignment="1">
      <alignment/>
    </xf>
    <xf numFmtId="0" fontId="0" fillId="0" borderId="110" xfId="0" applyFont="1" applyBorder="1" applyAlignment="1">
      <alignment wrapText="1"/>
    </xf>
    <xf numFmtId="0" fontId="0" fillId="0" borderId="108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3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3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17" fillId="0" borderId="0" xfId="0" applyFont="1" applyAlignment="1">
      <alignment vertical="top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9" fillId="0" borderId="45" xfId="0" applyFont="1" applyBorder="1" applyAlignment="1">
      <alignment/>
    </xf>
    <xf numFmtId="0" fontId="2" fillId="0" borderId="98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Continuous" wrapText="1"/>
    </xf>
    <xf numFmtId="3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1" fillId="2" borderId="46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3" borderId="5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0" fontId="0" fillId="0" borderId="7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3" fontId="10" fillId="0" borderId="6" xfId="0" applyNumberFormat="1" applyFont="1" applyFill="1" applyBorder="1" applyAlignment="1">
      <alignment/>
    </xf>
    <xf numFmtId="0" fontId="0" fillId="0" borderId="111" xfId="0" applyFont="1" applyBorder="1" applyAlignment="1">
      <alignment wrapText="1"/>
    </xf>
    <xf numFmtId="3" fontId="0" fillId="0" borderId="111" xfId="0" applyNumberFormat="1" applyFont="1" applyFill="1" applyBorder="1" applyAlignment="1">
      <alignment horizontal="right"/>
    </xf>
    <xf numFmtId="3" fontId="0" fillId="0" borderId="111" xfId="0" applyNumberFormat="1" applyFont="1" applyBorder="1" applyAlignment="1">
      <alignment/>
    </xf>
    <xf numFmtId="10" fontId="0" fillId="0" borderId="111" xfId="0" applyNumberFormat="1" applyFont="1" applyFill="1" applyBorder="1" applyAlignment="1">
      <alignment horizontal="right"/>
    </xf>
    <xf numFmtId="3" fontId="0" fillId="0" borderId="111" xfId="0" applyNumberFormat="1" applyFont="1" applyBorder="1" applyAlignment="1">
      <alignment horizontal="right"/>
    </xf>
    <xf numFmtId="10" fontId="0" fillId="0" borderId="111" xfId="0" applyNumberFormat="1" applyFont="1" applyBorder="1" applyAlignment="1">
      <alignment/>
    </xf>
    <xf numFmtId="0" fontId="10" fillId="0" borderId="112" xfId="0" applyFon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0" fontId="0" fillId="0" borderId="112" xfId="0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9" xfId="0" applyFont="1" applyBorder="1" applyAlignment="1">
      <alignment wrapText="1"/>
    </xf>
    <xf numFmtId="3" fontId="0" fillId="0" borderId="113" xfId="0" applyNumberFormat="1" applyFont="1" applyFill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9" xfId="0" applyNumberFormat="1" applyFont="1" applyBorder="1" applyAlignment="1">
      <alignment horizontal="right"/>
    </xf>
    <xf numFmtId="10" fontId="0" fillId="0" borderId="59" xfId="0" applyNumberFormat="1" applyFont="1" applyBorder="1" applyAlignment="1">
      <alignment/>
    </xf>
    <xf numFmtId="0" fontId="0" fillId="0" borderId="63" xfId="0" applyFont="1" applyBorder="1" applyAlignment="1">
      <alignment wrapText="1"/>
    </xf>
    <xf numFmtId="3" fontId="0" fillId="0" borderId="114" xfId="0" applyNumberFormat="1" applyFont="1" applyFill="1" applyBorder="1" applyAlignment="1">
      <alignment/>
    </xf>
    <xf numFmtId="3" fontId="0" fillId="0" borderId="63" xfId="0" applyNumberFormat="1" applyFont="1" applyBorder="1" applyAlignment="1">
      <alignment horizontal="right"/>
    </xf>
    <xf numFmtId="10" fontId="0" fillId="0" borderId="63" xfId="0" applyNumberFormat="1" applyFont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46" xfId="0" applyFont="1" applyBorder="1" applyAlignment="1">
      <alignment horizontal="left" wrapText="1"/>
    </xf>
    <xf numFmtId="3" fontId="10" fillId="0" borderId="46" xfId="0" applyNumberFormat="1" applyFont="1" applyBorder="1" applyAlignment="1">
      <alignment horizontal="right"/>
    </xf>
    <xf numFmtId="10" fontId="10" fillId="0" borderId="50" xfId="0" applyNumberFormat="1" applyFont="1" applyBorder="1" applyAlignment="1">
      <alignment horizontal="right"/>
    </xf>
    <xf numFmtId="0" fontId="0" fillId="0" borderId="5" xfId="0" applyFont="1" applyFill="1" applyBorder="1" applyAlignment="1">
      <alignment/>
    </xf>
    <xf numFmtId="0" fontId="1" fillId="1" borderId="5" xfId="0" applyFont="1" applyFill="1" applyBorder="1" applyAlignment="1">
      <alignment vertical="center"/>
    </xf>
    <xf numFmtId="3" fontId="1" fillId="1" borderId="5" xfId="0" applyNumberFormat="1" applyFont="1" applyFill="1" applyBorder="1" applyAlignment="1">
      <alignment/>
    </xf>
    <xf numFmtId="10" fontId="1" fillId="1" borderId="10" xfId="0" applyNumberFormat="1" applyFont="1" applyFill="1" applyBorder="1" applyAlignment="1">
      <alignment/>
    </xf>
    <xf numFmtId="0" fontId="1" fillId="2" borderId="5" xfId="0" applyFont="1" applyFill="1" applyBorder="1" applyAlignment="1">
      <alignment vertical="center"/>
    </xf>
    <xf numFmtId="10" fontId="1" fillId="2" borderId="10" xfId="0" applyNumberFormat="1" applyFont="1" applyFill="1" applyBorder="1" applyAlignment="1">
      <alignment/>
    </xf>
    <xf numFmtId="10" fontId="1" fillId="0" borderId="10" xfId="0" applyNumberFormat="1" applyFont="1" applyBorder="1" applyAlignment="1">
      <alignment/>
    </xf>
    <xf numFmtId="0" fontId="10" fillId="0" borderId="5" xfId="0" applyFont="1" applyBorder="1" applyAlignment="1" quotePrefix="1">
      <alignment horizontal="right"/>
    </xf>
    <xf numFmtId="0" fontId="10" fillId="0" borderId="14" xfId="0" applyFont="1" applyBorder="1" applyAlignment="1">
      <alignment horizontal="left" wrapText="1"/>
    </xf>
    <xf numFmtId="10" fontId="10" fillId="0" borderId="10" xfId="0" applyNumberFormat="1" applyFont="1" applyBorder="1" applyAlignment="1">
      <alignment/>
    </xf>
    <xf numFmtId="0" fontId="0" fillId="0" borderId="6" xfId="0" applyFont="1" applyBorder="1" applyAlignment="1" quotePrefix="1">
      <alignment horizontal="right"/>
    </xf>
    <xf numFmtId="10" fontId="0" fillId="0" borderId="11" xfId="0" applyNumberFormat="1" applyFont="1" applyBorder="1" applyAlignment="1">
      <alignment/>
    </xf>
    <xf numFmtId="0" fontId="10" fillId="0" borderId="5" xfId="0" applyFont="1" applyBorder="1" applyAlignment="1">
      <alignment horizontal="left" wrapText="1"/>
    </xf>
    <xf numFmtId="3" fontId="1" fillId="0" borderId="5" xfId="0" applyNumberFormat="1" applyFont="1" applyBorder="1" applyAlignment="1">
      <alignment horizontal="right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1" fillId="1" borderId="5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 horizontal="right" wrapText="1"/>
    </xf>
    <xf numFmtId="10" fontId="0" fillId="0" borderId="23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 horizontal="right" wrapText="1"/>
    </xf>
    <xf numFmtId="10" fontId="10" fillId="0" borderId="14" xfId="0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right" wrapText="1"/>
    </xf>
    <xf numFmtId="10" fontId="10" fillId="0" borderId="5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10" fontId="0" fillId="0" borderId="4" xfId="0" applyNumberFormat="1" applyFont="1" applyBorder="1" applyAlignment="1">
      <alignment horizontal="right" wrapText="1"/>
    </xf>
    <xf numFmtId="10" fontId="0" fillId="0" borderId="3" xfId="0" applyNumberFormat="1" applyFont="1" applyBorder="1" applyAlignment="1">
      <alignment horizontal="right" wrapText="1"/>
    </xf>
    <xf numFmtId="0" fontId="0" fillId="0" borderId="15" xfId="0" applyFont="1" applyBorder="1" applyAlignment="1" quotePrefix="1">
      <alignment horizontal="right"/>
    </xf>
    <xf numFmtId="3" fontId="0" fillId="0" borderId="10" xfId="0" applyNumberFormat="1" applyFont="1" applyBorder="1" applyAlignment="1">
      <alignment horizontal="right" wrapText="1"/>
    </xf>
    <xf numFmtId="0" fontId="0" fillId="0" borderId="15" xfId="0" applyFont="1" applyBorder="1" applyAlignment="1">
      <alignment/>
    </xf>
    <xf numFmtId="0" fontId="10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 horizontal="right" wrapText="1"/>
    </xf>
    <xf numFmtId="10" fontId="10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1" fillId="1" borderId="5" xfId="0" applyFont="1" applyFill="1" applyBorder="1" applyAlignment="1">
      <alignment/>
    </xf>
    <xf numFmtId="10" fontId="1" fillId="1" borderId="10" xfId="0" applyNumberFormat="1" applyFont="1" applyFill="1" applyBorder="1" applyAlignment="1">
      <alignment horizontal="right"/>
    </xf>
    <xf numFmtId="3" fontId="1" fillId="1" borderId="2" xfId="0" applyNumberFormat="1" applyFont="1" applyFill="1" applyBorder="1" applyAlignment="1">
      <alignment horizontal="right"/>
    </xf>
    <xf numFmtId="10" fontId="1" fillId="1" borderId="25" xfId="0" applyNumberFormat="1" applyFont="1" applyFill="1" applyBorder="1" applyAlignment="1">
      <alignment horizontal="right"/>
    </xf>
    <xf numFmtId="10" fontId="1" fillId="2" borderId="25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0" fontId="1" fillId="3" borderId="25" xfId="0" applyNumberFormat="1" applyFont="1" applyFill="1" applyBorder="1" applyAlignment="1">
      <alignment horizontal="right"/>
    </xf>
    <xf numFmtId="10" fontId="1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0" fontId="1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7" fillId="0" borderId="43" xfId="0" applyFont="1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1" fillId="0" borderId="78" xfId="0" applyFont="1" applyBorder="1" applyAlignment="1">
      <alignment/>
    </xf>
    <xf numFmtId="3" fontId="11" fillId="0" borderId="20" xfId="0" applyNumberFormat="1" applyFont="1" applyBorder="1" applyAlignment="1">
      <alignment horizontal="right"/>
    </xf>
    <xf numFmtId="10" fontId="11" fillId="0" borderId="115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10" fontId="11" fillId="0" borderId="20" xfId="0" applyNumberFormat="1" applyFont="1" applyBorder="1" applyAlignment="1">
      <alignment horizontal="right"/>
    </xf>
    <xf numFmtId="0" fontId="17" fillId="0" borderId="6" xfId="0" applyFont="1" applyBorder="1" applyAlignment="1">
      <alignment/>
    </xf>
    <xf numFmtId="0" fontId="17" fillId="0" borderId="8" xfId="0" applyFont="1" applyBorder="1" applyAlignment="1">
      <alignment/>
    </xf>
    <xf numFmtId="3" fontId="17" fillId="0" borderId="6" xfId="0" applyNumberFormat="1" applyFont="1" applyBorder="1" applyAlignment="1">
      <alignment horizontal="right"/>
    </xf>
    <xf numFmtId="10" fontId="17" fillId="0" borderId="116" xfId="0" applyNumberFormat="1" applyFont="1" applyBorder="1" applyAlignment="1">
      <alignment horizontal="right"/>
    </xf>
    <xf numFmtId="3" fontId="17" fillId="0" borderId="15" xfId="0" applyNumberFormat="1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1" fillId="3" borderId="6" xfId="0" applyFont="1" applyFill="1" applyBorder="1" applyAlignment="1">
      <alignment/>
    </xf>
    <xf numFmtId="0" fontId="25" fillId="3" borderId="26" xfId="0" applyFont="1" applyFill="1" applyBorder="1" applyAlignment="1">
      <alignment horizontal="left" wrapText="1"/>
    </xf>
    <xf numFmtId="3" fontId="25" fillId="3" borderId="22" xfId="0" applyNumberFormat="1" applyFont="1" applyFill="1" applyBorder="1" applyAlignment="1">
      <alignment horizontal="right" wrapText="1"/>
    </xf>
    <xf numFmtId="10" fontId="25" fillId="3" borderId="117" xfId="0" applyNumberFormat="1" applyFont="1" applyFill="1" applyBorder="1" applyAlignment="1">
      <alignment horizontal="right" wrapText="1"/>
    </xf>
    <xf numFmtId="3" fontId="25" fillId="3" borderId="42" xfId="0" applyNumberFormat="1" applyFont="1" applyFill="1" applyBorder="1" applyAlignment="1">
      <alignment horizontal="right" wrapText="1"/>
    </xf>
    <xf numFmtId="10" fontId="25" fillId="3" borderId="22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/>
    </xf>
    <xf numFmtId="0" fontId="11" fillId="2" borderId="5" xfId="0" applyFont="1" applyFill="1" applyBorder="1" applyAlignment="1">
      <alignment wrapText="1"/>
    </xf>
    <xf numFmtId="3" fontId="11" fillId="2" borderId="5" xfId="0" applyNumberFormat="1" applyFont="1" applyFill="1" applyBorder="1" applyAlignment="1">
      <alignment horizontal="right"/>
    </xf>
    <xf numFmtId="10" fontId="11" fillId="2" borderId="118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10" fontId="11" fillId="2" borderId="5" xfId="0" applyNumberFormat="1" applyFont="1" applyFill="1" applyBorder="1" applyAlignment="1">
      <alignment horizontal="right"/>
    </xf>
    <xf numFmtId="0" fontId="17" fillId="3" borderId="6" xfId="0" applyFont="1" applyFill="1" applyBorder="1" applyAlignment="1">
      <alignment horizontal="right"/>
    </xf>
    <xf numFmtId="0" fontId="11" fillId="3" borderId="2" xfId="0" applyFont="1" applyFill="1" applyBorder="1" applyAlignment="1">
      <alignment/>
    </xf>
    <xf numFmtId="0" fontId="11" fillId="3" borderId="2" xfId="0" applyFont="1" applyFill="1" applyBorder="1" applyAlignment="1">
      <alignment wrapText="1"/>
    </xf>
    <xf numFmtId="3" fontId="11" fillId="3" borderId="2" xfId="0" applyNumberFormat="1" applyFont="1" applyFill="1" applyBorder="1" applyAlignment="1">
      <alignment horizontal="right"/>
    </xf>
    <xf numFmtId="10" fontId="11" fillId="3" borderId="119" xfId="0" applyNumberFormat="1" applyFont="1" applyFill="1" applyBorder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10" fontId="11" fillId="3" borderId="2" xfId="0" applyNumberFormat="1" applyFont="1" applyFill="1" applyBorder="1" applyAlignment="1">
      <alignment horizontal="right"/>
    </xf>
    <xf numFmtId="0" fontId="26" fillId="3" borderId="6" xfId="0" applyFont="1" applyFill="1" applyBorder="1" applyAlignment="1">
      <alignment horizontal="right"/>
    </xf>
    <xf numFmtId="0" fontId="26" fillId="3" borderId="7" xfId="0" applyFont="1" applyFill="1" applyBorder="1" applyAlignment="1">
      <alignment/>
    </xf>
    <xf numFmtId="0" fontId="17" fillId="3" borderId="3" xfId="0" applyFont="1" applyFill="1" applyBorder="1" applyAlignment="1">
      <alignment wrapText="1"/>
    </xf>
    <xf numFmtId="3" fontId="17" fillId="3" borderId="3" xfId="0" applyNumberFormat="1" applyFont="1" applyFill="1" applyBorder="1" applyAlignment="1">
      <alignment horizontal="right"/>
    </xf>
    <xf numFmtId="10" fontId="17" fillId="3" borderId="120" xfId="0" applyNumberFormat="1" applyFont="1" applyFill="1" applyBorder="1" applyAlignment="1">
      <alignment horizontal="right"/>
    </xf>
    <xf numFmtId="3" fontId="17" fillId="3" borderId="11" xfId="0" applyNumberFormat="1" applyFont="1" applyFill="1" applyBorder="1" applyAlignment="1">
      <alignment horizontal="right"/>
    </xf>
    <xf numFmtId="10" fontId="17" fillId="3" borderId="3" xfId="0" applyNumberFormat="1" applyFont="1" applyFill="1" applyBorder="1" applyAlignment="1">
      <alignment horizontal="right"/>
    </xf>
    <xf numFmtId="0" fontId="26" fillId="3" borderId="5" xfId="0" applyFont="1" applyFill="1" applyBorder="1" applyAlignment="1">
      <alignment/>
    </xf>
    <xf numFmtId="0" fontId="26" fillId="3" borderId="5" xfId="0" applyFont="1" applyFill="1" applyBorder="1" applyAlignment="1">
      <alignment wrapText="1"/>
    </xf>
    <xf numFmtId="3" fontId="26" fillId="3" borderId="5" xfId="0" applyNumberFormat="1" applyFont="1" applyFill="1" applyBorder="1" applyAlignment="1">
      <alignment horizontal="right"/>
    </xf>
    <xf numFmtId="10" fontId="26" fillId="3" borderId="118" xfId="0" applyNumberFormat="1" applyFont="1" applyFill="1" applyBorder="1" applyAlignment="1">
      <alignment horizontal="right"/>
    </xf>
    <xf numFmtId="3" fontId="26" fillId="3" borderId="10" xfId="0" applyNumberFormat="1" applyFont="1" applyFill="1" applyBorder="1" applyAlignment="1">
      <alignment horizontal="right"/>
    </xf>
    <xf numFmtId="10" fontId="26" fillId="3" borderId="5" xfId="0" applyNumberFormat="1" applyFont="1" applyFill="1" applyBorder="1" applyAlignment="1">
      <alignment horizontal="right"/>
    </xf>
    <xf numFmtId="0" fontId="26" fillId="0" borderId="5" xfId="0" applyFont="1" applyBorder="1" applyAlignment="1">
      <alignment/>
    </xf>
    <xf numFmtId="0" fontId="26" fillId="0" borderId="14" xfId="0" applyFont="1" applyBorder="1" applyAlignment="1">
      <alignment wrapText="1"/>
    </xf>
    <xf numFmtId="0" fontId="17" fillId="3" borderId="6" xfId="0" applyFont="1" applyFill="1" applyBorder="1" applyAlignment="1">
      <alignment/>
    </xf>
    <xf numFmtId="3" fontId="17" fillId="3" borderId="6" xfId="0" applyNumberFormat="1" applyFont="1" applyFill="1" applyBorder="1" applyAlignment="1">
      <alignment/>
    </xf>
    <xf numFmtId="10" fontId="17" fillId="3" borderId="116" xfId="0" applyNumberFormat="1" applyFont="1" applyFill="1" applyBorder="1" applyAlignment="1">
      <alignment/>
    </xf>
    <xf numFmtId="3" fontId="17" fillId="3" borderId="15" xfId="0" applyNumberFormat="1" applyFont="1" applyFill="1" applyBorder="1" applyAlignment="1">
      <alignment/>
    </xf>
    <xf numFmtId="10" fontId="17" fillId="3" borderId="6" xfId="0" applyNumberFormat="1" applyFont="1" applyFill="1" applyBorder="1" applyAlignment="1">
      <alignment/>
    </xf>
    <xf numFmtId="0" fontId="17" fillId="3" borderId="23" xfId="0" applyFont="1" applyFill="1" applyBorder="1" applyAlignment="1">
      <alignment/>
    </xf>
    <xf numFmtId="3" fontId="17" fillId="3" borderId="23" xfId="0" applyNumberFormat="1" applyFont="1" applyFill="1" applyBorder="1" applyAlignment="1">
      <alignment/>
    </xf>
    <xf numFmtId="10" fontId="17" fillId="3" borderId="88" xfId="0" applyNumberFormat="1" applyFont="1" applyFill="1" applyBorder="1" applyAlignment="1">
      <alignment/>
    </xf>
    <xf numFmtId="3" fontId="17" fillId="3" borderId="24" xfId="0" applyNumberFormat="1" applyFont="1" applyFill="1" applyBorder="1" applyAlignment="1">
      <alignment/>
    </xf>
    <xf numFmtId="10" fontId="17" fillId="3" borderId="23" xfId="0" applyNumberFormat="1" applyFont="1" applyFill="1" applyBorder="1" applyAlignment="1">
      <alignment/>
    </xf>
    <xf numFmtId="0" fontId="17" fillId="3" borderId="5" xfId="0" applyFont="1" applyFill="1" applyBorder="1" applyAlignment="1">
      <alignment/>
    </xf>
    <xf numFmtId="3" fontId="17" fillId="3" borderId="5" xfId="0" applyNumberFormat="1" applyFont="1" applyFill="1" applyBorder="1" applyAlignment="1">
      <alignment/>
    </xf>
    <xf numFmtId="10" fontId="17" fillId="3" borderId="118" xfId="0" applyNumberFormat="1" applyFont="1" applyFill="1" applyBorder="1" applyAlignment="1">
      <alignment/>
    </xf>
    <xf numFmtId="3" fontId="17" fillId="3" borderId="10" xfId="0" applyNumberFormat="1" applyFont="1" applyFill="1" applyBorder="1" applyAlignment="1">
      <alignment/>
    </xf>
    <xf numFmtId="10" fontId="17" fillId="3" borderId="5" xfId="0" applyNumberFormat="1" applyFont="1" applyFill="1" applyBorder="1" applyAlignment="1">
      <alignment/>
    </xf>
    <xf numFmtId="0" fontId="11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7" fillId="3" borderId="7" xfId="0" applyFont="1" applyFill="1" applyBorder="1" applyAlignment="1">
      <alignment horizontal="right"/>
    </xf>
    <xf numFmtId="0" fontId="11" fillId="3" borderId="27" xfId="0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17" fillId="3" borderId="28" xfId="0" applyFont="1" applyFill="1" applyBorder="1" applyAlignment="1">
      <alignment horizontal="left" wrapText="1"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wrapText="1"/>
    </xf>
    <xf numFmtId="10" fontId="26" fillId="3" borderId="121" xfId="0" applyNumberFormat="1" applyFont="1" applyFill="1" applyBorder="1" applyAlignment="1">
      <alignment horizontal="right"/>
    </xf>
    <xf numFmtId="0" fontId="17" fillId="0" borderId="5" xfId="0" applyFont="1" applyBorder="1" applyAlignment="1">
      <alignment wrapText="1"/>
    </xf>
    <xf numFmtId="3" fontId="17" fillId="3" borderId="2" xfId="0" applyNumberFormat="1" applyFont="1" applyFill="1" applyBorder="1" applyAlignment="1">
      <alignment horizontal="right"/>
    </xf>
    <xf numFmtId="10" fontId="17" fillId="3" borderId="119" xfId="0" applyNumberFormat="1" applyFont="1" applyFill="1" applyBorder="1" applyAlignment="1">
      <alignment horizontal="right"/>
    </xf>
    <xf numFmtId="3" fontId="17" fillId="3" borderId="9" xfId="0" applyNumberFormat="1" applyFont="1" applyFill="1" applyBorder="1" applyAlignment="1">
      <alignment horizontal="right"/>
    </xf>
    <xf numFmtId="10" fontId="17" fillId="3" borderId="5" xfId="0" applyNumberFormat="1" applyFont="1" applyFill="1" applyBorder="1" applyAlignment="1">
      <alignment horizontal="right"/>
    </xf>
    <xf numFmtId="0" fontId="25" fillId="0" borderId="6" xfId="0" applyFont="1" applyBorder="1" applyAlignment="1">
      <alignment/>
    </xf>
    <xf numFmtId="0" fontId="11" fillId="3" borderId="1" xfId="0" applyFont="1" applyFill="1" applyBorder="1" applyAlignment="1">
      <alignment/>
    </xf>
    <xf numFmtId="0" fontId="11" fillId="0" borderId="5" xfId="0" applyFont="1" applyBorder="1" applyAlignment="1">
      <alignment wrapText="1"/>
    </xf>
    <xf numFmtId="3" fontId="11" fillId="3" borderId="5" xfId="0" applyNumberFormat="1" applyFont="1" applyFill="1" applyBorder="1" applyAlignment="1">
      <alignment horizontal="right"/>
    </xf>
    <xf numFmtId="10" fontId="11" fillId="3" borderId="121" xfId="0" applyNumberFormat="1" applyFont="1" applyFill="1" applyBorder="1" applyAlignment="1">
      <alignment horizontal="right"/>
    </xf>
    <xf numFmtId="3" fontId="11" fillId="3" borderId="10" xfId="0" applyNumberFormat="1" applyFont="1" applyFill="1" applyBorder="1" applyAlignment="1">
      <alignment horizontal="right"/>
    </xf>
    <xf numFmtId="10" fontId="11" fillId="3" borderId="5" xfId="0" applyNumberFormat="1" applyFont="1" applyFill="1" applyBorder="1" applyAlignment="1">
      <alignment horizontal="right"/>
    </xf>
    <xf numFmtId="0" fontId="26" fillId="0" borderId="6" xfId="0" applyFont="1" applyBorder="1" applyAlignment="1">
      <alignment/>
    </xf>
    <xf numFmtId="0" fontId="25" fillId="0" borderId="8" xfId="0" applyFont="1" applyBorder="1" applyAlignment="1">
      <alignment/>
    </xf>
    <xf numFmtId="0" fontId="17" fillId="0" borderId="3" xfId="0" applyFont="1" applyBorder="1" applyAlignment="1">
      <alignment wrapText="1"/>
    </xf>
    <xf numFmtId="3" fontId="17" fillId="3" borderId="6" xfId="0" applyNumberFormat="1" applyFont="1" applyFill="1" applyBorder="1" applyAlignment="1">
      <alignment horizontal="right"/>
    </xf>
    <xf numFmtId="10" fontId="17" fillId="3" borderId="122" xfId="0" applyNumberFormat="1" applyFont="1" applyFill="1" applyBorder="1" applyAlignment="1">
      <alignment horizontal="right"/>
    </xf>
    <xf numFmtId="3" fontId="17" fillId="3" borderId="15" xfId="0" applyNumberFormat="1" applyFont="1" applyFill="1" applyBorder="1" applyAlignment="1">
      <alignment horizontal="right"/>
    </xf>
    <xf numFmtId="10" fontId="26" fillId="3" borderId="6" xfId="0" applyNumberFormat="1" applyFont="1" applyFill="1" applyBorder="1" applyAlignment="1">
      <alignment horizontal="right"/>
    </xf>
    <xf numFmtId="0" fontId="26" fillId="0" borderId="5" xfId="0" applyFont="1" applyBorder="1" applyAlignment="1">
      <alignment wrapText="1"/>
    </xf>
    <xf numFmtId="3" fontId="26" fillId="3" borderId="14" xfId="0" applyNumberFormat="1" applyFont="1" applyFill="1" applyBorder="1" applyAlignment="1">
      <alignment horizontal="right"/>
    </xf>
    <xf numFmtId="10" fontId="26" fillId="3" borderId="123" xfId="0" applyNumberFormat="1" applyFont="1" applyFill="1" applyBorder="1" applyAlignment="1">
      <alignment horizontal="right"/>
    </xf>
    <xf numFmtId="3" fontId="26" fillId="3" borderId="25" xfId="0" applyNumberFormat="1" applyFont="1" applyFill="1" applyBorder="1" applyAlignment="1">
      <alignment horizontal="right"/>
    </xf>
    <xf numFmtId="10" fontId="26" fillId="3" borderId="14" xfId="0" applyNumberFormat="1" applyFont="1" applyFill="1" applyBorder="1" applyAlignment="1">
      <alignment horizontal="right"/>
    </xf>
    <xf numFmtId="3" fontId="17" fillId="3" borderId="5" xfId="0" applyNumberFormat="1" applyFont="1" applyFill="1" applyBorder="1" applyAlignment="1">
      <alignment horizontal="right"/>
    </xf>
    <xf numFmtId="3" fontId="17" fillId="3" borderId="10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wrapText="1"/>
    </xf>
    <xf numFmtId="0" fontId="11" fillId="3" borderId="6" xfId="0" applyFont="1" applyFill="1" applyBorder="1" applyAlignment="1">
      <alignment/>
    </xf>
    <xf numFmtId="0" fontId="11" fillId="3" borderId="5" xfId="0" applyFont="1" applyFill="1" applyBorder="1" applyAlignment="1">
      <alignment wrapText="1"/>
    </xf>
    <xf numFmtId="10" fontId="11" fillId="3" borderId="118" xfId="0" applyNumberFormat="1" applyFont="1" applyFill="1" applyBorder="1" applyAlignment="1">
      <alignment horizontal="right"/>
    </xf>
    <xf numFmtId="0" fontId="17" fillId="3" borderId="7" xfId="0" applyFont="1" applyFill="1" applyBorder="1" applyAlignment="1">
      <alignment/>
    </xf>
    <xf numFmtId="0" fontId="17" fillId="0" borderId="5" xfId="0" applyFont="1" applyBorder="1" applyAlignment="1">
      <alignment/>
    </xf>
    <xf numFmtId="0" fontId="17" fillId="0" borderId="2" xfId="0" applyFont="1" applyBorder="1" applyAlignment="1">
      <alignment wrapText="1"/>
    </xf>
    <xf numFmtId="3" fontId="17" fillId="0" borderId="5" xfId="0" applyNumberFormat="1" applyFont="1" applyBorder="1" applyAlignment="1">
      <alignment/>
    </xf>
    <xf numFmtId="10" fontId="17" fillId="0" borderId="118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0" fontId="17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10" fontId="11" fillId="0" borderId="118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10" fontId="17" fillId="0" borderId="122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0" fontId="17" fillId="0" borderId="3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10" fontId="26" fillId="0" borderId="123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10" fontId="26" fillId="0" borderId="5" xfId="0" applyNumberFormat="1" applyFont="1" applyBorder="1" applyAlignment="1">
      <alignment/>
    </xf>
    <xf numFmtId="0" fontId="17" fillId="0" borderId="7" xfId="0" applyFont="1" applyBorder="1" applyAlignment="1">
      <alignment/>
    </xf>
    <xf numFmtId="3" fontId="17" fillId="0" borderId="7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10" fontId="17" fillId="0" borderId="7" xfId="0" applyNumberFormat="1" applyFont="1" applyBorder="1" applyAlignment="1">
      <alignment/>
    </xf>
    <xf numFmtId="0" fontId="11" fillId="2" borderId="2" xfId="0" applyFont="1" applyFill="1" applyBorder="1" applyAlignment="1">
      <alignment wrapText="1"/>
    </xf>
    <xf numFmtId="3" fontId="11" fillId="2" borderId="2" xfId="0" applyNumberFormat="1" applyFont="1" applyFill="1" applyBorder="1" applyAlignment="1">
      <alignment horizontal="right"/>
    </xf>
    <xf numFmtId="10" fontId="11" fillId="2" borderId="119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10" fontId="11" fillId="2" borderId="2" xfId="0" applyNumberFormat="1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7" fillId="3" borderId="4" xfId="0" applyFont="1" applyFill="1" applyBorder="1" applyAlignment="1">
      <alignment wrapText="1"/>
    </xf>
    <xf numFmtId="3" fontId="17" fillId="3" borderId="4" xfId="0" applyNumberFormat="1" applyFont="1" applyFill="1" applyBorder="1" applyAlignment="1">
      <alignment horizontal="right"/>
    </xf>
    <xf numFmtId="10" fontId="17" fillId="3" borderId="121" xfId="0" applyNumberFormat="1" applyFont="1" applyFill="1" applyBorder="1" applyAlignment="1">
      <alignment horizontal="right"/>
    </xf>
    <xf numFmtId="3" fontId="17" fillId="3" borderId="12" xfId="0" applyNumberFormat="1" applyFont="1" applyFill="1" applyBorder="1" applyAlignment="1">
      <alignment horizontal="right"/>
    </xf>
    <xf numFmtId="10" fontId="17" fillId="3" borderId="4" xfId="0" applyNumberFormat="1" applyFont="1" applyFill="1" applyBorder="1" applyAlignment="1">
      <alignment horizontal="right"/>
    </xf>
    <xf numFmtId="0" fontId="17" fillId="0" borderId="4" xfId="0" applyFont="1" applyBorder="1" applyAlignment="1">
      <alignment/>
    </xf>
    <xf numFmtId="3" fontId="17" fillId="0" borderId="4" xfId="0" applyNumberFormat="1" applyFont="1" applyBorder="1" applyAlignment="1">
      <alignment/>
    </xf>
    <xf numFmtId="10" fontId="17" fillId="0" borderId="121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10" fontId="17" fillId="0" borderId="4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10" fontId="26" fillId="0" borderId="14" xfId="0" applyNumberFormat="1" applyFont="1" applyBorder="1" applyAlignment="1">
      <alignment/>
    </xf>
    <xf numFmtId="0" fontId="17" fillId="0" borderId="107" xfId="0" applyFont="1" applyBorder="1" applyAlignment="1">
      <alignment wrapText="1"/>
    </xf>
    <xf numFmtId="3" fontId="17" fillId="0" borderId="107" xfId="0" applyNumberFormat="1" applyFont="1" applyBorder="1" applyAlignment="1">
      <alignment/>
    </xf>
    <xf numFmtId="10" fontId="17" fillId="0" borderId="124" xfId="0" applyNumberFormat="1" applyFont="1" applyBorder="1" applyAlignment="1">
      <alignment/>
    </xf>
    <xf numFmtId="3" fontId="17" fillId="0" borderId="125" xfId="0" applyNumberFormat="1" applyFont="1" applyBorder="1" applyAlignment="1">
      <alignment/>
    </xf>
    <xf numFmtId="10" fontId="17" fillId="0" borderId="107" xfId="0" applyNumberFormat="1" applyFont="1" applyBorder="1" applyAlignment="1">
      <alignment/>
    </xf>
    <xf numFmtId="0" fontId="26" fillId="0" borderId="63" xfId="0" applyFont="1" applyBorder="1" applyAlignment="1">
      <alignment/>
    </xf>
    <xf numFmtId="3" fontId="26" fillId="0" borderId="63" xfId="0" applyNumberFormat="1" applyFont="1" applyBorder="1" applyAlignment="1">
      <alignment/>
    </xf>
    <xf numFmtId="10" fontId="26" fillId="0" borderId="126" xfId="0" applyNumberFormat="1" applyFont="1" applyBorder="1" applyAlignment="1">
      <alignment/>
    </xf>
    <xf numFmtId="3" fontId="26" fillId="0" borderId="127" xfId="0" applyNumberFormat="1" applyFont="1" applyBorder="1" applyAlignment="1">
      <alignment/>
    </xf>
    <xf numFmtId="10" fontId="26" fillId="0" borderId="63" xfId="0" applyNumberFormat="1" applyFont="1" applyBorder="1" applyAlignment="1">
      <alignment/>
    </xf>
    <xf numFmtId="0" fontId="26" fillId="0" borderId="111" xfId="0" applyFont="1" applyBorder="1" applyAlignment="1">
      <alignment/>
    </xf>
    <xf numFmtId="3" fontId="26" fillId="0" borderId="111" xfId="0" applyNumberFormat="1" applyFont="1" applyBorder="1" applyAlignment="1">
      <alignment/>
    </xf>
    <xf numFmtId="10" fontId="26" fillId="0" borderId="128" xfId="0" applyNumberFormat="1" applyFont="1" applyBorder="1" applyAlignment="1">
      <alignment/>
    </xf>
    <xf numFmtId="3" fontId="26" fillId="0" borderId="129" xfId="0" applyNumberFormat="1" applyFont="1" applyBorder="1" applyAlignment="1">
      <alignment/>
    </xf>
    <xf numFmtId="10" fontId="26" fillId="0" borderId="111" xfId="0" applyNumberFormat="1" applyFont="1" applyBorder="1" applyAlignment="1">
      <alignment/>
    </xf>
    <xf numFmtId="0" fontId="17" fillId="3" borderId="14" xfId="0" applyFont="1" applyFill="1" applyBorder="1" applyAlignment="1">
      <alignment wrapText="1"/>
    </xf>
    <xf numFmtId="3" fontId="17" fillId="0" borderId="14" xfId="0" applyNumberFormat="1" applyFont="1" applyBorder="1" applyAlignment="1">
      <alignment/>
    </xf>
    <xf numFmtId="10" fontId="17" fillId="0" borderId="123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10" fontId="17" fillId="0" borderId="14" xfId="0" applyNumberFormat="1" applyFont="1" applyBorder="1" applyAlignment="1">
      <alignment/>
    </xf>
    <xf numFmtId="0" fontId="11" fillId="3" borderId="6" xfId="0" applyFont="1" applyFill="1" applyBorder="1" applyAlignment="1">
      <alignment horizontal="right"/>
    </xf>
    <xf numFmtId="0" fontId="11" fillId="3" borderId="2" xfId="0" applyFont="1" applyFill="1" applyBorder="1" applyAlignment="1">
      <alignment/>
    </xf>
    <xf numFmtId="0" fontId="26" fillId="3" borderId="5" xfId="0" applyFont="1" applyFill="1" applyBorder="1" applyAlignment="1">
      <alignment/>
    </xf>
    <xf numFmtId="0" fontId="17" fillId="0" borderId="63" xfId="0" applyFont="1" applyBorder="1" applyAlignment="1">
      <alignment/>
    </xf>
    <xf numFmtId="3" fontId="17" fillId="0" borderId="63" xfId="0" applyNumberFormat="1" applyFont="1" applyBorder="1" applyAlignment="1">
      <alignment/>
    </xf>
    <xf numFmtId="10" fontId="17" fillId="0" borderId="126" xfId="0" applyNumberFormat="1" applyFont="1" applyBorder="1" applyAlignment="1">
      <alignment/>
    </xf>
    <xf numFmtId="3" fontId="17" fillId="0" borderId="127" xfId="0" applyNumberFormat="1" applyFont="1" applyBorder="1" applyAlignment="1">
      <alignment/>
    </xf>
    <xf numFmtId="10" fontId="17" fillId="0" borderId="63" xfId="0" applyNumberFormat="1" applyFont="1" applyBorder="1" applyAlignment="1">
      <alignment/>
    </xf>
    <xf numFmtId="0" fontId="17" fillId="0" borderId="111" xfId="0" applyFont="1" applyBorder="1" applyAlignment="1">
      <alignment/>
    </xf>
    <xf numFmtId="3" fontId="17" fillId="0" borderId="111" xfId="0" applyNumberFormat="1" applyFont="1" applyBorder="1" applyAlignment="1">
      <alignment/>
    </xf>
    <xf numFmtId="10" fontId="17" fillId="0" borderId="128" xfId="0" applyNumberFormat="1" applyFont="1" applyBorder="1" applyAlignment="1">
      <alignment/>
    </xf>
    <xf numFmtId="3" fontId="17" fillId="0" borderId="129" xfId="0" applyNumberFormat="1" applyFont="1" applyBorder="1" applyAlignment="1">
      <alignment/>
    </xf>
    <xf numFmtId="10" fontId="17" fillId="0" borderId="111" xfId="0" applyNumberFormat="1" applyFont="1" applyBorder="1" applyAlignment="1">
      <alignment/>
    </xf>
    <xf numFmtId="0" fontId="17" fillId="0" borderId="59" xfId="0" applyFont="1" applyBorder="1" applyAlignment="1">
      <alignment/>
    </xf>
    <xf numFmtId="3" fontId="17" fillId="0" borderId="59" xfId="0" applyNumberFormat="1" applyFont="1" applyBorder="1" applyAlignment="1">
      <alignment/>
    </xf>
    <xf numFmtId="10" fontId="17" fillId="0" borderId="130" xfId="0" applyNumberFormat="1" applyFont="1" applyBorder="1" applyAlignment="1">
      <alignment/>
    </xf>
    <xf numFmtId="3" fontId="17" fillId="0" borderId="131" xfId="0" applyNumberFormat="1" applyFont="1" applyBorder="1" applyAlignment="1">
      <alignment/>
    </xf>
    <xf numFmtId="10" fontId="17" fillId="0" borderId="59" xfId="0" applyNumberFormat="1" applyFont="1" applyBorder="1" applyAlignment="1">
      <alignment/>
    </xf>
    <xf numFmtId="10" fontId="17" fillId="0" borderId="120" xfId="0" applyNumberFormat="1" applyFont="1" applyBorder="1" applyAlignment="1">
      <alignment/>
    </xf>
    <xf numFmtId="0" fontId="11" fillId="3" borderId="5" xfId="0" applyFont="1" applyFill="1" applyBorder="1" applyAlignment="1">
      <alignment/>
    </xf>
    <xf numFmtId="0" fontId="17" fillId="3" borderId="6" xfId="0" applyFont="1" applyFill="1" applyBorder="1" applyAlignment="1">
      <alignment wrapText="1"/>
    </xf>
    <xf numFmtId="10" fontId="17" fillId="3" borderId="116" xfId="0" applyNumberFormat="1" applyFont="1" applyFill="1" applyBorder="1" applyAlignment="1">
      <alignment horizontal="right"/>
    </xf>
    <xf numFmtId="10" fontId="17" fillId="3" borderId="6" xfId="0" applyNumberFormat="1" applyFont="1" applyFill="1" applyBorder="1" applyAlignment="1">
      <alignment horizontal="right"/>
    </xf>
    <xf numFmtId="0" fontId="26" fillId="3" borderId="14" xfId="0" applyFont="1" applyFill="1" applyBorder="1" applyAlignment="1">
      <alignment wrapText="1"/>
    </xf>
    <xf numFmtId="0" fontId="17" fillId="3" borderId="5" xfId="0" applyFont="1" applyFill="1" applyBorder="1" applyAlignment="1">
      <alignment/>
    </xf>
    <xf numFmtId="10" fontId="17" fillId="3" borderId="118" xfId="0" applyNumberFormat="1" applyFont="1" applyFill="1" applyBorder="1" applyAlignment="1">
      <alignment horizontal="right"/>
    </xf>
    <xf numFmtId="0" fontId="17" fillId="0" borderId="51" xfId="0" applyFont="1" applyBorder="1" applyAlignment="1">
      <alignment/>
    </xf>
    <xf numFmtId="3" fontId="17" fillId="0" borderId="51" xfId="0" applyNumberFormat="1" applyFont="1" applyBorder="1" applyAlignment="1">
      <alignment/>
    </xf>
    <xf numFmtId="10" fontId="17" fillId="0" borderId="132" xfId="0" applyNumberFormat="1" applyFont="1" applyBorder="1" applyAlignment="1">
      <alignment/>
    </xf>
    <xf numFmtId="3" fontId="17" fillId="0" borderId="49" xfId="0" applyNumberFormat="1" applyFont="1" applyBorder="1" applyAlignment="1">
      <alignment/>
    </xf>
    <xf numFmtId="10" fontId="17" fillId="0" borderId="51" xfId="0" applyNumberFormat="1" applyFont="1" applyBorder="1" applyAlignment="1">
      <alignment/>
    </xf>
    <xf numFmtId="0" fontId="17" fillId="0" borderId="14" xfId="0" applyFont="1" applyBorder="1" applyAlignment="1">
      <alignment/>
    </xf>
    <xf numFmtId="10" fontId="26" fillId="0" borderId="118" xfId="0" applyNumberFormat="1" applyFont="1" applyBorder="1" applyAlignment="1">
      <alignment/>
    </xf>
    <xf numFmtId="0" fontId="17" fillId="3" borderId="5" xfId="0" applyFont="1" applyFill="1" applyBorder="1" applyAlignment="1">
      <alignment horizontal="right"/>
    </xf>
    <xf numFmtId="0" fontId="11" fillId="2" borderId="2" xfId="0" applyFont="1" applyFill="1" applyBorder="1" applyAlignment="1">
      <alignment/>
    </xf>
    <xf numFmtId="0" fontId="17" fillId="0" borderId="6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6" fillId="0" borderId="6" xfId="0" applyFont="1" applyBorder="1" applyAlignment="1">
      <alignment horizontal="right"/>
    </xf>
    <xf numFmtId="0" fontId="26" fillId="0" borderId="8" xfId="0" applyFont="1" applyBorder="1" applyAlignment="1">
      <alignment wrapText="1"/>
    </xf>
    <xf numFmtId="0" fontId="17" fillId="0" borderId="5" xfId="0" applyFont="1" applyBorder="1" applyAlignment="1">
      <alignment horizontal="right"/>
    </xf>
    <xf numFmtId="0" fontId="17" fillId="0" borderId="5" xfId="0" applyFont="1" applyBorder="1" applyAlignment="1">
      <alignment/>
    </xf>
    <xf numFmtId="0" fontId="25" fillId="0" borderId="54" xfId="0" applyFont="1" applyBorder="1" applyAlignment="1">
      <alignment wrapText="1"/>
    </xf>
    <xf numFmtId="3" fontId="25" fillId="0" borderId="54" xfId="0" applyNumberFormat="1" applyFont="1" applyBorder="1" applyAlignment="1">
      <alignment wrapText="1"/>
    </xf>
    <xf numFmtId="10" fontId="25" fillId="0" borderId="133" xfId="0" applyNumberFormat="1" applyFont="1" applyBorder="1" applyAlignment="1">
      <alignment wrapText="1"/>
    </xf>
    <xf numFmtId="10" fontId="25" fillId="0" borderId="54" xfId="0" applyNumberFormat="1" applyFont="1" applyBorder="1" applyAlignment="1">
      <alignment wrapText="1"/>
    </xf>
    <xf numFmtId="3" fontId="11" fillId="2" borderId="2" xfId="0" applyNumberFormat="1" applyFont="1" applyFill="1" applyBorder="1" applyAlignment="1">
      <alignment wrapText="1"/>
    </xf>
    <xf numFmtId="10" fontId="11" fillId="2" borderId="119" xfId="0" applyNumberFormat="1" applyFont="1" applyFill="1" applyBorder="1" applyAlignment="1">
      <alignment wrapText="1"/>
    </xf>
    <xf numFmtId="3" fontId="11" fillId="2" borderId="9" xfId="0" applyNumberFormat="1" applyFont="1" applyFill="1" applyBorder="1" applyAlignment="1">
      <alignment wrapText="1"/>
    </xf>
    <xf numFmtId="10" fontId="11" fillId="2" borderId="2" xfId="0" applyNumberFormat="1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 applyAlignment="1">
      <alignment wrapText="1"/>
    </xf>
    <xf numFmtId="10" fontId="11" fillId="0" borderId="119" xfId="0" applyNumberFormat="1" applyFont="1" applyBorder="1" applyAlignment="1">
      <alignment wrapText="1"/>
    </xf>
    <xf numFmtId="3" fontId="11" fillId="0" borderId="9" xfId="0" applyNumberFormat="1" applyFont="1" applyBorder="1" applyAlignment="1">
      <alignment wrapText="1"/>
    </xf>
    <xf numFmtId="10" fontId="11" fillId="0" borderId="2" xfId="0" applyNumberFormat="1" applyFont="1" applyBorder="1" applyAlignment="1">
      <alignment wrapText="1"/>
    </xf>
    <xf numFmtId="0" fontId="26" fillId="0" borderId="5" xfId="0" applyFont="1" applyBorder="1" applyAlignment="1">
      <alignment horizontal="right"/>
    </xf>
    <xf numFmtId="0" fontId="17" fillId="0" borderId="2" xfId="0" applyFont="1" applyBorder="1" applyAlignment="1">
      <alignment/>
    </xf>
    <xf numFmtId="10" fontId="17" fillId="3" borderId="2" xfId="0" applyNumberFormat="1" applyFont="1" applyFill="1" applyBorder="1" applyAlignment="1">
      <alignment horizontal="right"/>
    </xf>
    <xf numFmtId="0" fontId="26" fillId="0" borderId="6" xfId="0" applyFont="1" applyBorder="1" applyAlignment="1">
      <alignment wrapText="1"/>
    </xf>
    <xf numFmtId="0" fontId="17" fillId="0" borderId="4" xfId="0" applyFont="1" applyBorder="1" applyAlignment="1">
      <alignment wrapText="1"/>
    </xf>
    <xf numFmtId="3" fontId="17" fillId="0" borderId="4" xfId="0" applyNumberFormat="1" applyFont="1" applyBorder="1" applyAlignment="1">
      <alignment wrapText="1"/>
    </xf>
    <xf numFmtId="10" fontId="17" fillId="0" borderId="121" xfId="0" applyNumberFormat="1" applyFont="1" applyBorder="1" applyAlignment="1">
      <alignment wrapText="1"/>
    </xf>
    <xf numFmtId="3" fontId="17" fillId="0" borderId="12" xfId="0" applyNumberFormat="1" applyFont="1" applyBorder="1" applyAlignment="1">
      <alignment wrapText="1"/>
    </xf>
    <xf numFmtId="10" fontId="17" fillId="0" borderId="4" xfId="0" applyNumberFormat="1" applyFont="1" applyBorder="1" applyAlignment="1">
      <alignment wrapText="1"/>
    </xf>
    <xf numFmtId="3" fontId="26" fillId="0" borderId="14" xfId="0" applyNumberFormat="1" applyFont="1" applyBorder="1" applyAlignment="1">
      <alignment wrapText="1"/>
    </xf>
    <xf numFmtId="10" fontId="26" fillId="0" borderId="123" xfId="0" applyNumberFormat="1" applyFont="1" applyBorder="1" applyAlignment="1">
      <alignment wrapText="1"/>
    </xf>
    <xf numFmtId="3" fontId="26" fillId="0" borderId="25" xfId="0" applyNumberFormat="1" applyFont="1" applyBorder="1" applyAlignment="1">
      <alignment wrapText="1"/>
    </xf>
    <xf numFmtId="10" fontId="26" fillId="0" borderId="14" xfId="0" applyNumberFormat="1" applyFont="1" applyBorder="1" applyAlignment="1">
      <alignment wrapText="1"/>
    </xf>
    <xf numFmtId="49" fontId="17" fillId="0" borderId="5" xfId="0" applyNumberFormat="1" applyFont="1" applyBorder="1" applyAlignment="1">
      <alignment horizontal="right"/>
    </xf>
    <xf numFmtId="49" fontId="17" fillId="0" borderId="5" xfId="0" applyNumberFormat="1" applyFont="1" applyBorder="1" applyAlignment="1">
      <alignment/>
    </xf>
    <xf numFmtId="10" fontId="11" fillId="2" borderId="118" xfId="0" applyNumberFormat="1" applyFont="1" applyFill="1" applyBorder="1" applyAlignment="1">
      <alignment wrapText="1"/>
    </xf>
    <xf numFmtId="3" fontId="11" fillId="2" borderId="10" xfId="0" applyNumberFormat="1" applyFont="1" applyFill="1" applyBorder="1" applyAlignment="1">
      <alignment wrapText="1"/>
    </xf>
    <xf numFmtId="10" fontId="11" fillId="2" borderId="5" xfId="0" applyNumberFormat="1" applyFont="1" applyFill="1" applyBorder="1" applyAlignment="1">
      <alignment wrapText="1"/>
    </xf>
    <xf numFmtId="0" fontId="26" fillId="0" borderId="6" xfId="0" applyFont="1" applyBorder="1" applyAlignment="1">
      <alignment/>
    </xf>
    <xf numFmtId="3" fontId="17" fillId="0" borderId="3" xfId="0" applyNumberFormat="1" applyFont="1" applyBorder="1" applyAlignment="1">
      <alignment wrapText="1"/>
    </xf>
    <xf numFmtId="10" fontId="17" fillId="0" borderId="120" xfId="0" applyNumberFormat="1" applyFont="1" applyBorder="1" applyAlignment="1">
      <alignment wrapText="1"/>
    </xf>
    <xf numFmtId="3" fontId="17" fillId="0" borderId="11" xfId="0" applyNumberFormat="1" applyFont="1" applyBorder="1" applyAlignment="1">
      <alignment wrapText="1"/>
    </xf>
    <xf numFmtId="10" fontId="17" fillId="0" borderId="3" xfId="0" applyNumberFormat="1" applyFont="1" applyBorder="1" applyAlignment="1">
      <alignment wrapText="1"/>
    </xf>
    <xf numFmtId="3" fontId="26" fillId="0" borderId="5" xfId="0" applyNumberFormat="1" applyFont="1" applyBorder="1" applyAlignment="1">
      <alignment wrapText="1"/>
    </xf>
    <xf numFmtId="10" fontId="26" fillId="0" borderId="118" xfId="0" applyNumberFormat="1" applyFont="1" applyBorder="1" applyAlignment="1">
      <alignment wrapText="1"/>
    </xf>
    <xf numFmtId="3" fontId="26" fillId="0" borderId="10" xfId="0" applyNumberFormat="1" applyFont="1" applyBorder="1" applyAlignment="1">
      <alignment wrapText="1"/>
    </xf>
    <xf numFmtId="10" fontId="26" fillId="0" borderId="5" xfId="0" applyNumberFormat="1" applyFont="1" applyBorder="1" applyAlignment="1">
      <alignment wrapText="1"/>
    </xf>
    <xf numFmtId="49" fontId="17" fillId="0" borderId="6" xfId="0" applyNumberFormat="1" applyFont="1" applyBorder="1" applyAlignment="1">
      <alignment horizontal="right"/>
    </xf>
    <xf numFmtId="0" fontId="17" fillId="0" borderId="14" xfId="0" applyFont="1" applyBorder="1" applyAlignment="1">
      <alignment wrapText="1"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 wrapText="1"/>
    </xf>
    <xf numFmtId="10" fontId="11" fillId="0" borderId="118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10" fontId="11" fillId="0" borderId="5" xfId="0" applyNumberFormat="1" applyFont="1" applyBorder="1" applyAlignment="1">
      <alignment wrapText="1"/>
    </xf>
    <xf numFmtId="0" fontId="25" fillId="0" borderId="7" xfId="0" applyFont="1" applyBorder="1" applyAlignment="1">
      <alignment/>
    </xf>
    <xf numFmtId="0" fontId="17" fillId="0" borderId="3" xfId="0" applyFont="1" applyBorder="1" applyAlignment="1">
      <alignment horizontal="left" wrapText="1"/>
    </xf>
    <xf numFmtId="0" fontId="17" fillId="3" borderId="3" xfId="0" applyFont="1" applyFill="1" applyBorder="1" applyAlignment="1">
      <alignment/>
    </xf>
    <xf numFmtId="0" fontId="17" fillId="3" borderId="4" xfId="0" applyFont="1" applyFill="1" applyBorder="1" applyAlignment="1">
      <alignment/>
    </xf>
    <xf numFmtId="10" fontId="17" fillId="0" borderId="23" xfId="0" applyNumberFormat="1" applyFont="1" applyBorder="1" applyAlignment="1">
      <alignment/>
    </xf>
    <xf numFmtId="0" fontId="26" fillId="0" borderId="7" xfId="0" applyFont="1" applyBorder="1" applyAlignment="1">
      <alignment/>
    </xf>
    <xf numFmtId="0" fontId="17" fillId="0" borderId="6" xfId="0" applyFont="1" applyBorder="1" applyAlignment="1">
      <alignment/>
    </xf>
    <xf numFmtId="49" fontId="17" fillId="0" borderId="6" xfId="0" applyNumberFormat="1" applyFont="1" applyBorder="1" applyAlignment="1">
      <alignment/>
    </xf>
    <xf numFmtId="3" fontId="17" fillId="0" borderId="6" xfId="0" applyNumberFormat="1" applyFont="1" applyBorder="1" applyAlignment="1">
      <alignment/>
    </xf>
    <xf numFmtId="10" fontId="17" fillId="0" borderId="116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10" fontId="17" fillId="0" borderId="6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10" fontId="17" fillId="0" borderId="88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0" fontId="17" fillId="0" borderId="7" xfId="0" applyFont="1" applyBorder="1" applyAlignment="1">
      <alignment horizontal="right"/>
    </xf>
    <xf numFmtId="3" fontId="11" fillId="3" borderId="2" xfId="0" applyNumberFormat="1" applyFont="1" applyFill="1" applyBorder="1" applyAlignment="1">
      <alignment/>
    </xf>
    <xf numFmtId="10" fontId="11" fillId="3" borderId="119" xfId="0" applyNumberFormat="1" applyFont="1" applyFill="1" applyBorder="1" applyAlignment="1">
      <alignment/>
    </xf>
    <xf numFmtId="3" fontId="11" fillId="3" borderId="9" xfId="0" applyNumberFormat="1" applyFont="1" applyFill="1" applyBorder="1" applyAlignment="1">
      <alignment/>
    </xf>
    <xf numFmtId="10" fontId="11" fillId="3" borderId="2" xfId="0" applyNumberFormat="1" applyFont="1" applyFill="1" applyBorder="1" applyAlignment="1">
      <alignment/>
    </xf>
    <xf numFmtId="0" fontId="17" fillId="0" borderId="23" xfId="0" applyFont="1" applyBorder="1" applyAlignment="1">
      <alignment wrapText="1"/>
    </xf>
    <xf numFmtId="3" fontId="17" fillId="0" borderId="23" xfId="0" applyNumberFormat="1" applyFont="1" applyBorder="1" applyAlignment="1">
      <alignment wrapText="1"/>
    </xf>
    <xf numFmtId="10" fontId="17" fillId="0" borderId="88" xfId="0" applyNumberFormat="1" applyFont="1" applyBorder="1" applyAlignment="1">
      <alignment wrapText="1"/>
    </xf>
    <xf numFmtId="3" fontId="17" fillId="0" borderId="24" xfId="0" applyNumberFormat="1" applyFont="1" applyBorder="1" applyAlignment="1">
      <alignment wrapText="1"/>
    </xf>
    <xf numFmtId="10" fontId="17" fillId="0" borderId="23" xfId="0" applyNumberFormat="1" applyFont="1" applyBorder="1" applyAlignment="1">
      <alignment wrapText="1"/>
    </xf>
    <xf numFmtId="0" fontId="26" fillId="0" borderId="2" xfId="0" applyFont="1" applyBorder="1" applyAlignment="1">
      <alignment/>
    </xf>
    <xf numFmtId="3" fontId="17" fillId="0" borderId="2" xfId="0" applyNumberFormat="1" applyFont="1" applyBorder="1" applyAlignment="1">
      <alignment wrapText="1"/>
    </xf>
    <xf numFmtId="10" fontId="17" fillId="0" borderId="119" xfId="0" applyNumberFormat="1" applyFont="1" applyBorder="1" applyAlignment="1">
      <alignment wrapText="1"/>
    </xf>
    <xf numFmtId="3" fontId="17" fillId="0" borderId="9" xfId="0" applyNumberFormat="1" applyFont="1" applyBorder="1" applyAlignment="1">
      <alignment wrapText="1"/>
    </xf>
    <xf numFmtId="10" fontId="17" fillId="0" borderId="2" xfId="0" applyNumberFormat="1" applyFont="1" applyBorder="1" applyAlignment="1">
      <alignment wrapText="1"/>
    </xf>
    <xf numFmtId="0" fontId="11" fillId="0" borderId="6" xfId="0" applyFont="1" applyBorder="1" applyAlignment="1">
      <alignment horizontal="right"/>
    </xf>
    <xf numFmtId="3" fontId="17" fillId="0" borderId="25" xfId="0" applyNumberFormat="1" applyFont="1" applyBorder="1" applyAlignment="1">
      <alignment wrapText="1"/>
    </xf>
    <xf numFmtId="3" fontId="17" fillId="0" borderId="14" xfId="0" applyNumberFormat="1" applyFont="1" applyBorder="1" applyAlignment="1">
      <alignment wrapText="1"/>
    </xf>
    <xf numFmtId="10" fontId="17" fillId="0" borderId="14" xfId="0" applyNumberFormat="1" applyFont="1" applyBorder="1" applyAlignment="1">
      <alignment wrapText="1"/>
    </xf>
    <xf numFmtId="0" fontId="17" fillId="3" borderId="5" xfId="0" applyFont="1" applyFill="1" applyBorder="1" applyAlignment="1">
      <alignment wrapText="1"/>
    </xf>
    <xf numFmtId="3" fontId="17" fillId="3" borderId="4" xfId="0" applyNumberFormat="1" applyFont="1" applyFill="1" applyBorder="1" applyAlignment="1">
      <alignment/>
    </xf>
    <xf numFmtId="10" fontId="17" fillId="3" borderId="121" xfId="0" applyNumberFormat="1" applyFont="1" applyFill="1" applyBorder="1" applyAlignment="1">
      <alignment/>
    </xf>
    <xf numFmtId="3" fontId="17" fillId="3" borderId="12" xfId="0" applyNumberFormat="1" applyFont="1" applyFill="1" applyBorder="1" applyAlignment="1">
      <alignment/>
    </xf>
    <xf numFmtId="10" fontId="17" fillId="3" borderId="4" xfId="0" applyNumberFormat="1" applyFont="1" applyFill="1" applyBorder="1" applyAlignment="1">
      <alignment/>
    </xf>
    <xf numFmtId="3" fontId="17" fillId="0" borderId="2" xfId="0" applyNumberFormat="1" applyFont="1" applyBorder="1" applyAlignment="1">
      <alignment/>
    </xf>
    <xf numFmtId="10" fontId="17" fillId="0" borderId="119" xfId="0" applyNumberFormat="1" applyFont="1" applyBorder="1" applyAlignment="1">
      <alignment/>
    </xf>
    <xf numFmtId="3" fontId="17" fillId="0" borderId="9" xfId="0" applyNumberFormat="1" applyFont="1" applyBorder="1" applyAlignment="1">
      <alignment/>
    </xf>
    <xf numFmtId="10" fontId="17" fillId="0" borderId="2" xfId="0" applyNumberFormat="1" applyFont="1" applyBorder="1" applyAlignment="1">
      <alignment/>
    </xf>
    <xf numFmtId="10" fontId="11" fillId="3" borderId="118" xfId="0" applyNumberFormat="1" applyFont="1" applyFill="1" applyBorder="1" applyAlignment="1">
      <alignment/>
    </xf>
    <xf numFmtId="10" fontId="11" fillId="3" borderId="5" xfId="0" applyNumberFormat="1" applyFont="1" applyFill="1" applyBorder="1" applyAlignment="1">
      <alignment/>
    </xf>
    <xf numFmtId="0" fontId="26" fillId="3" borderId="6" xfId="0" applyFont="1" applyFill="1" applyBorder="1" applyAlignment="1">
      <alignment/>
    </xf>
    <xf numFmtId="0" fontId="17" fillId="0" borderId="4" xfId="0" applyFont="1" applyBorder="1" applyAlignment="1">
      <alignment horizontal="left" wrapText="1"/>
    </xf>
    <xf numFmtId="0" fontId="17" fillId="0" borderId="6" xfId="0" applyFont="1" applyBorder="1" applyAlignment="1">
      <alignment wrapText="1"/>
    </xf>
    <xf numFmtId="0" fontId="11" fillId="0" borderId="8" xfId="0" applyFont="1" applyBorder="1" applyAlignment="1">
      <alignment/>
    </xf>
    <xf numFmtId="0" fontId="11" fillId="0" borderId="134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53" xfId="0" applyFont="1" applyBorder="1" applyAlignment="1">
      <alignment/>
    </xf>
    <xf numFmtId="0" fontId="11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wrapText="1"/>
    </xf>
    <xf numFmtId="3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3" fontId="13" fillId="0" borderId="44" xfId="0" applyNumberFormat="1" applyFont="1" applyBorder="1" applyAlignment="1">
      <alignment horizontal="center" wrapText="1"/>
    </xf>
    <xf numFmtId="0" fontId="8" fillId="0" borderId="98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4" xfId="0" applyFont="1" applyBorder="1" applyAlignment="1">
      <alignment/>
    </xf>
    <xf numFmtId="0" fontId="2" fillId="0" borderId="138" xfId="0" applyFont="1" applyBorder="1" applyAlignment="1">
      <alignment horizontal="center" vertical="center" wrapText="1"/>
    </xf>
    <xf numFmtId="10" fontId="2" fillId="0" borderId="43" xfId="0" applyNumberFormat="1" applyFont="1" applyBorder="1" applyAlignment="1">
      <alignment horizontal="center" vertical="center" wrapText="1"/>
    </xf>
    <xf numFmtId="10" fontId="2" fillId="0" borderId="4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7" fillId="3" borderId="0" xfId="0" applyFont="1" applyFill="1" applyAlignment="1">
      <alignment/>
    </xf>
    <xf numFmtId="0" fontId="14" fillId="3" borderId="0" xfId="0" applyFont="1" applyFill="1" applyAlignment="1">
      <alignment/>
    </xf>
  </cellXfs>
  <cellStyles count="15">
    <cellStyle name="Normal" xfId="0"/>
    <cellStyle name="Comma" xfId="15"/>
    <cellStyle name="Comma [0]" xfId="16"/>
    <cellStyle name="Dziesiętny [0]_ZAL10GFOS" xfId="17"/>
    <cellStyle name="Dziesiętny [0]_ZAL11PFOS" xfId="18"/>
    <cellStyle name="Dziesiętny_ZAL10GFOS" xfId="19"/>
    <cellStyle name="Dziesiętny_ZAL11PFOS" xfId="20"/>
    <cellStyle name="Normalny_plan98" xfId="21"/>
    <cellStyle name="Percent" xfId="22"/>
    <cellStyle name="Currency" xfId="23"/>
    <cellStyle name="Currency [0]" xfId="24"/>
    <cellStyle name="Walutowy [0]_ZAL10GFOS" xfId="25"/>
    <cellStyle name="Walutowy [0]_ZAL11PFOS" xfId="26"/>
    <cellStyle name="Walutowy_ZAL10GFOS" xfId="27"/>
    <cellStyle name="Walutowy_ZAL11PFOS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23</xdr:row>
      <xdr:rowOff>0</xdr:rowOff>
    </xdr:from>
    <xdr:to>
      <xdr:col>1</xdr:col>
      <xdr:colOff>447675</xdr:colOff>
      <xdr:row>23</xdr:row>
      <xdr:rowOff>0</xdr:rowOff>
    </xdr:to>
    <xdr:sp>
      <xdr:nvSpPr>
        <xdr:cNvPr id="1" name="Arc 1"/>
        <xdr:cNvSpPr>
          <a:spLocks/>
        </xdr:cNvSpPr>
      </xdr:nvSpPr>
      <xdr:spPr>
        <a:xfrm>
          <a:off x="923925" y="5248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628650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5248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9"/>
  <sheetViews>
    <sheetView tabSelected="1" zoomScaleSheetLayoutView="75" workbookViewId="0" topLeftCell="A1">
      <selection activeCell="A1" sqref="A1"/>
    </sheetView>
  </sheetViews>
  <sheetFormatPr defaultColWidth="9.00390625" defaultRowHeight="12.75"/>
  <cols>
    <col min="1" max="1" width="6.00390625" style="382" customWidth="1"/>
    <col min="2" max="2" width="7.75390625" style="81" customWidth="1"/>
    <col min="3" max="3" width="64.75390625" style="82" customWidth="1"/>
    <col min="4" max="4" width="17.625" style="82" customWidth="1"/>
    <col min="5" max="5" width="17.625" style="81" customWidth="1"/>
    <col min="6" max="6" width="16.875" style="81" customWidth="1"/>
    <col min="7" max="7" width="12.75390625" style="317" customWidth="1"/>
    <col min="8" max="8" width="6.875" style="81" hidden="1" customWidth="1"/>
    <col min="9" max="9" width="9.125" style="118" customWidth="1"/>
    <col min="10" max="10" width="9.125" style="84" customWidth="1"/>
    <col min="11" max="12" width="10.375" style="84" customWidth="1"/>
    <col min="13" max="14" width="9.125" style="84" customWidth="1"/>
    <col min="15" max="15" width="10.25390625" style="84" customWidth="1"/>
    <col min="16" max="16" width="9.125" style="84" customWidth="1"/>
    <col min="17" max="16384" width="9.125" style="83" customWidth="1"/>
  </cols>
  <sheetData>
    <row r="1" spans="1:37" ht="16.5" customHeight="1">
      <c r="A1" s="382" t="s">
        <v>377</v>
      </c>
      <c r="B1" s="82"/>
      <c r="E1" s="82"/>
      <c r="F1" s="375" t="s">
        <v>454</v>
      </c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2:130" ht="15" customHeight="1">
      <c r="B2" s="82"/>
      <c r="E2" s="82"/>
      <c r="F2" s="375" t="s">
        <v>873</v>
      </c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</row>
    <row r="3" spans="1:130" ht="17.25" customHeight="1">
      <c r="A3" s="384"/>
      <c r="B3" s="82"/>
      <c r="C3" s="385" t="s">
        <v>466</v>
      </c>
      <c r="D3" s="84"/>
      <c r="E3" s="84"/>
      <c r="F3" s="605" t="s">
        <v>884</v>
      </c>
      <c r="G3" s="318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</row>
    <row r="4" spans="2:130" ht="15.75" customHeight="1">
      <c r="B4" s="84"/>
      <c r="C4" s="84"/>
      <c r="D4" s="84"/>
      <c r="E4" s="84"/>
      <c r="F4" s="605" t="s">
        <v>874</v>
      </c>
      <c r="G4" s="318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</row>
    <row r="5" spans="1:9" s="84" customFormat="1" ht="15.75" customHeight="1" thickBot="1">
      <c r="A5" s="85"/>
      <c r="B5" s="86"/>
      <c r="C5" s="82"/>
      <c r="D5" s="86"/>
      <c r="G5" s="693" t="s">
        <v>450</v>
      </c>
      <c r="H5" s="81"/>
      <c r="I5" s="118"/>
    </row>
    <row r="6" spans="1:9" s="371" customFormat="1" ht="27" customHeight="1" thickTop="1">
      <c r="A6" s="367"/>
      <c r="B6" s="368"/>
      <c r="C6" s="512" t="s">
        <v>899</v>
      </c>
      <c r="D6" s="1384" t="s">
        <v>455</v>
      </c>
      <c r="E6" s="1820" t="s">
        <v>456</v>
      </c>
      <c r="F6" s="1820" t="s">
        <v>882</v>
      </c>
      <c r="G6" s="1832" t="s">
        <v>467</v>
      </c>
      <c r="H6" s="369"/>
      <c r="I6" s="370"/>
    </row>
    <row r="7" spans="1:9" s="371" customFormat="1" ht="37.5" customHeight="1" thickBot="1">
      <c r="A7" s="372" t="s">
        <v>964</v>
      </c>
      <c r="B7" s="373" t="s">
        <v>900</v>
      </c>
      <c r="C7" s="373" t="s">
        <v>901</v>
      </c>
      <c r="D7" s="1831"/>
      <c r="E7" s="1834"/>
      <c r="F7" s="1834"/>
      <c r="G7" s="1833"/>
      <c r="H7" s="374" t="s">
        <v>902</v>
      </c>
      <c r="I7" s="370"/>
    </row>
    <row r="8" spans="1:9" s="301" customFormat="1" ht="13.5" customHeight="1" thickBot="1" thickTop="1">
      <c r="A8" s="87">
        <v>1</v>
      </c>
      <c r="B8" s="87">
        <v>2</v>
      </c>
      <c r="C8" s="87">
        <v>3</v>
      </c>
      <c r="D8" s="88">
        <v>4</v>
      </c>
      <c r="E8" s="88">
        <v>5</v>
      </c>
      <c r="F8" s="88">
        <v>6</v>
      </c>
      <c r="G8" s="366">
        <v>7</v>
      </c>
      <c r="H8" s="242">
        <v>15</v>
      </c>
      <c r="I8" s="300"/>
    </row>
    <row r="9" spans="1:9" s="84" customFormat="1" ht="24" customHeight="1" thickBot="1" thickTop="1">
      <c r="A9" s="89"/>
      <c r="B9" s="90"/>
      <c r="C9" s="473" t="s">
        <v>452</v>
      </c>
      <c r="D9" s="441">
        <f>D11+D273</f>
        <v>668213556</v>
      </c>
      <c r="E9" s="91">
        <f>E11+E273</f>
        <v>738540862</v>
      </c>
      <c r="F9" s="91">
        <f>F11+F273</f>
        <v>738368523</v>
      </c>
      <c r="G9" s="319">
        <f>F9/E9</f>
        <v>0.9997666493367295</v>
      </c>
      <c r="H9" s="243"/>
      <c r="I9" s="118"/>
    </row>
    <row r="10" spans="1:9" s="84" customFormat="1" ht="11.25" customHeight="1">
      <c r="A10" s="8"/>
      <c r="B10" s="11"/>
      <c r="C10" s="11" t="s">
        <v>965</v>
      </c>
      <c r="D10" s="77"/>
      <c r="E10" s="77"/>
      <c r="F10" s="77"/>
      <c r="G10" s="320"/>
      <c r="H10" s="235"/>
      <c r="I10" s="118"/>
    </row>
    <row r="11" spans="1:9" s="84" customFormat="1" ht="16.5" customHeight="1" thickBot="1">
      <c r="A11" s="92"/>
      <c r="B11" s="36"/>
      <c r="C11" s="474" t="s">
        <v>369</v>
      </c>
      <c r="D11" s="442">
        <f>D12+D169+D180+D220+D234</f>
        <v>461493495</v>
      </c>
      <c r="E11" s="93">
        <f>E12+E169+E180+E220+E234</f>
        <v>520791817</v>
      </c>
      <c r="F11" s="93">
        <f>F12+F169+F180+F220+F234</f>
        <v>520616832</v>
      </c>
      <c r="G11" s="321">
        <f>F11/E11</f>
        <v>0.9996640020171438</v>
      </c>
      <c r="H11" s="244"/>
      <c r="I11" s="118"/>
    </row>
    <row r="12" spans="1:9" s="84" customFormat="1" ht="19.5" customHeight="1" thickBot="1">
      <c r="A12" s="10"/>
      <c r="B12" s="6"/>
      <c r="C12" s="475" t="s">
        <v>370</v>
      </c>
      <c r="D12" s="443">
        <f>D13+D16+D31+D35+D48+D53+D84+D92+D111+D136+D144+D151</f>
        <v>332994625</v>
      </c>
      <c r="E12" s="94">
        <f>E13+E16+E31+E35+E48+E53+E84+E92+E111+E136+E144+E151</f>
        <v>354565811</v>
      </c>
      <c r="F12" s="94">
        <f>F13+F16+F31+F35+F48+F53+F84+F92+F111+F136+F144+F151</f>
        <v>356153046</v>
      </c>
      <c r="G12" s="165">
        <f>F12/E12</f>
        <v>1.0044765596421252</v>
      </c>
      <c r="H12" s="245"/>
      <c r="I12" s="118"/>
    </row>
    <row r="13" spans="1:9" s="84" customFormat="1" ht="19.5" customHeight="1" thickTop="1">
      <c r="A13" s="95" t="s">
        <v>382</v>
      </c>
      <c r="B13" s="96"/>
      <c r="C13" s="105" t="s">
        <v>381</v>
      </c>
      <c r="D13" s="444">
        <f aca="true" t="shared" si="0" ref="D13:F14">D14</f>
        <v>210</v>
      </c>
      <c r="E13" s="97">
        <f t="shared" si="0"/>
        <v>210</v>
      </c>
      <c r="F13" s="97">
        <f t="shared" si="0"/>
        <v>176</v>
      </c>
      <c r="G13" s="322">
        <f>F13/E13</f>
        <v>0.8380952380952381</v>
      </c>
      <c r="H13" s="246">
        <v>18</v>
      </c>
      <c r="I13" s="118"/>
    </row>
    <row r="14" spans="1:9" s="84" customFormat="1" ht="19.5" customHeight="1">
      <c r="A14" s="61"/>
      <c r="B14" s="99" t="s">
        <v>383</v>
      </c>
      <c r="C14" s="32" t="s">
        <v>966</v>
      </c>
      <c r="D14" s="100">
        <f t="shared" si="0"/>
        <v>210</v>
      </c>
      <c r="E14" s="100">
        <f t="shared" si="0"/>
        <v>210</v>
      </c>
      <c r="F14" s="100">
        <f t="shared" si="0"/>
        <v>176</v>
      </c>
      <c r="G14" s="323">
        <f aca="true" t="shared" si="1" ref="G14:G19">F14/E14</f>
        <v>0.8380952380952381</v>
      </c>
      <c r="H14" s="247">
        <v>18</v>
      </c>
      <c r="I14" s="118"/>
    </row>
    <row r="15" spans="1:9" s="84" customFormat="1" ht="19.5" customHeight="1">
      <c r="A15" s="10"/>
      <c r="B15" s="55"/>
      <c r="C15" s="476" t="s">
        <v>967</v>
      </c>
      <c r="D15" s="103">
        <v>210</v>
      </c>
      <c r="E15" s="103">
        <v>210</v>
      </c>
      <c r="F15" s="103">
        <v>176</v>
      </c>
      <c r="G15" s="324">
        <f t="shared" si="1"/>
        <v>0.8380952380952381</v>
      </c>
      <c r="H15" s="248">
        <v>18</v>
      </c>
      <c r="I15" s="118"/>
    </row>
    <row r="16" spans="1:9" s="84" customFormat="1" ht="19.5" customHeight="1">
      <c r="A16" s="104">
        <v>700</v>
      </c>
      <c r="B16" s="105"/>
      <c r="C16" s="419" t="s">
        <v>387</v>
      </c>
      <c r="D16" s="444">
        <f>D17+D19</f>
        <v>43752700</v>
      </c>
      <c r="E16" s="97">
        <f>E17+E19</f>
        <v>45802700</v>
      </c>
      <c r="F16" s="97">
        <f>F17+F19</f>
        <v>43698799</v>
      </c>
      <c r="G16" s="98">
        <f t="shared" si="1"/>
        <v>0.9540660048425093</v>
      </c>
      <c r="H16" s="246">
        <v>15735174</v>
      </c>
      <c r="I16" s="118"/>
    </row>
    <row r="17" spans="1:9" s="82" customFormat="1" ht="19.5" customHeight="1">
      <c r="A17" s="107"/>
      <c r="B17" s="39">
        <v>70001</v>
      </c>
      <c r="C17" s="477" t="s">
        <v>448</v>
      </c>
      <c r="D17" s="139">
        <f>D18</f>
        <v>3700</v>
      </c>
      <c r="E17" s="64">
        <f>E18</f>
        <v>3700</v>
      </c>
      <c r="F17" s="64">
        <f>F18</f>
        <v>1342</v>
      </c>
      <c r="G17" s="108">
        <f t="shared" si="1"/>
        <v>0.3627027027027027</v>
      </c>
      <c r="H17" s="249"/>
      <c r="I17" s="13"/>
    </row>
    <row r="18" spans="1:9" s="82" customFormat="1" ht="19.5" customHeight="1">
      <c r="A18" s="107"/>
      <c r="B18" s="39"/>
      <c r="C18" s="434" t="s">
        <v>444</v>
      </c>
      <c r="D18" s="109">
        <v>3700</v>
      </c>
      <c r="E18" s="109">
        <v>3700</v>
      </c>
      <c r="F18" s="109">
        <v>1342</v>
      </c>
      <c r="G18" s="325">
        <f t="shared" si="1"/>
        <v>0.3627027027027027</v>
      </c>
      <c r="H18" s="249"/>
      <c r="I18" s="13"/>
    </row>
    <row r="19" spans="1:9" s="84" customFormat="1" ht="19.5" customHeight="1">
      <c r="A19" s="110"/>
      <c r="B19" s="32">
        <v>70005</v>
      </c>
      <c r="C19" s="40" t="s">
        <v>425</v>
      </c>
      <c r="D19" s="139">
        <f>SUM(D20:D29)</f>
        <v>43749000</v>
      </c>
      <c r="E19" s="64">
        <f>SUM(E20:E29)</f>
        <v>45799000</v>
      </c>
      <c r="F19" s="64">
        <f>SUM(F20:F30)</f>
        <v>43697457</v>
      </c>
      <c r="G19" s="108">
        <f t="shared" si="1"/>
        <v>0.954113779776851</v>
      </c>
      <c r="H19" s="250">
        <v>15735174</v>
      </c>
      <c r="I19" s="118"/>
    </row>
    <row r="20" spans="1:9" s="84" customFormat="1" ht="19.5" customHeight="1">
      <c r="A20" s="110"/>
      <c r="B20" s="31"/>
      <c r="C20" s="416" t="s">
        <v>974</v>
      </c>
      <c r="D20" s="111">
        <v>11500000</v>
      </c>
      <c r="E20" s="111">
        <v>11500000</v>
      </c>
      <c r="F20" s="111">
        <v>10201584</v>
      </c>
      <c r="G20" s="326">
        <f>F20/E20</f>
        <v>0.8870942608695652</v>
      </c>
      <c r="H20" s="251">
        <v>5990200</v>
      </c>
      <c r="I20" s="118"/>
    </row>
    <row r="21" spans="1:9" s="84" customFormat="1" ht="19.5" customHeight="1">
      <c r="A21" s="110"/>
      <c r="B21" s="59"/>
      <c r="C21" s="478" t="s">
        <v>971</v>
      </c>
      <c r="D21" s="113">
        <v>3400000</v>
      </c>
      <c r="E21" s="113">
        <v>3400000</v>
      </c>
      <c r="F21" s="113">
        <v>3192962</v>
      </c>
      <c r="G21" s="327">
        <f aca="true" t="shared" si="2" ref="G21:G81">F21/E21</f>
        <v>0.9391064705882353</v>
      </c>
      <c r="H21" s="252">
        <v>1135677</v>
      </c>
      <c r="I21" s="118"/>
    </row>
    <row r="22" spans="1:9" s="84" customFormat="1" ht="19.5" customHeight="1">
      <c r="A22" s="8"/>
      <c r="B22" s="59"/>
      <c r="C22" s="479" t="s">
        <v>521</v>
      </c>
      <c r="D22" s="113">
        <v>2761000</v>
      </c>
      <c r="E22" s="113">
        <v>2761000</v>
      </c>
      <c r="F22" s="113">
        <v>2840645</v>
      </c>
      <c r="G22" s="327">
        <f t="shared" si="2"/>
        <v>1.0288464324520101</v>
      </c>
      <c r="H22" s="253">
        <v>1592206</v>
      </c>
      <c r="I22" s="118"/>
    </row>
    <row r="23" spans="1:9" s="84" customFormat="1" ht="25.5" customHeight="1">
      <c r="A23" s="116"/>
      <c r="B23" s="59"/>
      <c r="C23" s="479" t="s">
        <v>445</v>
      </c>
      <c r="D23" s="603">
        <v>450000</v>
      </c>
      <c r="E23" s="603">
        <v>450000</v>
      </c>
      <c r="F23" s="603">
        <v>375110</v>
      </c>
      <c r="G23" s="604">
        <f t="shared" si="2"/>
        <v>0.8335777777777778</v>
      </c>
      <c r="H23" s="1">
        <v>69920</v>
      </c>
      <c r="I23" s="118"/>
    </row>
    <row r="24" spans="1:256" s="84" customFormat="1" ht="25.5" customHeight="1">
      <c r="A24" s="110" t="s">
        <v>377</v>
      </c>
      <c r="B24" s="59"/>
      <c r="C24" s="479" t="s">
        <v>316</v>
      </c>
      <c r="D24" s="113">
        <v>100000</v>
      </c>
      <c r="E24" s="113">
        <v>350000</v>
      </c>
      <c r="F24" s="113">
        <v>1607313</v>
      </c>
      <c r="G24" s="327">
        <f t="shared" si="2"/>
        <v>4.592322857142857</v>
      </c>
      <c r="H24" s="437">
        <v>510862</v>
      </c>
      <c r="I24" s="376"/>
      <c r="J24" s="82"/>
      <c r="K24" s="377"/>
      <c r="L24" s="377"/>
      <c r="M24" s="377"/>
      <c r="N24" s="378"/>
      <c r="O24" s="380"/>
      <c r="P24" s="381"/>
      <c r="Q24" s="82"/>
      <c r="R24" s="377"/>
      <c r="S24" s="377"/>
      <c r="T24" s="377"/>
      <c r="U24" s="378"/>
      <c r="V24" s="380"/>
      <c r="W24" s="381"/>
      <c r="X24" s="82"/>
      <c r="Y24" s="377"/>
      <c r="Z24" s="377"/>
      <c r="AA24" s="377"/>
      <c r="AB24" s="378"/>
      <c r="AC24" s="380"/>
      <c r="AD24" s="381"/>
      <c r="AE24" s="82"/>
      <c r="AF24" s="377"/>
      <c r="AG24" s="377"/>
      <c r="AH24" s="377"/>
      <c r="AI24" s="378"/>
      <c r="AJ24" s="380"/>
      <c r="AK24" s="381"/>
      <c r="AL24" s="82"/>
      <c r="AM24" s="377"/>
      <c r="AN24" s="377"/>
      <c r="AO24" s="377"/>
      <c r="AP24" s="378"/>
      <c r="AQ24" s="380"/>
      <c r="AR24" s="381"/>
      <c r="AS24" s="82"/>
      <c r="AT24" s="377"/>
      <c r="AU24" s="377"/>
      <c r="AV24" s="377"/>
      <c r="AW24" s="378"/>
      <c r="AX24" s="380"/>
      <c r="AY24" s="381"/>
      <c r="AZ24" s="82"/>
      <c r="BA24" s="377"/>
      <c r="BB24" s="377"/>
      <c r="BC24" s="377"/>
      <c r="BD24" s="378"/>
      <c r="BE24" s="380"/>
      <c r="BF24" s="381"/>
      <c r="BG24" s="82"/>
      <c r="BH24" s="377"/>
      <c r="BI24" s="377"/>
      <c r="BJ24" s="377"/>
      <c r="BK24" s="378"/>
      <c r="BL24" s="380"/>
      <c r="BM24" s="381"/>
      <c r="BN24" s="82"/>
      <c r="BO24" s="377"/>
      <c r="BP24" s="377"/>
      <c r="BQ24" s="377"/>
      <c r="BR24" s="378"/>
      <c r="BS24" s="380"/>
      <c r="BT24" s="381"/>
      <c r="BU24" s="82"/>
      <c r="BV24" s="377"/>
      <c r="BW24" s="377"/>
      <c r="BX24" s="377"/>
      <c r="BY24" s="378"/>
      <c r="BZ24" s="380"/>
      <c r="CA24" s="381"/>
      <c r="CB24" s="82"/>
      <c r="CC24" s="377"/>
      <c r="CD24" s="377"/>
      <c r="CE24" s="377"/>
      <c r="CF24" s="378"/>
      <c r="CG24" s="380"/>
      <c r="CH24" s="381"/>
      <c r="CI24" s="82"/>
      <c r="CJ24" s="377"/>
      <c r="CK24" s="377"/>
      <c r="CL24" s="377"/>
      <c r="CM24" s="378"/>
      <c r="CN24" s="380"/>
      <c r="CO24" s="381"/>
      <c r="CP24" s="82"/>
      <c r="CQ24" s="377"/>
      <c r="CR24" s="377"/>
      <c r="CS24" s="377"/>
      <c r="CT24" s="378"/>
      <c r="CU24" s="380"/>
      <c r="CV24" s="381"/>
      <c r="CW24" s="82"/>
      <c r="CX24" s="377"/>
      <c r="CY24" s="377"/>
      <c r="CZ24" s="377"/>
      <c r="DA24" s="378"/>
      <c r="DB24" s="380"/>
      <c r="DC24" s="381"/>
      <c r="DD24" s="82"/>
      <c r="DE24" s="377"/>
      <c r="DF24" s="377"/>
      <c r="DG24" s="377"/>
      <c r="DH24" s="378"/>
      <c r="DI24" s="380"/>
      <c r="DJ24" s="381"/>
      <c r="DK24" s="82"/>
      <c r="DL24" s="377"/>
      <c r="DM24" s="377"/>
      <c r="DN24" s="377"/>
      <c r="DO24" s="378"/>
      <c r="DP24" s="380"/>
      <c r="DQ24" s="381"/>
      <c r="DR24" s="82"/>
      <c r="DS24" s="377"/>
      <c r="DT24" s="377"/>
      <c r="DU24" s="377"/>
      <c r="DV24" s="378"/>
      <c r="DW24" s="380"/>
      <c r="DX24" s="381"/>
      <c r="DY24" s="82"/>
      <c r="DZ24" s="377"/>
      <c r="EA24" s="377"/>
      <c r="EB24" s="377"/>
      <c r="EC24" s="378"/>
      <c r="ED24" s="380"/>
      <c r="EE24" s="381"/>
      <c r="EF24" s="82"/>
      <c r="EG24" s="377"/>
      <c r="EH24" s="377"/>
      <c r="EI24" s="377"/>
      <c r="EJ24" s="378"/>
      <c r="EK24" s="380"/>
      <c r="EL24" s="381"/>
      <c r="EM24" s="82"/>
      <c r="EN24" s="377"/>
      <c r="EO24" s="377"/>
      <c r="EP24" s="377"/>
      <c r="EQ24" s="378"/>
      <c r="ER24" s="380"/>
      <c r="ES24" s="381"/>
      <c r="ET24" s="82"/>
      <c r="EU24" s="377"/>
      <c r="EV24" s="377"/>
      <c r="EW24" s="377"/>
      <c r="EX24" s="378"/>
      <c r="EY24" s="380"/>
      <c r="EZ24" s="381"/>
      <c r="FA24" s="82"/>
      <c r="FB24" s="377"/>
      <c r="FC24" s="377"/>
      <c r="FD24" s="377"/>
      <c r="FE24" s="378"/>
      <c r="FF24" s="380"/>
      <c r="FG24" s="381"/>
      <c r="FH24" s="82"/>
      <c r="FI24" s="377"/>
      <c r="FJ24" s="377"/>
      <c r="FK24" s="377"/>
      <c r="FL24" s="378"/>
      <c r="FM24" s="380"/>
      <c r="FN24" s="381"/>
      <c r="FO24" s="82"/>
      <c r="FP24" s="377"/>
      <c r="FQ24" s="377"/>
      <c r="FR24" s="377"/>
      <c r="FS24" s="378"/>
      <c r="FT24" s="380"/>
      <c r="FU24" s="381"/>
      <c r="FV24" s="82"/>
      <c r="FW24" s="377"/>
      <c r="FX24" s="377"/>
      <c r="FY24" s="377"/>
      <c r="FZ24" s="378"/>
      <c r="GA24" s="380"/>
      <c r="GB24" s="381"/>
      <c r="GC24" s="82"/>
      <c r="GD24" s="377"/>
      <c r="GE24" s="377"/>
      <c r="GF24" s="377"/>
      <c r="GG24" s="378"/>
      <c r="GH24" s="380"/>
      <c r="GI24" s="381"/>
      <c r="GJ24" s="82"/>
      <c r="GK24" s="377"/>
      <c r="GL24" s="377"/>
      <c r="GM24" s="377"/>
      <c r="GN24" s="378"/>
      <c r="GO24" s="380"/>
      <c r="GP24" s="381"/>
      <c r="GQ24" s="82"/>
      <c r="GR24" s="377"/>
      <c r="GS24" s="377"/>
      <c r="GT24" s="377"/>
      <c r="GU24" s="378"/>
      <c r="GV24" s="380"/>
      <c r="GW24" s="381"/>
      <c r="GX24" s="82"/>
      <c r="GY24" s="377"/>
      <c r="GZ24" s="377"/>
      <c r="HA24" s="377"/>
      <c r="HB24" s="378"/>
      <c r="HC24" s="380"/>
      <c r="HD24" s="381"/>
      <c r="HE24" s="82"/>
      <c r="HF24" s="377"/>
      <c r="HG24" s="377"/>
      <c r="HH24" s="377"/>
      <c r="HI24" s="378"/>
      <c r="HJ24" s="380"/>
      <c r="HK24" s="381"/>
      <c r="HL24" s="82"/>
      <c r="HM24" s="377"/>
      <c r="HN24" s="377"/>
      <c r="HO24" s="377"/>
      <c r="HP24" s="378"/>
      <c r="HQ24" s="380"/>
      <c r="HR24" s="381"/>
      <c r="HS24" s="82"/>
      <c r="HT24" s="377"/>
      <c r="HU24" s="377"/>
      <c r="HV24" s="377"/>
      <c r="HW24" s="378"/>
      <c r="HX24" s="380"/>
      <c r="HY24" s="381"/>
      <c r="HZ24" s="82"/>
      <c r="IA24" s="377"/>
      <c r="IB24" s="377"/>
      <c r="IC24" s="377"/>
      <c r="ID24" s="378"/>
      <c r="IE24" s="380"/>
      <c r="IF24" s="381"/>
      <c r="IG24" s="82"/>
      <c r="IH24" s="377"/>
      <c r="II24" s="377"/>
      <c r="IJ24" s="377"/>
      <c r="IK24" s="378"/>
      <c r="IL24" s="380"/>
      <c r="IM24" s="381"/>
      <c r="IN24" s="82"/>
      <c r="IO24" s="377"/>
      <c r="IP24" s="377"/>
      <c r="IQ24" s="377"/>
      <c r="IR24" s="378"/>
      <c r="IS24" s="380"/>
      <c r="IT24" s="381"/>
      <c r="IU24" s="82"/>
      <c r="IV24" s="377"/>
    </row>
    <row r="25" spans="1:256" s="84" customFormat="1" ht="19.5" customHeight="1">
      <c r="A25" s="8"/>
      <c r="B25" s="59"/>
      <c r="C25" s="479" t="s">
        <v>972</v>
      </c>
      <c r="D25" s="113">
        <v>5000000</v>
      </c>
      <c r="E25" s="113">
        <v>5000000</v>
      </c>
      <c r="F25" s="113">
        <v>2090945</v>
      </c>
      <c r="G25" s="327">
        <f t="shared" si="2"/>
        <v>0.418189</v>
      </c>
      <c r="H25" s="438">
        <v>92550</v>
      </c>
      <c r="I25" s="376"/>
      <c r="J25" s="379"/>
      <c r="K25" s="377"/>
      <c r="L25" s="377"/>
      <c r="M25" s="377"/>
      <c r="N25" s="378"/>
      <c r="O25" s="382"/>
      <c r="P25" s="381"/>
      <c r="Q25" s="379"/>
      <c r="R25" s="377"/>
      <c r="S25" s="377"/>
      <c r="T25" s="377"/>
      <c r="U25" s="378"/>
      <c r="V25" s="382"/>
      <c r="W25" s="381"/>
      <c r="X25" s="379"/>
      <c r="Y25" s="377"/>
      <c r="Z25" s="377"/>
      <c r="AA25" s="377"/>
      <c r="AB25" s="378"/>
      <c r="AC25" s="382"/>
      <c r="AD25" s="381"/>
      <c r="AE25" s="379"/>
      <c r="AF25" s="377"/>
      <c r="AG25" s="377"/>
      <c r="AH25" s="377"/>
      <c r="AI25" s="378"/>
      <c r="AJ25" s="382"/>
      <c r="AK25" s="381"/>
      <c r="AL25" s="379"/>
      <c r="AM25" s="377"/>
      <c r="AN25" s="377"/>
      <c r="AO25" s="377"/>
      <c r="AP25" s="378"/>
      <c r="AQ25" s="382"/>
      <c r="AR25" s="381"/>
      <c r="AS25" s="379"/>
      <c r="AT25" s="377"/>
      <c r="AU25" s="377"/>
      <c r="AV25" s="377"/>
      <c r="AW25" s="378"/>
      <c r="AX25" s="382"/>
      <c r="AY25" s="381"/>
      <c r="AZ25" s="379"/>
      <c r="BA25" s="377"/>
      <c r="BB25" s="377"/>
      <c r="BC25" s="377"/>
      <c r="BD25" s="378"/>
      <c r="BE25" s="382"/>
      <c r="BF25" s="381"/>
      <c r="BG25" s="379"/>
      <c r="BH25" s="377"/>
      <c r="BI25" s="377"/>
      <c r="BJ25" s="377"/>
      <c r="BK25" s="378"/>
      <c r="BL25" s="382"/>
      <c r="BM25" s="381"/>
      <c r="BN25" s="379"/>
      <c r="BO25" s="377"/>
      <c r="BP25" s="377"/>
      <c r="BQ25" s="377"/>
      <c r="BR25" s="378"/>
      <c r="BS25" s="382"/>
      <c r="BT25" s="381"/>
      <c r="BU25" s="379"/>
      <c r="BV25" s="377"/>
      <c r="BW25" s="377"/>
      <c r="BX25" s="377"/>
      <c r="BY25" s="378"/>
      <c r="BZ25" s="382"/>
      <c r="CA25" s="381"/>
      <c r="CB25" s="379"/>
      <c r="CC25" s="377"/>
      <c r="CD25" s="377"/>
      <c r="CE25" s="377"/>
      <c r="CF25" s="378"/>
      <c r="CG25" s="382"/>
      <c r="CH25" s="381"/>
      <c r="CI25" s="379"/>
      <c r="CJ25" s="377"/>
      <c r="CK25" s="377"/>
      <c r="CL25" s="377"/>
      <c r="CM25" s="378"/>
      <c r="CN25" s="382"/>
      <c r="CO25" s="381"/>
      <c r="CP25" s="379"/>
      <c r="CQ25" s="377"/>
      <c r="CR25" s="377"/>
      <c r="CS25" s="377"/>
      <c r="CT25" s="378"/>
      <c r="CU25" s="382"/>
      <c r="CV25" s="381"/>
      <c r="CW25" s="379"/>
      <c r="CX25" s="377"/>
      <c r="CY25" s="377"/>
      <c r="CZ25" s="377"/>
      <c r="DA25" s="378"/>
      <c r="DB25" s="382"/>
      <c r="DC25" s="381"/>
      <c r="DD25" s="379"/>
      <c r="DE25" s="377"/>
      <c r="DF25" s="377"/>
      <c r="DG25" s="377"/>
      <c r="DH25" s="378"/>
      <c r="DI25" s="382"/>
      <c r="DJ25" s="381"/>
      <c r="DK25" s="379"/>
      <c r="DL25" s="377"/>
      <c r="DM25" s="377"/>
      <c r="DN25" s="377"/>
      <c r="DO25" s="378"/>
      <c r="DP25" s="382"/>
      <c r="DQ25" s="381"/>
      <c r="DR25" s="379"/>
      <c r="DS25" s="377"/>
      <c r="DT25" s="377"/>
      <c r="DU25" s="377"/>
      <c r="DV25" s="378"/>
      <c r="DW25" s="382"/>
      <c r="DX25" s="381"/>
      <c r="DY25" s="379"/>
      <c r="DZ25" s="377"/>
      <c r="EA25" s="377"/>
      <c r="EB25" s="377"/>
      <c r="EC25" s="378"/>
      <c r="ED25" s="382"/>
      <c r="EE25" s="381"/>
      <c r="EF25" s="379"/>
      <c r="EG25" s="377"/>
      <c r="EH25" s="377"/>
      <c r="EI25" s="377"/>
      <c r="EJ25" s="378"/>
      <c r="EK25" s="382"/>
      <c r="EL25" s="381"/>
      <c r="EM25" s="379"/>
      <c r="EN25" s="377"/>
      <c r="EO25" s="377"/>
      <c r="EP25" s="377"/>
      <c r="EQ25" s="378"/>
      <c r="ER25" s="382"/>
      <c r="ES25" s="381"/>
      <c r="ET25" s="379"/>
      <c r="EU25" s="377"/>
      <c r="EV25" s="377"/>
      <c r="EW25" s="377"/>
      <c r="EX25" s="378"/>
      <c r="EY25" s="382"/>
      <c r="EZ25" s="381"/>
      <c r="FA25" s="379"/>
      <c r="FB25" s="377"/>
      <c r="FC25" s="377"/>
      <c r="FD25" s="377"/>
      <c r="FE25" s="378"/>
      <c r="FF25" s="382"/>
      <c r="FG25" s="381"/>
      <c r="FH25" s="379"/>
      <c r="FI25" s="377"/>
      <c r="FJ25" s="377"/>
      <c r="FK25" s="377"/>
      <c r="FL25" s="378"/>
      <c r="FM25" s="382"/>
      <c r="FN25" s="381"/>
      <c r="FO25" s="379"/>
      <c r="FP25" s="377"/>
      <c r="FQ25" s="377"/>
      <c r="FR25" s="377"/>
      <c r="FS25" s="378"/>
      <c r="FT25" s="382"/>
      <c r="FU25" s="381"/>
      <c r="FV25" s="379"/>
      <c r="FW25" s="377"/>
      <c r="FX25" s="377"/>
      <c r="FY25" s="377"/>
      <c r="FZ25" s="378"/>
      <c r="GA25" s="382"/>
      <c r="GB25" s="381"/>
      <c r="GC25" s="379"/>
      <c r="GD25" s="377"/>
      <c r="GE25" s="377"/>
      <c r="GF25" s="377"/>
      <c r="GG25" s="378"/>
      <c r="GH25" s="382"/>
      <c r="GI25" s="381"/>
      <c r="GJ25" s="379"/>
      <c r="GK25" s="377"/>
      <c r="GL25" s="377"/>
      <c r="GM25" s="377"/>
      <c r="GN25" s="378"/>
      <c r="GO25" s="382"/>
      <c r="GP25" s="381"/>
      <c r="GQ25" s="379"/>
      <c r="GR25" s="377"/>
      <c r="GS25" s="377"/>
      <c r="GT25" s="377"/>
      <c r="GU25" s="378"/>
      <c r="GV25" s="382"/>
      <c r="GW25" s="381"/>
      <c r="GX25" s="379"/>
      <c r="GY25" s="377"/>
      <c r="GZ25" s="377"/>
      <c r="HA25" s="377"/>
      <c r="HB25" s="378"/>
      <c r="HC25" s="382"/>
      <c r="HD25" s="381"/>
      <c r="HE25" s="379"/>
      <c r="HF25" s="377"/>
      <c r="HG25" s="377"/>
      <c r="HH25" s="377"/>
      <c r="HI25" s="378"/>
      <c r="HJ25" s="382"/>
      <c r="HK25" s="381"/>
      <c r="HL25" s="379"/>
      <c r="HM25" s="377"/>
      <c r="HN25" s="377"/>
      <c r="HO25" s="377"/>
      <c r="HP25" s="378"/>
      <c r="HQ25" s="382"/>
      <c r="HR25" s="381"/>
      <c r="HS25" s="379"/>
      <c r="HT25" s="377"/>
      <c r="HU25" s="377"/>
      <c r="HV25" s="377"/>
      <c r="HW25" s="378"/>
      <c r="HX25" s="382"/>
      <c r="HY25" s="381"/>
      <c r="HZ25" s="379"/>
      <c r="IA25" s="377"/>
      <c r="IB25" s="377"/>
      <c r="IC25" s="377"/>
      <c r="ID25" s="378"/>
      <c r="IE25" s="382"/>
      <c r="IF25" s="381"/>
      <c r="IG25" s="379"/>
      <c r="IH25" s="377"/>
      <c r="II25" s="377"/>
      <c r="IJ25" s="377"/>
      <c r="IK25" s="378"/>
      <c r="IL25" s="382"/>
      <c r="IM25" s="381"/>
      <c r="IN25" s="379"/>
      <c r="IO25" s="377"/>
      <c r="IP25" s="377"/>
      <c r="IQ25" s="377"/>
      <c r="IR25" s="378"/>
      <c r="IS25" s="382"/>
      <c r="IT25" s="381"/>
      <c r="IU25" s="379"/>
      <c r="IV25" s="377"/>
    </row>
    <row r="26" spans="1:256" s="84" customFormat="1" ht="19.5" customHeight="1">
      <c r="A26" s="143"/>
      <c r="B26" s="58"/>
      <c r="C26" s="669" t="s">
        <v>973</v>
      </c>
      <c r="D26" s="415">
        <v>3700000</v>
      </c>
      <c r="E26" s="415">
        <v>4500000</v>
      </c>
      <c r="F26" s="415">
        <v>5058704</v>
      </c>
      <c r="G26" s="659">
        <f t="shared" si="2"/>
        <v>1.1241564444444445</v>
      </c>
      <c r="H26" s="437"/>
      <c r="I26" s="376"/>
      <c r="J26" s="82"/>
      <c r="K26" s="377"/>
      <c r="L26" s="377"/>
      <c r="M26" s="377"/>
      <c r="N26" s="378"/>
      <c r="O26" s="380"/>
      <c r="P26" s="381"/>
      <c r="Q26" s="82"/>
      <c r="R26" s="377"/>
      <c r="S26" s="377"/>
      <c r="T26" s="377"/>
      <c r="U26" s="378"/>
      <c r="V26" s="380"/>
      <c r="W26" s="381"/>
      <c r="X26" s="82"/>
      <c r="Y26" s="377"/>
      <c r="Z26" s="377"/>
      <c r="AA26" s="377"/>
      <c r="AB26" s="378"/>
      <c r="AC26" s="380"/>
      <c r="AD26" s="381"/>
      <c r="AE26" s="82"/>
      <c r="AF26" s="377"/>
      <c r="AG26" s="377"/>
      <c r="AH26" s="377"/>
      <c r="AI26" s="378"/>
      <c r="AJ26" s="380"/>
      <c r="AK26" s="381"/>
      <c r="AL26" s="82"/>
      <c r="AM26" s="377"/>
      <c r="AN26" s="377"/>
      <c r="AO26" s="377"/>
      <c r="AP26" s="378"/>
      <c r="AQ26" s="380"/>
      <c r="AR26" s="381"/>
      <c r="AS26" s="82"/>
      <c r="AT26" s="377"/>
      <c r="AU26" s="377"/>
      <c r="AV26" s="377"/>
      <c r="AW26" s="378"/>
      <c r="AX26" s="380"/>
      <c r="AY26" s="381"/>
      <c r="AZ26" s="82"/>
      <c r="BA26" s="377"/>
      <c r="BB26" s="377"/>
      <c r="BC26" s="377"/>
      <c r="BD26" s="378"/>
      <c r="BE26" s="380"/>
      <c r="BF26" s="381"/>
      <c r="BG26" s="82"/>
      <c r="BH26" s="377"/>
      <c r="BI26" s="377"/>
      <c r="BJ26" s="377"/>
      <c r="BK26" s="378"/>
      <c r="BL26" s="380"/>
      <c r="BM26" s="381"/>
      <c r="BN26" s="82"/>
      <c r="BO26" s="377"/>
      <c r="BP26" s="377"/>
      <c r="BQ26" s="377"/>
      <c r="BR26" s="378"/>
      <c r="BS26" s="380"/>
      <c r="BT26" s="381"/>
      <c r="BU26" s="82"/>
      <c r="BV26" s="377"/>
      <c r="BW26" s="377"/>
      <c r="BX26" s="377"/>
      <c r="BY26" s="378"/>
      <c r="BZ26" s="380"/>
      <c r="CA26" s="381"/>
      <c r="CB26" s="82"/>
      <c r="CC26" s="377"/>
      <c r="CD26" s="377"/>
      <c r="CE26" s="377"/>
      <c r="CF26" s="378"/>
      <c r="CG26" s="380"/>
      <c r="CH26" s="381"/>
      <c r="CI26" s="82"/>
      <c r="CJ26" s="377"/>
      <c r="CK26" s="377"/>
      <c r="CL26" s="377"/>
      <c r="CM26" s="378"/>
      <c r="CN26" s="380"/>
      <c r="CO26" s="381"/>
      <c r="CP26" s="82"/>
      <c r="CQ26" s="377"/>
      <c r="CR26" s="377"/>
      <c r="CS26" s="377"/>
      <c r="CT26" s="378"/>
      <c r="CU26" s="380"/>
      <c r="CV26" s="381"/>
      <c r="CW26" s="82"/>
      <c r="CX26" s="377"/>
      <c r="CY26" s="377"/>
      <c r="CZ26" s="377"/>
      <c r="DA26" s="378"/>
      <c r="DB26" s="380"/>
      <c r="DC26" s="381"/>
      <c r="DD26" s="82"/>
      <c r="DE26" s="377"/>
      <c r="DF26" s="377"/>
      <c r="DG26" s="377"/>
      <c r="DH26" s="378"/>
      <c r="DI26" s="380"/>
      <c r="DJ26" s="381"/>
      <c r="DK26" s="82"/>
      <c r="DL26" s="377"/>
      <c r="DM26" s="377"/>
      <c r="DN26" s="377"/>
      <c r="DO26" s="378"/>
      <c r="DP26" s="380"/>
      <c r="DQ26" s="381"/>
      <c r="DR26" s="82"/>
      <c r="DS26" s="377"/>
      <c r="DT26" s="377"/>
      <c r="DU26" s="377"/>
      <c r="DV26" s="378"/>
      <c r="DW26" s="380"/>
      <c r="DX26" s="381"/>
      <c r="DY26" s="82"/>
      <c r="DZ26" s="377"/>
      <c r="EA26" s="377"/>
      <c r="EB26" s="377"/>
      <c r="EC26" s="378"/>
      <c r="ED26" s="380"/>
      <c r="EE26" s="381"/>
      <c r="EF26" s="82"/>
      <c r="EG26" s="377"/>
      <c r="EH26" s="377"/>
      <c r="EI26" s="377"/>
      <c r="EJ26" s="378"/>
      <c r="EK26" s="380"/>
      <c r="EL26" s="381"/>
      <c r="EM26" s="82"/>
      <c r="EN26" s="377"/>
      <c r="EO26" s="377"/>
      <c r="EP26" s="377"/>
      <c r="EQ26" s="378"/>
      <c r="ER26" s="380"/>
      <c r="ES26" s="381"/>
      <c r="ET26" s="82"/>
      <c r="EU26" s="377"/>
      <c r="EV26" s="377"/>
      <c r="EW26" s="377"/>
      <c r="EX26" s="378"/>
      <c r="EY26" s="380"/>
      <c r="EZ26" s="381"/>
      <c r="FA26" s="82"/>
      <c r="FB26" s="377"/>
      <c r="FC26" s="377"/>
      <c r="FD26" s="377"/>
      <c r="FE26" s="378"/>
      <c r="FF26" s="380"/>
      <c r="FG26" s="381"/>
      <c r="FH26" s="82"/>
      <c r="FI26" s="377"/>
      <c r="FJ26" s="377"/>
      <c r="FK26" s="377"/>
      <c r="FL26" s="378"/>
      <c r="FM26" s="380"/>
      <c r="FN26" s="381"/>
      <c r="FO26" s="82"/>
      <c r="FP26" s="377"/>
      <c r="FQ26" s="377"/>
      <c r="FR26" s="377"/>
      <c r="FS26" s="378"/>
      <c r="FT26" s="380"/>
      <c r="FU26" s="381"/>
      <c r="FV26" s="82"/>
      <c r="FW26" s="377"/>
      <c r="FX26" s="377"/>
      <c r="FY26" s="377"/>
      <c r="FZ26" s="378"/>
      <c r="GA26" s="380"/>
      <c r="GB26" s="381"/>
      <c r="GC26" s="82"/>
      <c r="GD26" s="377"/>
      <c r="GE26" s="377"/>
      <c r="GF26" s="377"/>
      <c r="GG26" s="378"/>
      <c r="GH26" s="380"/>
      <c r="GI26" s="381"/>
      <c r="GJ26" s="82"/>
      <c r="GK26" s="377"/>
      <c r="GL26" s="377"/>
      <c r="GM26" s="377"/>
      <c r="GN26" s="378"/>
      <c r="GO26" s="380"/>
      <c r="GP26" s="381"/>
      <c r="GQ26" s="82"/>
      <c r="GR26" s="377"/>
      <c r="GS26" s="377"/>
      <c r="GT26" s="377"/>
      <c r="GU26" s="378"/>
      <c r="GV26" s="380"/>
      <c r="GW26" s="381"/>
      <c r="GX26" s="82"/>
      <c r="GY26" s="377"/>
      <c r="GZ26" s="377"/>
      <c r="HA26" s="377"/>
      <c r="HB26" s="378"/>
      <c r="HC26" s="380"/>
      <c r="HD26" s="381"/>
      <c r="HE26" s="82"/>
      <c r="HF26" s="377"/>
      <c r="HG26" s="377"/>
      <c r="HH26" s="377"/>
      <c r="HI26" s="378"/>
      <c r="HJ26" s="380"/>
      <c r="HK26" s="381"/>
      <c r="HL26" s="82"/>
      <c r="HM26" s="377"/>
      <c r="HN26" s="377"/>
      <c r="HO26" s="377"/>
      <c r="HP26" s="378"/>
      <c r="HQ26" s="380"/>
      <c r="HR26" s="381"/>
      <c r="HS26" s="82"/>
      <c r="HT26" s="377"/>
      <c r="HU26" s="377"/>
      <c r="HV26" s="377"/>
      <c r="HW26" s="378"/>
      <c r="HX26" s="380"/>
      <c r="HY26" s="381"/>
      <c r="HZ26" s="82"/>
      <c r="IA26" s="377"/>
      <c r="IB26" s="377"/>
      <c r="IC26" s="377"/>
      <c r="ID26" s="378"/>
      <c r="IE26" s="380"/>
      <c r="IF26" s="381"/>
      <c r="IG26" s="82"/>
      <c r="IH26" s="377"/>
      <c r="II26" s="377"/>
      <c r="IJ26" s="377"/>
      <c r="IK26" s="378"/>
      <c r="IL26" s="380"/>
      <c r="IM26" s="381"/>
      <c r="IN26" s="82"/>
      <c r="IO26" s="377"/>
      <c r="IP26" s="377"/>
      <c r="IQ26" s="377"/>
      <c r="IR26" s="378"/>
      <c r="IS26" s="380"/>
      <c r="IT26" s="381"/>
      <c r="IU26" s="82"/>
      <c r="IV26" s="377"/>
    </row>
    <row r="27" spans="1:9" s="84" customFormat="1" ht="19.5" customHeight="1">
      <c r="A27" s="116"/>
      <c r="B27" s="59"/>
      <c r="C27" s="480" t="s">
        <v>462</v>
      </c>
      <c r="D27" s="120">
        <v>16700000</v>
      </c>
      <c r="E27" s="120">
        <v>17700000</v>
      </c>
      <c r="F27" s="120">
        <v>18111564</v>
      </c>
      <c r="G27" s="329">
        <f t="shared" si="2"/>
        <v>1.0232522033898306</v>
      </c>
      <c r="H27" s="70">
        <v>689600</v>
      </c>
      <c r="I27" s="118"/>
    </row>
    <row r="28" spans="1:9" s="84" customFormat="1" ht="19.5" customHeight="1">
      <c r="A28" s="8"/>
      <c r="B28" s="59"/>
      <c r="C28" s="480" t="s">
        <v>970</v>
      </c>
      <c r="D28" s="122">
        <v>8000</v>
      </c>
      <c r="E28" s="122">
        <v>8000</v>
      </c>
      <c r="F28" s="122">
        <v>1265</v>
      </c>
      <c r="G28" s="330">
        <f t="shared" si="2"/>
        <v>0.158125</v>
      </c>
      <c r="H28" s="255"/>
      <c r="I28" s="118"/>
    </row>
    <row r="29" spans="1:9" s="84" customFormat="1" ht="19.5" customHeight="1">
      <c r="A29" s="8"/>
      <c r="B29" s="59"/>
      <c r="C29" s="479" t="s">
        <v>380</v>
      </c>
      <c r="D29" s="113">
        <v>130000</v>
      </c>
      <c r="E29" s="113">
        <v>130000</v>
      </c>
      <c r="F29" s="113">
        <v>190244</v>
      </c>
      <c r="G29" s="327">
        <f t="shared" si="2"/>
        <v>1.4634153846153846</v>
      </c>
      <c r="H29" s="238"/>
      <c r="I29" s="118"/>
    </row>
    <row r="30" spans="1:9" s="84" customFormat="1" ht="19.5" customHeight="1">
      <c r="A30" s="10"/>
      <c r="B30" s="58"/>
      <c r="C30" s="434" t="s">
        <v>891</v>
      </c>
      <c r="D30" s="109"/>
      <c r="E30" s="109"/>
      <c r="F30" s="109">
        <f>2365+7854+1403+5160+9733+346+260</f>
        <v>27121</v>
      </c>
      <c r="G30" s="325"/>
      <c r="H30" s="238"/>
      <c r="I30" s="118"/>
    </row>
    <row r="31" spans="1:9" s="127" customFormat="1" ht="19.5" customHeight="1">
      <c r="A31" s="123">
        <v>710</v>
      </c>
      <c r="B31" s="95"/>
      <c r="C31" s="419" t="s">
        <v>393</v>
      </c>
      <c r="D31" s="444">
        <f>SUM(D32)</f>
        <v>1016000</v>
      </c>
      <c r="E31" s="97">
        <f>SUM(E32)</f>
        <v>1016000</v>
      </c>
      <c r="F31" s="97">
        <f>SUM(F32)</f>
        <v>935786</v>
      </c>
      <c r="G31" s="322">
        <f t="shared" si="2"/>
        <v>0.9210492125984252</v>
      </c>
      <c r="H31" s="256"/>
      <c r="I31" s="302"/>
    </row>
    <row r="32" spans="1:9" s="80" customFormat="1" ht="19.5" customHeight="1">
      <c r="A32" s="110"/>
      <c r="B32" s="99">
        <v>71035</v>
      </c>
      <c r="C32" s="477" t="s">
        <v>442</v>
      </c>
      <c r="D32" s="139">
        <f>SUM(D33:D34)</f>
        <v>1016000</v>
      </c>
      <c r="E32" s="64">
        <f>SUM(E33:E34)</f>
        <v>1016000</v>
      </c>
      <c r="F32" s="64">
        <f>SUM(F33:F34)</f>
        <v>935786</v>
      </c>
      <c r="G32" s="332">
        <f t="shared" si="2"/>
        <v>0.9210492125984252</v>
      </c>
      <c r="H32" s="181"/>
      <c r="I32" s="303"/>
    </row>
    <row r="33" spans="1:8" ht="19.5" customHeight="1">
      <c r="A33" s="8"/>
      <c r="B33" s="59"/>
      <c r="C33" s="435" t="s">
        <v>903</v>
      </c>
      <c r="D33" s="130">
        <v>1000000</v>
      </c>
      <c r="E33" s="130">
        <v>1000000</v>
      </c>
      <c r="F33" s="130">
        <v>915777</v>
      </c>
      <c r="G33" s="333">
        <f t="shared" si="2"/>
        <v>0.915777</v>
      </c>
      <c r="H33" s="238"/>
    </row>
    <row r="34" spans="1:8" ht="19.5" customHeight="1">
      <c r="A34" s="8"/>
      <c r="B34" s="59"/>
      <c r="C34" s="483" t="s">
        <v>453</v>
      </c>
      <c r="D34" s="132">
        <v>16000</v>
      </c>
      <c r="E34" s="132">
        <v>16000</v>
      </c>
      <c r="F34" s="132">
        <v>20009</v>
      </c>
      <c r="G34" s="334">
        <f t="shared" si="2"/>
        <v>1.2505625</v>
      </c>
      <c r="H34" s="238"/>
    </row>
    <row r="35" spans="1:8" ht="19.5" customHeight="1">
      <c r="A35" s="133">
        <v>750</v>
      </c>
      <c r="B35" s="134"/>
      <c r="C35" s="134" t="s">
        <v>391</v>
      </c>
      <c r="D35" s="445">
        <f>D36+D38</f>
        <v>441800</v>
      </c>
      <c r="E35" s="135">
        <f>E36+E38</f>
        <v>441800</v>
      </c>
      <c r="F35" s="135">
        <f>F36+F38+F46</f>
        <v>415563</v>
      </c>
      <c r="G35" s="140">
        <f t="shared" si="2"/>
        <v>0.9406133997283839</v>
      </c>
      <c r="H35" s="256"/>
    </row>
    <row r="36" spans="1:8" ht="19.5" customHeight="1">
      <c r="A36" s="61"/>
      <c r="B36" s="141">
        <v>75011</v>
      </c>
      <c r="C36" s="40" t="s">
        <v>413</v>
      </c>
      <c r="D36" s="129">
        <f>D37</f>
        <v>60000</v>
      </c>
      <c r="E36" s="2">
        <f>E37</f>
        <v>60000</v>
      </c>
      <c r="F36" s="2">
        <f>F37</f>
        <v>62713</v>
      </c>
      <c r="G36" s="101">
        <f t="shared" si="2"/>
        <v>1.0452166666666667</v>
      </c>
      <c r="H36" s="247"/>
    </row>
    <row r="37" spans="1:8" ht="39" customHeight="1">
      <c r="A37" s="8"/>
      <c r="B37" s="58"/>
      <c r="C37" s="486" t="s">
        <v>484</v>
      </c>
      <c r="D37" s="109">
        <v>60000</v>
      </c>
      <c r="E37" s="109">
        <v>60000</v>
      </c>
      <c r="F37" s="109">
        <f>60543+2170</f>
        <v>62713</v>
      </c>
      <c r="G37" s="325">
        <f t="shared" si="2"/>
        <v>1.0452166666666667</v>
      </c>
      <c r="H37" s="254"/>
    </row>
    <row r="38" spans="1:8" ht="19.5" customHeight="1">
      <c r="A38" s="110"/>
      <c r="B38" s="32">
        <v>75023</v>
      </c>
      <c r="C38" s="39" t="s">
        <v>449</v>
      </c>
      <c r="D38" s="139">
        <f>SUM(D39:D45)</f>
        <v>381800</v>
      </c>
      <c r="E38" s="64">
        <f>SUM(E39:E45)</f>
        <v>381800</v>
      </c>
      <c r="F38" s="64">
        <f>SUM(F39:F45)</f>
        <v>350324</v>
      </c>
      <c r="G38" s="108">
        <f t="shared" si="2"/>
        <v>0.9175589313776846</v>
      </c>
      <c r="H38" s="247"/>
    </row>
    <row r="39" spans="1:8" ht="19.5" customHeight="1">
      <c r="A39" s="8"/>
      <c r="B39" s="59"/>
      <c r="C39" s="481" t="s">
        <v>905</v>
      </c>
      <c r="D39" s="120">
        <v>2000</v>
      </c>
      <c r="E39" s="120">
        <v>2000</v>
      </c>
      <c r="F39" s="120">
        <v>314</v>
      </c>
      <c r="G39" s="329">
        <f t="shared" si="2"/>
        <v>0.157</v>
      </c>
      <c r="H39" s="254"/>
    </row>
    <row r="40" spans="1:8" ht="19.5" customHeight="1">
      <c r="A40" s="8"/>
      <c r="B40" s="59"/>
      <c r="C40" s="427" t="s">
        <v>356</v>
      </c>
      <c r="D40" s="113">
        <v>50000</v>
      </c>
      <c r="E40" s="113">
        <v>50000</v>
      </c>
      <c r="F40" s="113">
        <v>24848</v>
      </c>
      <c r="G40" s="327">
        <f t="shared" si="2"/>
        <v>0.49696</v>
      </c>
      <c r="H40" s="253"/>
    </row>
    <row r="41" spans="1:8" ht="19.5" customHeight="1">
      <c r="A41" s="8"/>
      <c r="B41" s="59"/>
      <c r="C41" s="427" t="s">
        <v>906</v>
      </c>
      <c r="D41" s="136">
        <v>80000</v>
      </c>
      <c r="E41" s="136">
        <v>80000</v>
      </c>
      <c r="F41" s="120">
        <v>57278</v>
      </c>
      <c r="G41" s="329">
        <f t="shared" si="2"/>
        <v>0.715975</v>
      </c>
      <c r="H41" s="254"/>
    </row>
    <row r="42" spans="1:8" ht="19.5" customHeight="1">
      <c r="A42" s="8"/>
      <c r="B42" s="59"/>
      <c r="C42" s="427" t="s">
        <v>376</v>
      </c>
      <c r="D42" s="136">
        <v>200000</v>
      </c>
      <c r="E42" s="136">
        <v>200000</v>
      </c>
      <c r="F42" s="136">
        <v>210871</v>
      </c>
      <c r="G42" s="335">
        <f t="shared" si="2"/>
        <v>1.054355</v>
      </c>
      <c r="H42" s="253"/>
    </row>
    <row r="43" spans="1:8" ht="19.5" customHeight="1">
      <c r="A43" s="8"/>
      <c r="B43" s="59"/>
      <c r="C43" s="484" t="s">
        <v>315</v>
      </c>
      <c r="D43" s="446">
        <v>40000</v>
      </c>
      <c r="E43" s="618">
        <v>40000</v>
      </c>
      <c r="F43" s="136">
        <v>27058</v>
      </c>
      <c r="G43" s="335">
        <f>F43/E43</f>
        <v>0.67645</v>
      </c>
      <c r="H43" s="257"/>
    </row>
    <row r="44" spans="1:8" ht="39" customHeight="1">
      <c r="A44" s="8"/>
      <c r="B44" s="59"/>
      <c r="C44" s="484" t="s">
        <v>865</v>
      </c>
      <c r="D44" s="446">
        <v>9800</v>
      </c>
      <c r="E44" s="315">
        <v>9800</v>
      </c>
      <c r="F44" s="315">
        <v>8686</v>
      </c>
      <c r="G44" s="336">
        <f t="shared" si="2"/>
        <v>0.8863265306122449</v>
      </c>
      <c r="H44" s="257"/>
    </row>
    <row r="45" spans="1:8" ht="19.5" customHeight="1">
      <c r="A45" s="8"/>
      <c r="B45" s="58"/>
      <c r="C45" s="485" t="s">
        <v>891</v>
      </c>
      <c r="D45" s="389"/>
      <c r="E45" s="389"/>
      <c r="F45" s="389">
        <f>11+821+53+16+828+7178+12362</f>
        <v>21269</v>
      </c>
      <c r="G45" s="393"/>
      <c r="H45" s="257"/>
    </row>
    <row r="46" spans="1:8" ht="19.5" customHeight="1">
      <c r="A46" s="110"/>
      <c r="B46" s="141">
        <v>75095</v>
      </c>
      <c r="C46" s="40" t="s">
        <v>966</v>
      </c>
      <c r="D46" s="129"/>
      <c r="E46" s="2"/>
      <c r="F46" s="2">
        <f>F47</f>
        <v>2526</v>
      </c>
      <c r="G46" s="101"/>
      <c r="H46" s="247"/>
    </row>
    <row r="47" spans="1:8" ht="19.5" customHeight="1">
      <c r="A47" s="8"/>
      <c r="B47" s="58"/>
      <c r="C47" s="486" t="s">
        <v>891</v>
      </c>
      <c r="D47" s="109"/>
      <c r="E47" s="109"/>
      <c r="F47" s="109">
        <v>2526</v>
      </c>
      <c r="G47" s="325"/>
      <c r="H47" s="254"/>
    </row>
    <row r="48" spans="1:9" s="127" customFormat="1" ht="19.5" customHeight="1">
      <c r="A48" s="133">
        <v>754</v>
      </c>
      <c r="B48" s="180"/>
      <c r="C48" s="183" t="s">
        <v>394</v>
      </c>
      <c r="D48" s="445">
        <f>D49</f>
        <v>950000</v>
      </c>
      <c r="E48" s="135">
        <f>E49</f>
        <v>950000</v>
      </c>
      <c r="F48" s="135">
        <f>F49</f>
        <v>695952</v>
      </c>
      <c r="G48" s="140">
        <f t="shared" si="2"/>
        <v>0.7325810526315789</v>
      </c>
      <c r="H48" s="256"/>
      <c r="I48" s="302"/>
    </row>
    <row r="49" spans="1:9" s="80" customFormat="1" ht="19.5" customHeight="1">
      <c r="A49" s="110"/>
      <c r="B49" s="99">
        <v>75416</v>
      </c>
      <c r="C49" s="39" t="s">
        <v>443</v>
      </c>
      <c r="D49" s="139">
        <f>SUM(D50:D52)</f>
        <v>950000</v>
      </c>
      <c r="E49" s="139">
        <f>SUM(E50:E52)</f>
        <v>950000</v>
      </c>
      <c r="F49" s="139">
        <f>SUM(F50:F52)</f>
        <v>695952</v>
      </c>
      <c r="G49" s="332">
        <f t="shared" si="2"/>
        <v>0.7325810526315789</v>
      </c>
      <c r="H49" s="181"/>
      <c r="I49" s="303"/>
    </row>
    <row r="50" spans="1:8" ht="19.5" customHeight="1">
      <c r="A50" s="10"/>
      <c r="B50" s="58"/>
      <c r="C50" s="486" t="s">
        <v>357</v>
      </c>
      <c r="D50" s="109">
        <v>950000</v>
      </c>
      <c r="E50" s="109">
        <v>950000</v>
      </c>
      <c r="F50" s="109">
        <v>693525</v>
      </c>
      <c r="G50" s="325">
        <f t="shared" si="2"/>
        <v>0.7300263157894736</v>
      </c>
      <c r="H50" s="236"/>
    </row>
    <row r="51" spans="1:8" ht="39" customHeight="1">
      <c r="A51" s="8"/>
      <c r="B51" s="59"/>
      <c r="C51" s="481" t="s">
        <v>865</v>
      </c>
      <c r="D51" s="120"/>
      <c r="E51" s="120"/>
      <c r="F51" s="120">
        <v>560</v>
      </c>
      <c r="G51" s="329"/>
      <c r="H51" s="236"/>
    </row>
    <row r="52" spans="1:8" ht="19.5" customHeight="1">
      <c r="A52" s="10"/>
      <c r="B52" s="58"/>
      <c r="C52" s="486" t="s">
        <v>891</v>
      </c>
      <c r="D52" s="109"/>
      <c r="E52" s="109"/>
      <c r="F52" s="109">
        <v>1867</v>
      </c>
      <c r="G52" s="325"/>
      <c r="H52" s="236"/>
    </row>
    <row r="53" spans="1:8" ht="38.25">
      <c r="A53" s="123">
        <v>756</v>
      </c>
      <c r="B53" s="96"/>
      <c r="C53" s="419" t="s">
        <v>475</v>
      </c>
      <c r="D53" s="444">
        <f>D54+D57+D60+D71+D79+D81</f>
        <v>269649775</v>
      </c>
      <c r="E53" s="97">
        <f>E54+E57+E60+E71+E79+E81</f>
        <v>286349775</v>
      </c>
      <c r="F53" s="97">
        <f>F54+F57+F60+F71+F79+F81</f>
        <v>290321902</v>
      </c>
      <c r="G53" s="98">
        <f t="shared" si="2"/>
        <v>1.0138715911336058</v>
      </c>
      <c r="H53" s="246"/>
    </row>
    <row r="54" spans="1:8" ht="19.5" customHeight="1">
      <c r="A54" s="61"/>
      <c r="B54" s="141">
        <v>75601</v>
      </c>
      <c r="C54" s="40" t="s">
        <v>389</v>
      </c>
      <c r="D54" s="129">
        <f>D55+D56</f>
        <v>1450000</v>
      </c>
      <c r="E54" s="2">
        <f>E55+E56</f>
        <v>1450000</v>
      </c>
      <c r="F54" s="2">
        <f>F55+F56</f>
        <v>1438091</v>
      </c>
      <c r="G54" s="101">
        <f t="shared" si="2"/>
        <v>0.9917868965517241</v>
      </c>
      <c r="H54" s="260"/>
    </row>
    <row r="55" spans="1:8" ht="25.5" customHeight="1">
      <c r="A55" s="8"/>
      <c r="B55" s="59"/>
      <c r="C55" s="416" t="s">
        <v>930</v>
      </c>
      <c r="D55" s="111">
        <v>1400000</v>
      </c>
      <c r="E55" s="111">
        <v>1400000</v>
      </c>
      <c r="F55" s="111">
        <v>1378018</v>
      </c>
      <c r="G55" s="326">
        <f t="shared" si="2"/>
        <v>0.9842985714285715</v>
      </c>
      <c r="H55" s="261"/>
    </row>
    <row r="56" spans="1:8" ht="19.5" customHeight="1">
      <c r="A56" s="8"/>
      <c r="B56" s="58"/>
      <c r="C56" s="486" t="s">
        <v>907</v>
      </c>
      <c r="D56" s="50">
        <v>50000</v>
      </c>
      <c r="E56" s="50">
        <v>50000</v>
      </c>
      <c r="F56" s="50">
        <v>60073</v>
      </c>
      <c r="G56" s="337">
        <f t="shared" si="2"/>
        <v>1.20146</v>
      </c>
      <c r="H56" s="261"/>
    </row>
    <row r="57" spans="1:8" ht="19.5" customHeight="1">
      <c r="A57" s="110"/>
      <c r="B57" s="143">
        <v>75605</v>
      </c>
      <c r="C57" s="39" t="s">
        <v>451</v>
      </c>
      <c r="D57" s="139">
        <f>D58+D59</f>
        <v>1000000</v>
      </c>
      <c r="E57" s="64">
        <f>E58+E59</f>
        <v>1000000</v>
      </c>
      <c r="F57" s="64">
        <f>F58+F59</f>
        <v>573224</v>
      </c>
      <c r="G57" s="332">
        <f t="shared" si="2"/>
        <v>0.573224</v>
      </c>
      <c r="H57" s="260"/>
    </row>
    <row r="58" spans="1:8" ht="19.5" customHeight="1">
      <c r="A58" s="110"/>
      <c r="B58" s="59"/>
      <c r="C58" s="427" t="s">
        <v>374</v>
      </c>
      <c r="D58" s="113">
        <v>500000</v>
      </c>
      <c r="E58" s="120">
        <v>500000</v>
      </c>
      <c r="F58" s="120">
        <v>23224</v>
      </c>
      <c r="G58" s="329">
        <f t="shared" si="2"/>
        <v>0.046448</v>
      </c>
      <c r="H58" s="253"/>
    </row>
    <row r="59" spans="1:8" ht="19.5" customHeight="1">
      <c r="A59" s="110"/>
      <c r="B59" s="58"/>
      <c r="C59" s="486" t="s">
        <v>375</v>
      </c>
      <c r="D59" s="109">
        <v>500000</v>
      </c>
      <c r="E59" s="109">
        <v>500000</v>
      </c>
      <c r="F59" s="109">
        <v>550000</v>
      </c>
      <c r="G59" s="325">
        <f t="shared" si="2"/>
        <v>1.1</v>
      </c>
      <c r="H59" s="269"/>
    </row>
    <row r="60" spans="1:8" ht="39" customHeight="1">
      <c r="A60" s="110"/>
      <c r="B60" s="32">
        <v>75615</v>
      </c>
      <c r="C60" s="477" t="s">
        <v>476</v>
      </c>
      <c r="D60" s="139">
        <f>SUM(D61:D70)</f>
        <v>104767300</v>
      </c>
      <c r="E60" s="64">
        <f>SUM(E61:E70)</f>
        <v>120967300</v>
      </c>
      <c r="F60" s="64">
        <f>SUM(F61:F70)</f>
        <v>126301212</v>
      </c>
      <c r="G60" s="108">
        <f t="shared" si="2"/>
        <v>1.0440938336228056</v>
      </c>
      <c r="H60" s="249"/>
    </row>
    <row r="61" spans="1:8" ht="18.75" customHeight="1">
      <c r="A61" s="110"/>
      <c r="B61" s="59"/>
      <c r="C61" s="487" t="s">
        <v>908</v>
      </c>
      <c r="D61" s="113">
        <v>80000000</v>
      </c>
      <c r="E61" s="113">
        <v>95500000</v>
      </c>
      <c r="F61" s="113">
        <v>102077253</v>
      </c>
      <c r="G61" s="327">
        <f t="shared" si="2"/>
        <v>1.0688717591623036</v>
      </c>
      <c r="H61" s="253"/>
    </row>
    <row r="62" spans="1:8" ht="18.75" customHeight="1">
      <c r="A62" s="110"/>
      <c r="B62" s="59"/>
      <c r="C62" s="478" t="s">
        <v>909</v>
      </c>
      <c r="D62" s="113">
        <v>755700</v>
      </c>
      <c r="E62" s="113">
        <v>705700</v>
      </c>
      <c r="F62" s="113">
        <v>739653</v>
      </c>
      <c r="G62" s="327">
        <f t="shared" si="2"/>
        <v>1.0481125123990365</v>
      </c>
      <c r="H62" s="254"/>
    </row>
    <row r="63" spans="1:8" ht="18.75" customHeight="1">
      <c r="A63" s="110"/>
      <c r="B63" s="59"/>
      <c r="C63" s="478" t="s">
        <v>910</v>
      </c>
      <c r="D63" s="113">
        <v>21600</v>
      </c>
      <c r="E63" s="113">
        <v>21600</v>
      </c>
      <c r="F63" s="113">
        <v>22430</v>
      </c>
      <c r="G63" s="327">
        <f t="shared" si="2"/>
        <v>1.0384259259259259</v>
      </c>
      <c r="H63" s="254"/>
    </row>
    <row r="64" spans="1:8" ht="18.75" customHeight="1">
      <c r="A64" s="110"/>
      <c r="B64" s="59"/>
      <c r="C64" s="487" t="s">
        <v>911</v>
      </c>
      <c r="D64" s="120">
        <v>5200000</v>
      </c>
      <c r="E64" s="120">
        <v>5200000</v>
      </c>
      <c r="F64" s="120">
        <v>5767784</v>
      </c>
      <c r="G64" s="329">
        <f t="shared" si="2"/>
        <v>1.1091892307692308</v>
      </c>
      <c r="H64" s="253"/>
    </row>
    <row r="65" spans="1:8" ht="18.75" customHeight="1">
      <c r="A65" s="8"/>
      <c r="B65" s="59"/>
      <c r="C65" s="487" t="s">
        <v>914</v>
      </c>
      <c r="D65" s="122">
        <v>3500000</v>
      </c>
      <c r="E65" s="4">
        <v>3500000</v>
      </c>
      <c r="F65" s="4">
        <v>3035342</v>
      </c>
      <c r="G65" s="137">
        <f>F65/E65</f>
        <v>0.8672405714285715</v>
      </c>
      <c r="H65" s="263"/>
    </row>
    <row r="66" spans="1:8" ht="18.75" customHeight="1">
      <c r="A66" s="8"/>
      <c r="B66" s="59"/>
      <c r="C66" s="478" t="s">
        <v>915</v>
      </c>
      <c r="D66" s="410">
        <v>270000</v>
      </c>
      <c r="E66" s="112">
        <v>270000</v>
      </c>
      <c r="F66" s="112">
        <v>320263</v>
      </c>
      <c r="G66" s="119">
        <f>F66/E66</f>
        <v>1.1861592592592594</v>
      </c>
      <c r="H66" s="238"/>
    </row>
    <row r="67" spans="1:12" ht="18.75" customHeight="1">
      <c r="A67" s="8"/>
      <c r="B67" s="59"/>
      <c r="C67" s="478" t="s">
        <v>916</v>
      </c>
      <c r="D67" s="148">
        <v>2000000</v>
      </c>
      <c r="E67" s="146">
        <v>2000000</v>
      </c>
      <c r="F67" s="146">
        <v>1734109</v>
      </c>
      <c r="G67" s="194">
        <f t="shared" si="2"/>
        <v>0.8670545</v>
      </c>
      <c r="H67" s="236"/>
      <c r="K67" s="304"/>
      <c r="L67" s="304"/>
    </row>
    <row r="68" spans="1:8" ht="18.75" customHeight="1">
      <c r="A68" s="8"/>
      <c r="B68" s="59"/>
      <c r="C68" s="487" t="s">
        <v>917</v>
      </c>
      <c r="D68" s="147">
        <v>20000</v>
      </c>
      <c r="E68" s="147">
        <v>20000</v>
      </c>
      <c r="F68" s="147">
        <v>22569</v>
      </c>
      <c r="G68" s="338">
        <f t="shared" si="2"/>
        <v>1.12845</v>
      </c>
      <c r="H68" s="238"/>
    </row>
    <row r="69" spans="1:8" ht="18.75" customHeight="1">
      <c r="A69" s="8"/>
      <c r="B69" s="59"/>
      <c r="C69" s="478" t="s">
        <v>912</v>
      </c>
      <c r="D69" s="148">
        <v>11200000</v>
      </c>
      <c r="E69" s="148">
        <v>11200000</v>
      </c>
      <c r="F69" s="148">
        <v>9323894</v>
      </c>
      <c r="G69" s="339">
        <f t="shared" si="2"/>
        <v>0.8324905357142857</v>
      </c>
      <c r="H69" s="255"/>
    </row>
    <row r="70" spans="1:8" ht="18.75" customHeight="1">
      <c r="A70" s="110"/>
      <c r="B70" s="6"/>
      <c r="C70" s="6" t="s">
        <v>913</v>
      </c>
      <c r="D70" s="150">
        <v>1800000</v>
      </c>
      <c r="E70" s="150">
        <v>2550000</v>
      </c>
      <c r="F70" s="150">
        <v>3257915</v>
      </c>
      <c r="G70" s="340">
        <f t="shared" si="2"/>
        <v>1.277613725490196</v>
      </c>
      <c r="H70" s="236"/>
    </row>
    <row r="71" spans="1:8" ht="25.5" customHeight="1">
      <c r="A71" s="110"/>
      <c r="B71" s="32">
        <v>75618</v>
      </c>
      <c r="C71" s="39" t="s">
        <v>469</v>
      </c>
      <c r="D71" s="408">
        <f>SUM(D72:D77)</f>
        <v>11485000</v>
      </c>
      <c r="E71" s="48">
        <f>SUM(E72:E77)</f>
        <v>11985000</v>
      </c>
      <c r="F71" s="48">
        <f>SUM(F72:F78)</f>
        <v>14430048</v>
      </c>
      <c r="G71" s="184">
        <f t="shared" si="2"/>
        <v>1.20400901126408</v>
      </c>
      <c r="H71" s="247"/>
    </row>
    <row r="72" spans="1:8" ht="19.5" customHeight="1">
      <c r="A72" s="8"/>
      <c r="B72" s="31"/>
      <c r="C72" s="487" t="s">
        <v>918</v>
      </c>
      <c r="D72" s="147">
        <v>6400000</v>
      </c>
      <c r="E72" s="147">
        <v>6400000</v>
      </c>
      <c r="F72" s="147">
        <v>8752079</v>
      </c>
      <c r="G72" s="338">
        <f t="shared" si="2"/>
        <v>1.36751234375</v>
      </c>
      <c r="H72" s="262"/>
    </row>
    <row r="73" spans="1:8" ht="19.5" customHeight="1">
      <c r="A73" s="10"/>
      <c r="B73" s="58"/>
      <c r="C73" s="6" t="s">
        <v>477</v>
      </c>
      <c r="D73" s="150">
        <v>4500000</v>
      </c>
      <c r="E73" s="150">
        <v>5000000</v>
      </c>
      <c r="F73" s="150">
        <v>5221479</v>
      </c>
      <c r="G73" s="340">
        <f t="shared" si="2"/>
        <v>1.0442958</v>
      </c>
      <c r="H73" s="238"/>
    </row>
    <row r="74" spans="1:8" ht="19.5" customHeight="1">
      <c r="A74" s="8"/>
      <c r="B74" s="59"/>
      <c r="C74" s="481" t="s">
        <v>318</v>
      </c>
      <c r="D74" s="147">
        <v>20000</v>
      </c>
      <c r="E74" s="147">
        <v>20000</v>
      </c>
      <c r="F74" s="147">
        <v>33624</v>
      </c>
      <c r="G74" s="338">
        <f t="shared" si="2"/>
        <v>1.6812</v>
      </c>
      <c r="H74" s="238"/>
    </row>
    <row r="75" spans="1:8" ht="19.5" customHeight="1">
      <c r="A75" s="8"/>
      <c r="B75" s="59"/>
      <c r="C75" s="487" t="s">
        <v>919</v>
      </c>
      <c r="D75" s="147">
        <v>560000</v>
      </c>
      <c r="E75" s="147">
        <v>560000</v>
      </c>
      <c r="F75" s="147">
        <v>517200</v>
      </c>
      <c r="G75" s="338">
        <f t="shared" si="2"/>
        <v>0.9235714285714286</v>
      </c>
      <c r="H75" s="238"/>
    </row>
    <row r="76" spans="1:8" ht="25.5" customHeight="1">
      <c r="A76" s="8"/>
      <c r="B76" s="59"/>
      <c r="C76" s="427" t="s">
        <v>478</v>
      </c>
      <c r="D76" s="148">
        <v>3000</v>
      </c>
      <c r="E76" s="147">
        <v>3000</v>
      </c>
      <c r="F76" s="147">
        <v>4198</v>
      </c>
      <c r="G76" s="338">
        <f t="shared" si="2"/>
        <v>1.3993333333333333</v>
      </c>
      <c r="H76" s="238"/>
    </row>
    <row r="77" spans="1:8" ht="19.5" customHeight="1">
      <c r="A77" s="8"/>
      <c r="B77" s="59"/>
      <c r="C77" s="478" t="s">
        <v>920</v>
      </c>
      <c r="D77" s="148">
        <v>2000</v>
      </c>
      <c r="E77" s="146">
        <v>2000</v>
      </c>
      <c r="F77" s="146">
        <v>40030</v>
      </c>
      <c r="G77" s="194">
        <f t="shared" si="2"/>
        <v>20.015</v>
      </c>
      <c r="H77" s="238"/>
    </row>
    <row r="78" spans="1:8" ht="19.5" customHeight="1">
      <c r="A78" s="8"/>
      <c r="B78" s="58"/>
      <c r="C78" s="6" t="s">
        <v>891</v>
      </c>
      <c r="D78" s="150"/>
      <c r="E78" s="149"/>
      <c r="F78" s="149">
        <f>-145197+6859-224</f>
        <v>-138562</v>
      </c>
      <c r="G78" s="340"/>
      <c r="H78" s="238"/>
    </row>
    <row r="79" spans="1:8" ht="19.5" customHeight="1">
      <c r="A79" s="110"/>
      <c r="B79" s="32">
        <v>75619</v>
      </c>
      <c r="C79" s="32" t="s">
        <v>395</v>
      </c>
      <c r="D79" s="408">
        <f>D80</f>
        <v>1000</v>
      </c>
      <c r="E79" s="48">
        <f>E80</f>
        <v>1000</v>
      </c>
      <c r="F79" s="48">
        <f>F80</f>
        <v>513</v>
      </c>
      <c r="G79" s="341">
        <f t="shared" si="2"/>
        <v>0.513</v>
      </c>
      <c r="H79" s="238"/>
    </row>
    <row r="80" spans="1:8" ht="19.5" customHeight="1">
      <c r="A80" s="8"/>
      <c r="B80" s="55"/>
      <c r="C80" s="476" t="s">
        <v>354</v>
      </c>
      <c r="D80" s="153">
        <v>1000</v>
      </c>
      <c r="E80" s="153">
        <v>1000</v>
      </c>
      <c r="F80" s="153">
        <v>513</v>
      </c>
      <c r="G80" s="342">
        <f t="shared" si="2"/>
        <v>0.513</v>
      </c>
      <c r="H80" s="261"/>
    </row>
    <row r="81" spans="1:8" ht="19.5" customHeight="1">
      <c r="A81" s="110"/>
      <c r="B81" s="32">
        <v>75621</v>
      </c>
      <c r="C81" s="39" t="s">
        <v>355</v>
      </c>
      <c r="D81" s="403">
        <f>D82+D83</f>
        <v>150946475</v>
      </c>
      <c r="E81" s="138">
        <f>E82+E83</f>
        <v>150946475</v>
      </c>
      <c r="F81" s="138">
        <f>SUM(F82:F83)</f>
        <v>147578814</v>
      </c>
      <c r="G81" s="343">
        <f t="shared" si="2"/>
        <v>0.9776897009353812</v>
      </c>
      <c r="H81" s="249"/>
    </row>
    <row r="82" spans="1:8" ht="19.5" customHeight="1">
      <c r="A82" s="8"/>
      <c r="B82" s="59"/>
      <c r="C82" s="416" t="s">
        <v>921</v>
      </c>
      <c r="D82" s="130">
        <v>139446475</v>
      </c>
      <c r="E82" s="130">
        <v>139446475</v>
      </c>
      <c r="F82" s="130">
        <v>136181318</v>
      </c>
      <c r="G82" s="333">
        <f aca="true" t="shared" si="3" ref="G82:G147">F82/E82</f>
        <v>0.9765848724394073</v>
      </c>
      <c r="H82" s="264"/>
    </row>
    <row r="83" spans="1:8" ht="19.5" customHeight="1">
      <c r="A83" s="10"/>
      <c r="B83" s="58"/>
      <c r="C83" s="669" t="s">
        <v>922</v>
      </c>
      <c r="D83" s="154">
        <v>11500000</v>
      </c>
      <c r="E83" s="154">
        <v>11500000</v>
      </c>
      <c r="F83" s="154">
        <v>11397496</v>
      </c>
      <c r="G83" s="328">
        <f t="shared" si="3"/>
        <v>0.9910866086956521</v>
      </c>
      <c r="H83" s="265"/>
    </row>
    <row r="84" spans="1:8" ht="19.5" customHeight="1">
      <c r="A84" s="123">
        <v>758</v>
      </c>
      <c r="B84" s="96"/>
      <c r="C84" s="96" t="s">
        <v>358</v>
      </c>
      <c r="D84" s="447">
        <f>D85</f>
        <v>300000</v>
      </c>
      <c r="E84" s="155">
        <f>E85</f>
        <v>2900000</v>
      </c>
      <c r="F84" s="155">
        <f>F85+F90</f>
        <v>2910467</v>
      </c>
      <c r="G84" s="344">
        <f t="shared" si="3"/>
        <v>1.0036093103448276</v>
      </c>
      <c r="H84" s="266"/>
    </row>
    <row r="85" spans="1:8" ht="19.5" customHeight="1">
      <c r="A85" s="110"/>
      <c r="B85" s="141">
        <v>75814</v>
      </c>
      <c r="C85" s="141" t="s">
        <v>379</v>
      </c>
      <c r="D85" s="448">
        <f>SUM(D86:D89)</f>
        <v>300000</v>
      </c>
      <c r="E85" s="157">
        <f>SUM(E86:E89)</f>
        <v>2900000</v>
      </c>
      <c r="F85" s="157">
        <f>SUM(F86:F89)</f>
        <v>2917329</v>
      </c>
      <c r="G85" s="142">
        <f t="shared" si="3"/>
        <v>1.0059755172413793</v>
      </c>
      <c r="H85" s="260"/>
    </row>
    <row r="86" spans="1:8" ht="19.5" customHeight="1">
      <c r="A86" s="8"/>
      <c r="B86" s="31"/>
      <c r="C86" s="416" t="s">
        <v>438</v>
      </c>
      <c r="D86" s="130">
        <v>300000</v>
      </c>
      <c r="E86" s="130">
        <v>1100000</v>
      </c>
      <c r="F86" s="130">
        <v>1241087</v>
      </c>
      <c r="G86" s="333">
        <f t="shared" si="3"/>
        <v>1.128260909090909</v>
      </c>
      <c r="H86" s="261"/>
    </row>
    <row r="87" spans="1:8" ht="25.5" customHeight="1">
      <c r="A87" s="8"/>
      <c r="B87" s="59"/>
      <c r="C87" s="481" t="s">
        <v>479</v>
      </c>
      <c r="D87" s="120"/>
      <c r="E87" s="120">
        <v>1800000</v>
      </c>
      <c r="F87" s="120">
        <v>1800000</v>
      </c>
      <c r="G87" s="329">
        <f>F87/E87</f>
        <v>1</v>
      </c>
      <c r="H87" s="261"/>
    </row>
    <row r="88" spans="1:8" ht="25.5" customHeight="1">
      <c r="A88" s="8"/>
      <c r="B88" s="59"/>
      <c r="C88" s="427" t="s">
        <v>931</v>
      </c>
      <c r="D88" s="113"/>
      <c r="E88" s="113"/>
      <c r="F88" s="113">
        <v>-161784</v>
      </c>
      <c r="G88" s="327"/>
      <c r="H88" s="261"/>
    </row>
    <row r="89" spans="1:8" ht="19.5" customHeight="1">
      <c r="A89" s="8"/>
      <c r="B89" s="59"/>
      <c r="C89" s="489" t="s">
        <v>891</v>
      </c>
      <c r="D89" s="132"/>
      <c r="E89" s="132"/>
      <c r="F89" s="132">
        <f>829+37182+15</f>
        <v>38026</v>
      </c>
      <c r="G89" s="334"/>
      <c r="H89" s="261"/>
    </row>
    <row r="90" spans="1:9" s="80" customFormat="1" ht="19.5" customHeight="1">
      <c r="A90" s="110"/>
      <c r="B90" s="394">
        <v>75815</v>
      </c>
      <c r="C90" s="40" t="s">
        <v>470</v>
      </c>
      <c r="D90" s="129"/>
      <c r="E90" s="129"/>
      <c r="F90" s="129">
        <f>F91</f>
        <v>-6862</v>
      </c>
      <c r="G90" s="350"/>
      <c r="H90" s="395"/>
      <c r="I90" s="303"/>
    </row>
    <row r="91" spans="1:8" ht="19.5" customHeight="1">
      <c r="A91" s="8"/>
      <c r="B91" s="59"/>
      <c r="C91" s="489" t="s">
        <v>471</v>
      </c>
      <c r="D91" s="132"/>
      <c r="E91" s="132"/>
      <c r="F91" s="132">
        <v>-6862</v>
      </c>
      <c r="G91" s="334"/>
      <c r="H91" s="261"/>
    </row>
    <row r="92" spans="1:8" ht="19.5" customHeight="1">
      <c r="A92" s="133">
        <v>801</v>
      </c>
      <c r="B92" s="134"/>
      <c r="C92" s="124" t="s">
        <v>347</v>
      </c>
      <c r="D92" s="445">
        <f>D93+D98+D104+D107</f>
        <v>6317100</v>
      </c>
      <c r="E92" s="135">
        <f>E93+E98+E104+E107</f>
        <v>6244826</v>
      </c>
      <c r="F92" s="135">
        <f>F93+F98+F104+F107</f>
        <v>6504090</v>
      </c>
      <c r="G92" s="140">
        <f t="shared" si="3"/>
        <v>1.0415166091096855</v>
      </c>
      <c r="H92" s="259"/>
    </row>
    <row r="93" spans="1:8" ht="19.5" customHeight="1">
      <c r="A93" s="110"/>
      <c r="B93" s="32">
        <v>80101</v>
      </c>
      <c r="C93" s="477" t="s">
        <v>348</v>
      </c>
      <c r="D93" s="139">
        <f>D94+D95+D96</f>
        <v>64000</v>
      </c>
      <c r="E93" s="64">
        <f>E94+E95+E96</f>
        <v>19366</v>
      </c>
      <c r="F93" s="64">
        <f>SUM(F94:F96)</f>
        <v>42996</v>
      </c>
      <c r="G93" s="108">
        <f t="shared" si="3"/>
        <v>2.2201796963750904</v>
      </c>
      <c r="H93" s="249"/>
    </row>
    <row r="94" spans="1:8" ht="19.5" customHeight="1">
      <c r="A94" s="110"/>
      <c r="B94" s="30"/>
      <c r="C94" s="480" t="s">
        <v>438</v>
      </c>
      <c r="D94" s="120">
        <v>50000</v>
      </c>
      <c r="E94" s="120">
        <v>5366</v>
      </c>
      <c r="F94" s="120">
        <v>5275</v>
      </c>
      <c r="G94" s="329">
        <f t="shared" si="3"/>
        <v>0.9830413715989564</v>
      </c>
      <c r="H94" s="258"/>
    </row>
    <row r="95" spans="1:8" ht="39" customHeight="1">
      <c r="A95" s="110"/>
      <c r="B95" s="30"/>
      <c r="C95" s="427" t="s">
        <v>865</v>
      </c>
      <c r="D95" s="113">
        <v>14000</v>
      </c>
      <c r="E95" s="113">
        <v>14000</v>
      </c>
      <c r="F95" s="113">
        <v>12936</v>
      </c>
      <c r="G95" s="327">
        <f t="shared" si="3"/>
        <v>0.924</v>
      </c>
      <c r="H95" s="258"/>
    </row>
    <row r="96" spans="1:8" ht="19.5" customHeight="1">
      <c r="A96" s="8"/>
      <c r="B96" s="59"/>
      <c r="C96" s="483" t="s">
        <v>891</v>
      </c>
      <c r="D96" s="132"/>
      <c r="E96" s="132"/>
      <c r="F96" s="132">
        <f>105+24680</f>
        <v>24785</v>
      </c>
      <c r="G96" s="334"/>
      <c r="H96" s="262"/>
    </row>
    <row r="97" spans="1:8" ht="19.5" customHeight="1">
      <c r="A97" s="649"/>
      <c r="B97" s="650"/>
      <c r="C97" s="651"/>
      <c r="D97" s="652"/>
      <c r="E97" s="652"/>
      <c r="F97" s="652"/>
      <c r="G97" s="653"/>
      <c r="H97" s="556"/>
    </row>
    <row r="98" spans="1:8" ht="19.5" customHeight="1">
      <c r="A98" s="110"/>
      <c r="B98" s="32">
        <v>80104</v>
      </c>
      <c r="C98" s="477" t="s">
        <v>311</v>
      </c>
      <c r="D98" s="139">
        <f>SUM(D99:D102)</f>
        <v>6216000</v>
      </c>
      <c r="E98" s="64">
        <f>SUM(E99:E102)</f>
        <v>6213782</v>
      </c>
      <c r="F98" s="64">
        <f>SUM(F99:F103)</f>
        <v>6422575</v>
      </c>
      <c r="G98" s="108">
        <f t="shared" si="3"/>
        <v>1.0336015972237198</v>
      </c>
      <c r="H98" s="249"/>
    </row>
    <row r="99" spans="1:8" ht="19.5" customHeight="1">
      <c r="A99" s="8"/>
      <c r="B99" s="31"/>
      <c r="C99" s="435" t="s">
        <v>480</v>
      </c>
      <c r="D99" s="130">
        <v>6190000</v>
      </c>
      <c r="E99" s="74">
        <v>6190000</v>
      </c>
      <c r="F99" s="74">
        <f>6349320+76</f>
        <v>6349396</v>
      </c>
      <c r="G99" s="34">
        <f t="shared" si="3"/>
        <v>1.0257505654281098</v>
      </c>
      <c r="H99" s="264"/>
    </row>
    <row r="100" spans="1:8" ht="19.5" customHeight="1">
      <c r="A100" s="8"/>
      <c r="B100" s="59"/>
      <c r="C100" s="479" t="s">
        <v>438</v>
      </c>
      <c r="D100" s="113">
        <v>3000</v>
      </c>
      <c r="E100" s="114">
        <v>782</v>
      </c>
      <c r="F100" s="114">
        <v>781</v>
      </c>
      <c r="G100" s="115">
        <f t="shared" si="3"/>
        <v>0.9987212276214834</v>
      </c>
      <c r="H100" s="65"/>
    </row>
    <row r="101" spans="1:8" ht="19.5" customHeight="1">
      <c r="A101" s="8"/>
      <c r="B101" s="59"/>
      <c r="C101" s="479" t="s">
        <v>380</v>
      </c>
      <c r="D101" s="113">
        <v>17000</v>
      </c>
      <c r="E101" s="114">
        <v>17000</v>
      </c>
      <c r="F101" s="114">
        <v>20613</v>
      </c>
      <c r="G101" s="115">
        <f>F101/E101</f>
        <v>1.2125294117647059</v>
      </c>
      <c r="H101" s="65"/>
    </row>
    <row r="102" spans="1:8" ht="38.25" customHeight="1">
      <c r="A102" s="8"/>
      <c r="B102" s="11"/>
      <c r="C102" s="427" t="s">
        <v>865</v>
      </c>
      <c r="D102" s="113">
        <v>6000</v>
      </c>
      <c r="E102" s="114">
        <v>6000</v>
      </c>
      <c r="F102" s="114">
        <v>6918</v>
      </c>
      <c r="G102" s="115">
        <f t="shared" si="3"/>
        <v>1.153</v>
      </c>
      <c r="H102" s="65"/>
    </row>
    <row r="103" spans="1:8" ht="19.5" customHeight="1">
      <c r="A103" s="8"/>
      <c r="B103" s="6"/>
      <c r="C103" s="486" t="s">
        <v>891</v>
      </c>
      <c r="D103" s="109"/>
      <c r="E103" s="29"/>
      <c r="F103" s="29">
        <v>44867</v>
      </c>
      <c r="G103" s="325"/>
      <c r="H103" s="65"/>
    </row>
    <row r="104" spans="1:8" ht="19.5" customHeight="1">
      <c r="A104" s="110"/>
      <c r="B104" s="32">
        <v>80105</v>
      </c>
      <c r="C104" s="477" t="s">
        <v>398</v>
      </c>
      <c r="D104" s="139">
        <f>SUM(D105:D106)</f>
        <v>1100</v>
      </c>
      <c r="E104" s="64">
        <f>SUM(E105:E106)</f>
        <v>494</v>
      </c>
      <c r="F104" s="64">
        <f>SUM(F105:F106)</f>
        <v>421</v>
      </c>
      <c r="G104" s="332">
        <f>F104/E104</f>
        <v>0.8522267206477733</v>
      </c>
      <c r="H104" s="249"/>
    </row>
    <row r="105" spans="1:8" ht="19.5" customHeight="1">
      <c r="A105" s="110"/>
      <c r="B105" s="33"/>
      <c r="C105" s="435" t="s">
        <v>923</v>
      </c>
      <c r="D105" s="130">
        <v>650</v>
      </c>
      <c r="E105" s="74">
        <v>44</v>
      </c>
      <c r="F105" s="74">
        <v>44</v>
      </c>
      <c r="G105" s="34">
        <f>F105/E105</f>
        <v>1</v>
      </c>
      <c r="H105" s="258"/>
    </row>
    <row r="106" spans="1:8" ht="38.25" customHeight="1">
      <c r="A106" s="8"/>
      <c r="B106" s="58"/>
      <c r="C106" s="485" t="s">
        <v>865</v>
      </c>
      <c r="D106" s="415">
        <v>450</v>
      </c>
      <c r="E106" s="75">
        <v>450</v>
      </c>
      <c r="F106" s="75">
        <v>377</v>
      </c>
      <c r="G106" s="407">
        <f>F106/E106</f>
        <v>0.8377777777777777</v>
      </c>
      <c r="H106" s="253"/>
    </row>
    <row r="107" spans="1:8" ht="19.5" customHeight="1">
      <c r="A107" s="110"/>
      <c r="B107" s="32">
        <v>80110</v>
      </c>
      <c r="C107" s="477" t="s">
        <v>349</v>
      </c>
      <c r="D107" s="139">
        <f>SUM(D108:D109)</f>
        <v>36000</v>
      </c>
      <c r="E107" s="64">
        <f>SUM(E108:E109)</f>
        <v>11184</v>
      </c>
      <c r="F107" s="64">
        <f>SUM(F108:F110)</f>
        <v>38098</v>
      </c>
      <c r="G107" s="332">
        <f t="shared" si="3"/>
        <v>3.4064735336194563</v>
      </c>
      <c r="H107" s="249"/>
    </row>
    <row r="108" spans="1:8" ht="19.5" customHeight="1">
      <c r="A108" s="110"/>
      <c r="B108" s="30"/>
      <c r="C108" s="480" t="s">
        <v>923</v>
      </c>
      <c r="D108" s="120">
        <v>27000</v>
      </c>
      <c r="E108" s="68">
        <v>2184</v>
      </c>
      <c r="F108" s="68">
        <v>2299</v>
      </c>
      <c r="G108" s="121">
        <f t="shared" si="3"/>
        <v>1.0526556776556777</v>
      </c>
      <c r="H108" s="258"/>
    </row>
    <row r="109" spans="1:8" ht="38.25" customHeight="1">
      <c r="A109" s="8"/>
      <c r="B109" s="59"/>
      <c r="C109" s="427" t="s">
        <v>865</v>
      </c>
      <c r="D109" s="113">
        <v>9000</v>
      </c>
      <c r="E109" s="114">
        <v>9000</v>
      </c>
      <c r="F109" s="114">
        <v>7658</v>
      </c>
      <c r="G109" s="115">
        <f t="shared" si="3"/>
        <v>0.8508888888888889</v>
      </c>
      <c r="H109" s="253"/>
    </row>
    <row r="110" spans="1:8" ht="19.5" customHeight="1">
      <c r="A110" s="10"/>
      <c r="B110" s="58"/>
      <c r="C110" s="486" t="s">
        <v>891</v>
      </c>
      <c r="D110" s="109"/>
      <c r="E110" s="29"/>
      <c r="F110" s="29">
        <f>10299+17842</f>
        <v>28141</v>
      </c>
      <c r="G110" s="144"/>
      <c r="H110" s="257"/>
    </row>
    <row r="111" spans="1:8" ht="19.5" customHeight="1">
      <c r="A111" s="123">
        <v>852</v>
      </c>
      <c r="B111" s="96" t="s">
        <v>377</v>
      </c>
      <c r="C111" s="419" t="s">
        <v>463</v>
      </c>
      <c r="D111" s="444">
        <f>D112+D120+D123+D125+D129+D133</f>
        <v>1479600</v>
      </c>
      <c r="E111" s="97">
        <f>E112+E120+E123+E125+E129+E133</f>
        <v>1481754</v>
      </c>
      <c r="F111" s="97">
        <f>F112+F120+F123+F125+F129+F133</f>
        <v>1562316</v>
      </c>
      <c r="G111" s="98">
        <f t="shared" si="3"/>
        <v>1.054369348758296</v>
      </c>
      <c r="H111" s="246"/>
    </row>
    <row r="112" spans="1:8" ht="19.5" customHeight="1">
      <c r="A112" s="8"/>
      <c r="B112" s="158">
        <v>85203</v>
      </c>
      <c r="C112" s="490" t="s">
        <v>433</v>
      </c>
      <c r="D112" s="159">
        <f>SUM(D113:D118)</f>
        <v>59400</v>
      </c>
      <c r="E112" s="49">
        <f>SUM(E113:E118)</f>
        <v>65609</v>
      </c>
      <c r="F112" s="49">
        <f>SUM(F113:F118)</f>
        <v>68617</v>
      </c>
      <c r="G112" s="345">
        <f t="shared" si="3"/>
        <v>1.0458473685012728</v>
      </c>
      <c r="H112" s="267"/>
    </row>
    <row r="113" spans="1:8" ht="19.5" customHeight="1">
      <c r="A113" s="8"/>
      <c r="B113" s="56"/>
      <c r="C113" s="491" t="s">
        <v>439</v>
      </c>
      <c r="D113" s="450">
        <v>55000</v>
      </c>
      <c r="E113" s="160">
        <v>55000</v>
      </c>
      <c r="F113" s="160">
        <v>56676</v>
      </c>
      <c r="G113" s="347">
        <f t="shared" si="3"/>
        <v>1.0304727272727272</v>
      </c>
      <c r="H113" s="267"/>
    </row>
    <row r="114" spans="1:8" ht="19.5" customHeight="1">
      <c r="A114" s="8"/>
      <c r="B114" s="56"/>
      <c r="C114" s="492" t="s">
        <v>438</v>
      </c>
      <c r="D114" s="117">
        <v>3000</v>
      </c>
      <c r="E114" s="161">
        <v>343</v>
      </c>
      <c r="F114" s="161">
        <v>1752</v>
      </c>
      <c r="G114" s="348">
        <f t="shared" si="3"/>
        <v>5.107871720116618</v>
      </c>
      <c r="H114" s="268"/>
    </row>
    <row r="115" spans="1:8" ht="38.25">
      <c r="A115" s="8"/>
      <c r="B115" s="56"/>
      <c r="C115" s="427" t="s">
        <v>865</v>
      </c>
      <c r="D115" s="450">
        <v>400</v>
      </c>
      <c r="E115" s="160">
        <v>400</v>
      </c>
      <c r="F115" s="160">
        <v>402</v>
      </c>
      <c r="G115" s="347">
        <f t="shared" si="3"/>
        <v>1.005</v>
      </c>
      <c r="H115" s="267"/>
    </row>
    <row r="116" spans="1:8" ht="25.5" customHeight="1">
      <c r="A116" s="8"/>
      <c r="B116" s="56"/>
      <c r="C116" s="427" t="s">
        <v>481</v>
      </c>
      <c r="D116" s="117"/>
      <c r="E116" s="161">
        <v>8866</v>
      </c>
      <c r="F116" s="161">
        <v>8867</v>
      </c>
      <c r="G116" s="348">
        <f t="shared" si="3"/>
        <v>1.000112790435371</v>
      </c>
      <c r="H116" s="267"/>
    </row>
    <row r="117" spans="1:8" ht="25.5" customHeight="1">
      <c r="A117" s="8"/>
      <c r="B117" s="56"/>
      <c r="C117" s="427" t="s">
        <v>482</v>
      </c>
      <c r="D117" s="117">
        <v>1000</v>
      </c>
      <c r="E117" s="161">
        <v>1000</v>
      </c>
      <c r="F117" s="161">
        <v>693</v>
      </c>
      <c r="G117" s="348">
        <f t="shared" si="3"/>
        <v>0.693</v>
      </c>
      <c r="H117" s="267"/>
    </row>
    <row r="118" spans="1:8" ht="19.5" customHeight="1">
      <c r="A118" s="8"/>
      <c r="B118" s="621"/>
      <c r="C118" s="11" t="s">
        <v>891</v>
      </c>
      <c r="D118" s="671"/>
      <c r="E118" s="622"/>
      <c r="F118" s="622">
        <f>195+32</f>
        <v>227</v>
      </c>
      <c r="G118" s="623"/>
      <c r="H118" s="267"/>
    </row>
    <row r="119" spans="1:8" ht="19.5" customHeight="1">
      <c r="A119" s="649"/>
      <c r="B119" s="672"/>
      <c r="C119" s="658"/>
      <c r="D119" s="673"/>
      <c r="E119" s="673"/>
      <c r="F119" s="673"/>
      <c r="G119" s="674"/>
      <c r="H119" s="670"/>
    </row>
    <row r="120" spans="1:8" ht="19.5" customHeight="1">
      <c r="A120" s="110"/>
      <c r="B120" s="32">
        <v>85214</v>
      </c>
      <c r="C120" s="39" t="s">
        <v>925</v>
      </c>
      <c r="D120" s="100">
        <f>D121</f>
        <v>7000</v>
      </c>
      <c r="E120" s="7">
        <f>E121</f>
        <v>7000</v>
      </c>
      <c r="F120" s="7">
        <f>SUM(F121:F122)</f>
        <v>4318</v>
      </c>
      <c r="G120" s="102">
        <f t="shared" si="3"/>
        <v>0.6168571428571429</v>
      </c>
      <c r="H120" s="247"/>
    </row>
    <row r="121" spans="1:8" ht="19.5" customHeight="1">
      <c r="A121" s="8"/>
      <c r="B121" s="9"/>
      <c r="C121" s="416" t="s">
        <v>961</v>
      </c>
      <c r="D121" s="111">
        <v>7000</v>
      </c>
      <c r="E121" s="3">
        <v>7000</v>
      </c>
      <c r="F121" s="3">
        <v>1966</v>
      </c>
      <c r="G121" s="131">
        <f t="shared" si="3"/>
        <v>0.28085714285714286</v>
      </c>
      <c r="H121" s="238"/>
    </row>
    <row r="122" spans="1:8" ht="25.5" customHeight="1">
      <c r="A122" s="8"/>
      <c r="B122" s="6"/>
      <c r="C122" s="486" t="s">
        <v>313</v>
      </c>
      <c r="D122" s="50"/>
      <c r="E122" s="12"/>
      <c r="F122" s="12">
        <v>2352</v>
      </c>
      <c r="G122" s="67"/>
      <c r="H122" s="238"/>
    </row>
    <row r="123" spans="1:8" ht="19.5" customHeight="1">
      <c r="A123" s="110"/>
      <c r="B123" s="32">
        <v>85215</v>
      </c>
      <c r="C123" s="477" t="s">
        <v>378</v>
      </c>
      <c r="D123" s="139">
        <f>D124</f>
        <v>2000</v>
      </c>
      <c r="E123" s="64">
        <f>E124</f>
        <v>2000</v>
      </c>
      <c r="F123" s="64">
        <f>F124</f>
        <v>404</v>
      </c>
      <c r="G123" s="108">
        <f t="shared" si="3"/>
        <v>0.202</v>
      </c>
      <c r="H123" s="249"/>
    </row>
    <row r="124" spans="1:8" ht="19.5" customHeight="1">
      <c r="A124" s="8"/>
      <c r="B124" s="38"/>
      <c r="C124" s="493" t="s">
        <v>926</v>
      </c>
      <c r="D124" s="51">
        <v>2000</v>
      </c>
      <c r="E124" s="51">
        <v>2000</v>
      </c>
      <c r="F124" s="51">
        <f>91+313</f>
        <v>404</v>
      </c>
      <c r="G124" s="349">
        <f t="shared" si="3"/>
        <v>0.202</v>
      </c>
      <c r="H124" s="270"/>
    </row>
    <row r="125" spans="1:8" ht="19.5" customHeight="1">
      <c r="A125" s="110"/>
      <c r="B125" s="32">
        <v>85219</v>
      </c>
      <c r="C125" s="39" t="s">
        <v>416</v>
      </c>
      <c r="D125" s="139">
        <f>SUM(D126:D128)</f>
        <v>6200</v>
      </c>
      <c r="E125" s="64">
        <f>SUM(E126:E128)</f>
        <v>2145</v>
      </c>
      <c r="F125" s="64">
        <f>SUM(F126:F128)</f>
        <v>3760</v>
      </c>
      <c r="G125" s="332">
        <f t="shared" si="3"/>
        <v>1.7529137529137528</v>
      </c>
      <c r="H125" s="249"/>
    </row>
    <row r="126" spans="1:8" ht="19.5" customHeight="1">
      <c r="A126" s="110"/>
      <c r="B126" s="33"/>
      <c r="C126" s="416" t="s">
        <v>438</v>
      </c>
      <c r="D126" s="130">
        <v>4500</v>
      </c>
      <c r="E126" s="74">
        <v>445</v>
      </c>
      <c r="F126" s="74">
        <v>445</v>
      </c>
      <c r="G126" s="34">
        <f t="shared" si="3"/>
        <v>1</v>
      </c>
      <c r="H126" s="258"/>
    </row>
    <row r="127" spans="1:8" ht="37.5" customHeight="1">
      <c r="A127" s="8"/>
      <c r="B127" s="59"/>
      <c r="C127" s="427" t="s">
        <v>865</v>
      </c>
      <c r="D127" s="113">
        <v>1700</v>
      </c>
      <c r="E127" s="114">
        <v>1700</v>
      </c>
      <c r="F127" s="114">
        <v>1554</v>
      </c>
      <c r="G127" s="115">
        <f t="shared" si="3"/>
        <v>0.9141176470588235</v>
      </c>
      <c r="H127" s="271"/>
    </row>
    <row r="128" spans="1:8" ht="19.5" customHeight="1">
      <c r="A128" s="8"/>
      <c r="B128" s="58"/>
      <c r="C128" s="486" t="s">
        <v>891</v>
      </c>
      <c r="D128" s="109"/>
      <c r="E128" s="29"/>
      <c r="F128" s="29">
        <v>1761</v>
      </c>
      <c r="G128" s="325"/>
      <c r="H128" s="555"/>
    </row>
    <row r="129" spans="1:8" ht="19.5" customHeight="1">
      <c r="A129" s="110"/>
      <c r="B129" s="32">
        <v>85228</v>
      </c>
      <c r="C129" s="39" t="s">
        <v>388</v>
      </c>
      <c r="D129" s="100">
        <f>SUM(D130:D131)</f>
        <v>1405000</v>
      </c>
      <c r="E129" s="7">
        <f>SUM(E130:E131)</f>
        <v>1405000</v>
      </c>
      <c r="F129" s="7">
        <f>SUM(F130:F132)</f>
        <v>1473128</v>
      </c>
      <c r="G129" s="323">
        <f t="shared" si="3"/>
        <v>1.0484896797153025</v>
      </c>
      <c r="H129" s="260"/>
    </row>
    <row r="130" spans="1:8" ht="19.5" customHeight="1">
      <c r="A130" s="8"/>
      <c r="B130" s="31"/>
      <c r="C130" s="488" t="s">
        <v>353</v>
      </c>
      <c r="D130" s="111">
        <v>1400000</v>
      </c>
      <c r="E130" s="111">
        <v>1400000</v>
      </c>
      <c r="F130" s="3">
        <v>1469408</v>
      </c>
      <c r="G130" s="326">
        <f t="shared" si="3"/>
        <v>1.0495771428571428</v>
      </c>
      <c r="H130" s="261"/>
    </row>
    <row r="131" spans="1:8" ht="19.5" customHeight="1">
      <c r="A131" s="8"/>
      <c r="B131" s="59"/>
      <c r="C131" s="478" t="s">
        <v>319</v>
      </c>
      <c r="D131" s="112">
        <v>5000</v>
      </c>
      <c r="E131" s="112">
        <v>5000</v>
      </c>
      <c r="F131" s="112">
        <v>3406</v>
      </c>
      <c r="G131" s="119">
        <f>F131/E131</f>
        <v>0.6812</v>
      </c>
      <c r="H131" s="556"/>
    </row>
    <row r="132" spans="1:8" ht="19.5" customHeight="1">
      <c r="A132" s="8"/>
      <c r="B132" s="58"/>
      <c r="C132" s="6" t="s">
        <v>891</v>
      </c>
      <c r="D132" s="50"/>
      <c r="E132" s="12"/>
      <c r="F132" s="12">
        <v>314</v>
      </c>
      <c r="G132" s="337"/>
      <c r="H132" s="556"/>
    </row>
    <row r="133" spans="1:8" ht="19.5" customHeight="1">
      <c r="A133" s="110"/>
      <c r="B133" s="32">
        <v>85295</v>
      </c>
      <c r="C133" s="39" t="s">
        <v>966</v>
      </c>
      <c r="D133" s="139"/>
      <c r="E133" s="64"/>
      <c r="F133" s="64">
        <f>SUM(F134:F135)</f>
        <v>12089</v>
      </c>
      <c r="G133" s="332"/>
      <c r="H133" s="249"/>
    </row>
    <row r="134" spans="1:8" ht="19.5" customHeight="1">
      <c r="A134" s="8"/>
      <c r="B134" s="59"/>
      <c r="C134" s="416" t="s">
        <v>312</v>
      </c>
      <c r="D134" s="111"/>
      <c r="E134" s="111"/>
      <c r="F134" s="111">
        <v>5766</v>
      </c>
      <c r="G134" s="326"/>
      <c r="H134" s="236"/>
    </row>
    <row r="135" spans="1:8" ht="19.5" customHeight="1">
      <c r="A135" s="10"/>
      <c r="B135" s="58"/>
      <c r="C135" s="486" t="s">
        <v>891</v>
      </c>
      <c r="D135" s="50"/>
      <c r="E135" s="50"/>
      <c r="F135" s="50">
        <v>6323</v>
      </c>
      <c r="G135" s="337"/>
      <c r="H135" s="236"/>
    </row>
    <row r="136" spans="1:8" ht="19.5" customHeight="1">
      <c r="A136" s="123">
        <v>853</v>
      </c>
      <c r="B136" s="96"/>
      <c r="C136" s="419" t="s">
        <v>464</v>
      </c>
      <c r="D136" s="444">
        <f>D137</f>
        <v>444700</v>
      </c>
      <c r="E136" s="97">
        <f>E137</f>
        <v>440880</v>
      </c>
      <c r="F136" s="97">
        <f>F137</f>
        <v>433405</v>
      </c>
      <c r="G136" s="98">
        <f>F136/E136</f>
        <v>0.9830452730901833</v>
      </c>
      <c r="H136" s="246"/>
    </row>
    <row r="137" spans="1:8" ht="19.5" customHeight="1">
      <c r="A137" s="110"/>
      <c r="B137" s="32">
        <v>85305</v>
      </c>
      <c r="C137" s="477" t="s">
        <v>351</v>
      </c>
      <c r="D137" s="139">
        <f>D138+D139+D140+D141</f>
        <v>444700</v>
      </c>
      <c r="E137" s="64">
        <f>E138+E139+E140+E141</f>
        <v>440880</v>
      </c>
      <c r="F137" s="64">
        <f>SUM(F138:F141)</f>
        <v>433405</v>
      </c>
      <c r="G137" s="108">
        <f>F137/E137</f>
        <v>0.9830452730901833</v>
      </c>
      <c r="H137" s="249"/>
    </row>
    <row r="138" spans="1:8" ht="19.5" customHeight="1">
      <c r="A138" s="8"/>
      <c r="B138" s="59"/>
      <c r="C138" s="435" t="s">
        <v>924</v>
      </c>
      <c r="D138" s="130">
        <v>440000</v>
      </c>
      <c r="E138" s="130">
        <v>440000</v>
      </c>
      <c r="F138" s="130">
        <v>430819</v>
      </c>
      <c r="G138" s="333">
        <f>F138/E138</f>
        <v>0.9791340909090909</v>
      </c>
      <c r="H138" s="254"/>
    </row>
    <row r="139" spans="1:8" ht="19.5" customHeight="1">
      <c r="A139" s="8"/>
      <c r="B139" s="59"/>
      <c r="C139" s="479" t="s">
        <v>438</v>
      </c>
      <c r="D139" s="113">
        <v>4000</v>
      </c>
      <c r="E139" s="113">
        <v>180</v>
      </c>
      <c r="F139" s="113">
        <v>180</v>
      </c>
      <c r="G139" s="327">
        <f>F139/E139</f>
        <v>1</v>
      </c>
      <c r="H139" s="254"/>
    </row>
    <row r="140" spans="1:8" ht="38.25" customHeight="1">
      <c r="A140" s="8"/>
      <c r="B140" s="59"/>
      <c r="C140" s="481" t="s">
        <v>865</v>
      </c>
      <c r="D140" s="120">
        <v>700</v>
      </c>
      <c r="E140" s="68">
        <v>700</v>
      </c>
      <c r="F140" s="68">
        <v>546</v>
      </c>
      <c r="G140" s="121">
        <f>F140/E140</f>
        <v>0.78</v>
      </c>
      <c r="H140" s="269"/>
    </row>
    <row r="141" spans="1:8" ht="19.5" customHeight="1">
      <c r="A141" s="10"/>
      <c r="B141" s="58"/>
      <c r="C141" s="6" t="s">
        <v>891</v>
      </c>
      <c r="D141" s="109"/>
      <c r="E141" s="29"/>
      <c r="F141" s="29">
        <f>60+1800</f>
        <v>1860</v>
      </c>
      <c r="G141" s="144"/>
      <c r="H141" s="65"/>
    </row>
    <row r="142" spans="1:8" ht="19.5" customHeight="1">
      <c r="A142" s="649"/>
      <c r="B142" s="650"/>
      <c r="C142" s="658"/>
      <c r="D142" s="652"/>
      <c r="E142" s="652"/>
      <c r="F142" s="652"/>
      <c r="G142" s="653"/>
      <c r="H142" s="675"/>
    </row>
    <row r="143" spans="2:8" ht="19.5" customHeight="1">
      <c r="B143" s="381"/>
      <c r="D143" s="377"/>
      <c r="E143" s="377"/>
      <c r="F143" s="377"/>
      <c r="G143" s="378"/>
      <c r="H143" s="675"/>
    </row>
    <row r="144" spans="1:8" ht="19.5" customHeight="1">
      <c r="A144" s="123">
        <v>854</v>
      </c>
      <c r="B144" s="96"/>
      <c r="C144" s="419" t="s">
        <v>396</v>
      </c>
      <c r="D144" s="444">
        <f>D145+D148</f>
        <v>6740</v>
      </c>
      <c r="E144" s="97">
        <f>E145+E148</f>
        <v>1866</v>
      </c>
      <c r="F144" s="97">
        <f>F145+F148</f>
        <v>1633</v>
      </c>
      <c r="G144" s="98">
        <f t="shared" si="3"/>
        <v>0.87513397642015</v>
      </c>
      <c r="H144" s="246"/>
    </row>
    <row r="145" spans="1:8" ht="19.5" customHeight="1">
      <c r="A145" s="110"/>
      <c r="B145" s="32">
        <v>85401</v>
      </c>
      <c r="C145" s="477" t="s">
        <v>397</v>
      </c>
      <c r="D145" s="139">
        <f>D146+D147</f>
        <v>4100</v>
      </c>
      <c r="E145" s="64">
        <f>E146+E147</f>
        <v>1175</v>
      </c>
      <c r="F145" s="64">
        <f>SUM(F146:F147)</f>
        <v>1125</v>
      </c>
      <c r="G145" s="108">
        <f t="shared" si="3"/>
        <v>0.9574468085106383</v>
      </c>
      <c r="H145" s="249"/>
    </row>
    <row r="146" spans="1:8" ht="19.5" customHeight="1">
      <c r="A146" s="110"/>
      <c r="B146" s="33"/>
      <c r="C146" s="435" t="s">
        <v>438</v>
      </c>
      <c r="D146" s="130">
        <v>3000</v>
      </c>
      <c r="E146" s="74">
        <v>75</v>
      </c>
      <c r="F146" s="74">
        <v>76</v>
      </c>
      <c r="G146" s="34">
        <f t="shared" si="3"/>
        <v>1.0133333333333334</v>
      </c>
      <c r="H146" s="249"/>
    </row>
    <row r="147" spans="1:8" ht="37.5" customHeight="1">
      <c r="A147" s="110"/>
      <c r="B147" s="58"/>
      <c r="C147" s="485" t="s">
        <v>865</v>
      </c>
      <c r="D147" s="75">
        <v>1100</v>
      </c>
      <c r="E147" s="75">
        <v>1100</v>
      </c>
      <c r="F147" s="75">
        <v>1049</v>
      </c>
      <c r="G147" s="407">
        <f t="shared" si="3"/>
        <v>0.9536363636363636</v>
      </c>
      <c r="H147" s="248"/>
    </row>
    <row r="148" spans="1:8" ht="19.5" customHeight="1">
      <c r="A148" s="8"/>
      <c r="B148" s="99">
        <v>85495</v>
      </c>
      <c r="C148" s="477" t="s">
        <v>966</v>
      </c>
      <c r="D148" s="139">
        <f>D149+D150</f>
        <v>2640</v>
      </c>
      <c r="E148" s="64">
        <f>E149+E150</f>
        <v>691</v>
      </c>
      <c r="F148" s="64">
        <f>SUM(F149:F150)</f>
        <v>508</v>
      </c>
      <c r="G148" s="108">
        <f aca="true" t="shared" si="4" ref="G148:G227">F148/E148</f>
        <v>0.7351664254703328</v>
      </c>
      <c r="H148" s="257"/>
    </row>
    <row r="149" spans="1:8" ht="19.5" customHeight="1">
      <c r="A149" s="8"/>
      <c r="B149" s="59"/>
      <c r="C149" s="480" t="s">
        <v>438</v>
      </c>
      <c r="D149" s="120">
        <v>2000</v>
      </c>
      <c r="E149" s="68">
        <v>51</v>
      </c>
      <c r="F149" s="68">
        <v>51</v>
      </c>
      <c r="G149" s="121">
        <f t="shared" si="4"/>
        <v>1</v>
      </c>
      <c r="H149" s="257"/>
    </row>
    <row r="150" spans="1:8" ht="37.5" customHeight="1">
      <c r="A150" s="10"/>
      <c r="B150" s="58"/>
      <c r="C150" s="485" t="s">
        <v>865</v>
      </c>
      <c r="D150" s="415">
        <v>640</v>
      </c>
      <c r="E150" s="29">
        <v>640</v>
      </c>
      <c r="F150" s="29">
        <v>457</v>
      </c>
      <c r="G150" s="144">
        <f t="shared" si="4"/>
        <v>0.7140625</v>
      </c>
      <c r="H150" s="257"/>
    </row>
    <row r="151" spans="1:8" ht="18.75" customHeight="1">
      <c r="A151" s="123">
        <v>900</v>
      </c>
      <c r="B151" s="96"/>
      <c r="C151" s="105" t="s">
        <v>384</v>
      </c>
      <c r="D151" s="447">
        <f>D152+D157+D159+D163</f>
        <v>8636000</v>
      </c>
      <c r="E151" s="155">
        <f>E152+E157+E159+E163</f>
        <v>8936000</v>
      </c>
      <c r="F151" s="155">
        <f>F152+F155+F157+F159+F161+F163</f>
        <v>8672957</v>
      </c>
      <c r="G151" s="125">
        <f t="shared" si="4"/>
        <v>0.9705636750223814</v>
      </c>
      <c r="H151" s="126"/>
    </row>
    <row r="152" spans="1:8" ht="18" customHeight="1">
      <c r="A152" s="110"/>
      <c r="B152" s="32">
        <v>90002</v>
      </c>
      <c r="C152" s="39" t="s">
        <v>894</v>
      </c>
      <c r="D152" s="100">
        <f>D153+D154</f>
        <v>7602000</v>
      </c>
      <c r="E152" s="7">
        <f>E153+E154</f>
        <v>7602000</v>
      </c>
      <c r="F152" s="7">
        <f>SUM(F153:F154)</f>
        <v>7190889</v>
      </c>
      <c r="G152" s="323">
        <f t="shared" si="4"/>
        <v>0.9459206787687451</v>
      </c>
      <c r="H152" s="247"/>
    </row>
    <row r="153" spans="1:8" ht="18" customHeight="1">
      <c r="A153" s="8"/>
      <c r="B153" s="31"/>
      <c r="C153" s="416" t="s">
        <v>927</v>
      </c>
      <c r="D153" s="111">
        <v>7600000</v>
      </c>
      <c r="E153" s="111">
        <v>7600000</v>
      </c>
      <c r="F153" s="111">
        <v>7188801</v>
      </c>
      <c r="G153" s="326">
        <f t="shared" si="4"/>
        <v>0.9458948684210526</v>
      </c>
      <c r="H153" s="262"/>
    </row>
    <row r="154" spans="1:8" ht="18" customHeight="1">
      <c r="A154" s="8"/>
      <c r="B154" s="58"/>
      <c r="C154" s="486" t="s">
        <v>380</v>
      </c>
      <c r="D154" s="154">
        <v>2000</v>
      </c>
      <c r="E154" s="73">
        <v>2000</v>
      </c>
      <c r="F154" s="73">
        <v>2088</v>
      </c>
      <c r="G154" s="145">
        <f t="shared" si="4"/>
        <v>1.044</v>
      </c>
      <c r="H154" s="420"/>
    </row>
    <row r="155" spans="1:9" s="80" customFormat="1" ht="18" customHeight="1">
      <c r="A155" s="110"/>
      <c r="B155" s="99">
        <v>90003</v>
      </c>
      <c r="C155" s="39" t="s">
        <v>407</v>
      </c>
      <c r="D155" s="100"/>
      <c r="E155" s="7"/>
      <c r="F155" s="7">
        <f>F156</f>
        <v>4000</v>
      </c>
      <c r="G155" s="102"/>
      <c r="H155" s="181"/>
      <c r="I155" s="303"/>
    </row>
    <row r="156" spans="1:8" ht="18.75" customHeight="1">
      <c r="A156" s="8"/>
      <c r="B156" s="58"/>
      <c r="C156" s="486" t="s">
        <v>891</v>
      </c>
      <c r="D156" s="50"/>
      <c r="E156" s="12"/>
      <c r="F156" s="12">
        <v>4000</v>
      </c>
      <c r="G156" s="67"/>
      <c r="H156" s="238"/>
    </row>
    <row r="157" spans="1:8" ht="18.75" customHeight="1">
      <c r="A157" s="8"/>
      <c r="B157" s="32">
        <v>90011</v>
      </c>
      <c r="C157" s="39" t="s">
        <v>928</v>
      </c>
      <c r="D157" s="100">
        <f>D158</f>
        <v>35000</v>
      </c>
      <c r="E157" s="7">
        <f>E158</f>
        <v>35000</v>
      </c>
      <c r="F157" s="7">
        <f>F158</f>
        <v>5368</v>
      </c>
      <c r="G157" s="102">
        <f t="shared" si="4"/>
        <v>0.15337142857142858</v>
      </c>
      <c r="H157" s="236"/>
    </row>
    <row r="158" spans="1:8" ht="18.75" customHeight="1">
      <c r="A158" s="8"/>
      <c r="B158" s="55"/>
      <c r="C158" s="476" t="s">
        <v>438</v>
      </c>
      <c r="D158" s="51">
        <v>35000</v>
      </c>
      <c r="E158" s="5">
        <v>35000</v>
      </c>
      <c r="F158" s="5">
        <v>5368</v>
      </c>
      <c r="G158" s="66">
        <f t="shared" si="4"/>
        <v>0.15337142857142858</v>
      </c>
      <c r="H158" s="238"/>
    </row>
    <row r="159" spans="1:8" ht="18.75" customHeight="1">
      <c r="A159" s="110"/>
      <c r="B159" s="141">
        <v>90013</v>
      </c>
      <c r="C159" s="40" t="s">
        <v>385</v>
      </c>
      <c r="D159" s="448">
        <f>D160</f>
        <v>12000</v>
      </c>
      <c r="E159" s="157">
        <f>E160</f>
        <v>12000</v>
      </c>
      <c r="F159" s="157">
        <f>SUM(F160:F160)</f>
        <v>11527</v>
      </c>
      <c r="G159" s="646">
        <f t="shared" si="4"/>
        <v>0.9605833333333333</v>
      </c>
      <c r="H159" s="247"/>
    </row>
    <row r="160" spans="1:256" s="84" customFormat="1" ht="18.75" customHeight="1">
      <c r="A160" s="110"/>
      <c r="B160" s="141"/>
      <c r="C160" s="476" t="s">
        <v>968</v>
      </c>
      <c r="D160" s="51">
        <v>12000</v>
      </c>
      <c r="E160" s="51">
        <v>12000</v>
      </c>
      <c r="F160" s="51">
        <v>11527</v>
      </c>
      <c r="G160" s="349">
        <f>F160/E160</f>
        <v>0.9605833333333333</v>
      </c>
      <c r="H160" s="247"/>
      <c r="I160" s="118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  <c r="FR160" s="83"/>
      <c r="FS160" s="83"/>
      <c r="FT160" s="83"/>
      <c r="FU160" s="83"/>
      <c r="FV160" s="83"/>
      <c r="FW160" s="83"/>
      <c r="FX160" s="83"/>
      <c r="FY160" s="83"/>
      <c r="FZ160" s="83"/>
      <c r="GA160" s="83"/>
      <c r="GB160" s="83"/>
      <c r="GC160" s="83"/>
      <c r="GD160" s="83"/>
      <c r="GE160" s="83"/>
      <c r="GF160" s="83"/>
      <c r="GG160" s="83"/>
      <c r="GH160" s="83"/>
      <c r="GI160" s="83"/>
      <c r="GJ160" s="83"/>
      <c r="GK160" s="83"/>
      <c r="GL160" s="83"/>
      <c r="GM160" s="83"/>
      <c r="GN160" s="83"/>
      <c r="GO160" s="83"/>
      <c r="GP160" s="83"/>
      <c r="GQ160" s="83"/>
      <c r="GR160" s="83"/>
      <c r="GS160" s="83"/>
      <c r="GT160" s="83"/>
      <c r="GU160" s="83"/>
      <c r="GV160" s="83"/>
      <c r="GW160" s="83"/>
      <c r="GX160" s="83"/>
      <c r="GY160" s="83"/>
      <c r="GZ160" s="83"/>
      <c r="HA160" s="83"/>
      <c r="HB160" s="83"/>
      <c r="HC160" s="83"/>
      <c r="HD160" s="83"/>
      <c r="HE160" s="83"/>
      <c r="HF160" s="83"/>
      <c r="HG160" s="83"/>
      <c r="HH160" s="83"/>
      <c r="HI160" s="83"/>
      <c r="HJ160" s="83"/>
      <c r="HK160" s="83"/>
      <c r="HL160" s="83"/>
      <c r="HM160" s="83"/>
      <c r="HN160" s="83"/>
      <c r="HO160" s="83"/>
      <c r="HP160" s="83"/>
      <c r="HQ160" s="83"/>
      <c r="HR160" s="83"/>
      <c r="HS160" s="83"/>
      <c r="HT160" s="83"/>
      <c r="HU160" s="83"/>
      <c r="HV160" s="83"/>
      <c r="HW160" s="83"/>
      <c r="HX160" s="83"/>
      <c r="HY160" s="83"/>
      <c r="HZ160" s="83"/>
      <c r="IA160" s="83"/>
      <c r="IB160" s="83"/>
      <c r="IC160" s="83"/>
      <c r="ID160" s="83"/>
      <c r="IE160" s="83"/>
      <c r="IF160" s="83"/>
      <c r="IG160" s="83"/>
      <c r="IH160" s="83"/>
      <c r="II160" s="83"/>
      <c r="IJ160" s="83"/>
      <c r="IK160" s="83"/>
      <c r="IL160" s="83"/>
      <c r="IM160" s="83"/>
      <c r="IN160" s="83"/>
      <c r="IO160" s="83"/>
      <c r="IP160" s="83"/>
      <c r="IQ160" s="83"/>
      <c r="IR160" s="83"/>
      <c r="IS160" s="83"/>
      <c r="IT160" s="83"/>
      <c r="IU160" s="83"/>
      <c r="IV160" s="83"/>
    </row>
    <row r="161" spans="1:9" s="80" customFormat="1" ht="18.75" customHeight="1">
      <c r="A161" s="110"/>
      <c r="B161" s="99">
        <v>90015</v>
      </c>
      <c r="C161" s="39" t="s">
        <v>386</v>
      </c>
      <c r="D161" s="100"/>
      <c r="E161" s="100"/>
      <c r="F161" s="100">
        <f>F162</f>
        <v>909</v>
      </c>
      <c r="G161" s="323"/>
      <c r="H161" s="260"/>
      <c r="I161" s="303"/>
    </row>
    <row r="162" spans="1:8" ht="18.75" customHeight="1">
      <c r="A162" s="8"/>
      <c r="B162" s="58"/>
      <c r="C162" s="486" t="s">
        <v>891</v>
      </c>
      <c r="D162" s="50"/>
      <c r="E162" s="50"/>
      <c r="F162" s="50">
        <v>909</v>
      </c>
      <c r="G162" s="337"/>
      <c r="H162" s="237"/>
    </row>
    <row r="163" spans="1:8" ht="18" customHeight="1">
      <c r="A163" s="110"/>
      <c r="B163" s="32">
        <v>90095</v>
      </c>
      <c r="C163" s="477" t="s">
        <v>966</v>
      </c>
      <c r="D163" s="139">
        <f>SUM(D164:D167)</f>
        <v>987000</v>
      </c>
      <c r="E163" s="64">
        <f>SUM(E164:E167)</f>
        <v>1287000</v>
      </c>
      <c r="F163" s="64">
        <f>SUM(F164:F168)</f>
        <v>1460264</v>
      </c>
      <c r="G163" s="108">
        <f t="shared" si="4"/>
        <v>1.1346262626262626</v>
      </c>
      <c r="H163" s="250"/>
    </row>
    <row r="164" spans="1:8" ht="18" customHeight="1">
      <c r="A164" s="8"/>
      <c r="B164" s="31"/>
      <c r="C164" s="435" t="s">
        <v>969</v>
      </c>
      <c r="D164" s="130">
        <v>42000</v>
      </c>
      <c r="E164" s="74">
        <v>42000</v>
      </c>
      <c r="F164" s="74">
        <v>69160</v>
      </c>
      <c r="G164" s="34">
        <f t="shared" si="4"/>
        <v>1.6466666666666667</v>
      </c>
      <c r="H164" s="264"/>
    </row>
    <row r="165" spans="1:8" ht="18" customHeight="1">
      <c r="A165" s="8"/>
      <c r="B165" s="59"/>
      <c r="C165" s="480" t="s">
        <v>929</v>
      </c>
      <c r="D165" s="120">
        <v>840000</v>
      </c>
      <c r="E165" s="68">
        <v>840000</v>
      </c>
      <c r="F165" s="68">
        <v>875863</v>
      </c>
      <c r="G165" s="121">
        <f t="shared" si="4"/>
        <v>1.0426940476190476</v>
      </c>
      <c r="H165" s="254"/>
    </row>
    <row r="166" spans="1:8" ht="18" customHeight="1">
      <c r="A166" s="8"/>
      <c r="B166" s="11"/>
      <c r="C166" s="427" t="s">
        <v>436</v>
      </c>
      <c r="D166" s="410">
        <v>100000</v>
      </c>
      <c r="E166" s="4">
        <v>400000</v>
      </c>
      <c r="F166" s="4">
        <v>496035</v>
      </c>
      <c r="G166" s="137">
        <f t="shared" si="4"/>
        <v>1.2400875</v>
      </c>
      <c r="H166" s="236"/>
    </row>
    <row r="167" spans="1:8" ht="18.75" customHeight="1">
      <c r="A167" s="8"/>
      <c r="B167" s="11"/>
      <c r="C167" s="484" t="s">
        <v>380</v>
      </c>
      <c r="D167" s="446">
        <v>5000</v>
      </c>
      <c r="E167" s="647">
        <v>5000</v>
      </c>
      <c r="F167" s="647">
        <v>2927</v>
      </c>
      <c r="G167" s="648">
        <f t="shared" si="4"/>
        <v>0.5854</v>
      </c>
      <c r="H167" s="236"/>
    </row>
    <row r="168" spans="1:8" ht="18.75" customHeight="1">
      <c r="A168" s="10"/>
      <c r="B168" s="6"/>
      <c r="C168" s="485" t="s">
        <v>891</v>
      </c>
      <c r="D168" s="389"/>
      <c r="E168" s="164"/>
      <c r="F168" s="164">
        <f>135+16144</f>
        <v>16279</v>
      </c>
      <c r="G168" s="393"/>
      <c r="H168" s="238"/>
    </row>
    <row r="169" spans="1:9" s="80" customFormat="1" ht="21.75" customHeight="1" thickBot="1">
      <c r="A169" s="143"/>
      <c r="B169" s="32"/>
      <c r="C169" s="475" t="s">
        <v>373</v>
      </c>
      <c r="D169" s="443">
        <f>D173</f>
        <v>98266914</v>
      </c>
      <c r="E169" s="94">
        <f>E170+E173</f>
        <v>106860714</v>
      </c>
      <c r="F169" s="94">
        <f>F173+F170</f>
        <v>106860714</v>
      </c>
      <c r="G169" s="351">
        <f t="shared" si="4"/>
        <v>1</v>
      </c>
      <c r="H169" s="272"/>
      <c r="I169" s="303"/>
    </row>
    <row r="170" spans="1:8" ht="39" customHeight="1" thickTop="1">
      <c r="A170" s="123">
        <v>756</v>
      </c>
      <c r="B170" s="96"/>
      <c r="C170" s="105" t="s">
        <v>317</v>
      </c>
      <c r="D170" s="444"/>
      <c r="E170" s="97">
        <f>E171</f>
        <v>1091325</v>
      </c>
      <c r="F170" s="97">
        <f>SUM(F171)</f>
        <v>1091325</v>
      </c>
      <c r="G170" s="322">
        <f t="shared" si="4"/>
        <v>1</v>
      </c>
      <c r="H170" s="246"/>
    </row>
    <row r="171" spans="1:8" ht="39" customHeight="1">
      <c r="A171" s="61"/>
      <c r="B171" s="141">
        <v>75615</v>
      </c>
      <c r="C171" s="40" t="s">
        <v>476</v>
      </c>
      <c r="D171" s="129"/>
      <c r="E171" s="2">
        <f>E172</f>
        <v>1091325</v>
      </c>
      <c r="F171" s="2">
        <f>SUM(F172)</f>
        <v>1091325</v>
      </c>
      <c r="G171" s="101">
        <f t="shared" si="4"/>
        <v>1</v>
      </c>
      <c r="H171" s="250"/>
    </row>
    <row r="172" spans="1:8" ht="19.5" customHeight="1">
      <c r="A172" s="8"/>
      <c r="B172" s="11"/>
      <c r="C172" s="489" t="s">
        <v>526</v>
      </c>
      <c r="D172" s="77"/>
      <c r="E172" s="77">
        <v>1091325</v>
      </c>
      <c r="F172" s="77">
        <v>1091325</v>
      </c>
      <c r="G172" s="320">
        <f t="shared" si="4"/>
        <v>1</v>
      </c>
      <c r="H172" s="238"/>
    </row>
    <row r="173" spans="1:8" ht="19.5" customHeight="1">
      <c r="A173" s="133">
        <v>758</v>
      </c>
      <c r="B173" s="134"/>
      <c r="C173" s="183" t="s">
        <v>358</v>
      </c>
      <c r="D173" s="445">
        <f>D174+D176+D178</f>
        <v>98266914</v>
      </c>
      <c r="E173" s="135">
        <f>E174+E176+E178</f>
        <v>105769389</v>
      </c>
      <c r="F173" s="135">
        <f>F174+F176+F178</f>
        <v>105769389</v>
      </c>
      <c r="G173" s="331">
        <f t="shared" si="4"/>
        <v>1</v>
      </c>
      <c r="H173" s="246"/>
    </row>
    <row r="174" spans="1:8" ht="25.5" customHeight="1">
      <c r="A174" s="61"/>
      <c r="B174" s="141">
        <v>75801</v>
      </c>
      <c r="C174" s="40" t="s">
        <v>408</v>
      </c>
      <c r="D174" s="129">
        <f>D175</f>
        <v>98266914</v>
      </c>
      <c r="E174" s="2">
        <f>E175</f>
        <v>101777172</v>
      </c>
      <c r="F174" s="2">
        <f>F175</f>
        <v>101777172</v>
      </c>
      <c r="G174" s="101">
        <f t="shared" si="4"/>
        <v>1</v>
      </c>
      <c r="H174" s="250"/>
    </row>
    <row r="175" spans="1:8" ht="19.5" customHeight="1">
      <c r="A175" s="8"/>
      <c r="B175" s="38"/>
      <c r="C175" s="476" t="s">
        <v>447</v>
      </c>
      <c r="D175" s="51">
        <v>98266914</v>
      </c>
      <c r="E175" s="51">
        <v>101777172</v>
      </c>
      <c r="F175" s="51">
        <v>101777172</v>
      </c>
      <c r="G175" s="349">
        <f t="shared" si="4"/>
        <v>1</v>
      </c>
      <c r="H175" s="236"/>
    </row>
    <row r="176" spans="1:8" ht="25.5" customHeight="1">
      <c r="A176" s="110"/>
      <c r="B176" s="32">
        <v>75802</v>
      </c>
      <c r="C176" s="39" t="s">
        <v>343</v>
      </c>
      <c r="D176" s="139"/>
      <c r="E176" s="64">
        <f>SUM(E177)</f>
        <v>3949437</v>
      </c>
      <c r="F176" s="64">
        <f>F177</f>
        <v>3949437</v>
      </c>
      <c r="G176" s="332">
        <f t="shared" si="4"/>
        <v>1</v>
      </c>
      <c r="H176" s="250"/>
    </row>
    <row r="177" spans="1:8" ht="19.5" customHeight="1">
      <c r="A177" s="8"/>
      <c r="B177" s="38"/>
      <c r="C177" s="476" t="s">
        <v>333</v>
      </c>
      <c r="D177" s="51"/>
      <c r="E177" s="51">
        <v>3949437</v>
      </c>
      <c r="F177" s="51">
        <v>3949437</v>
      </c>
      <c r="G177" s="349">
        <f t="shared" si="4"/>
        <v>1</v>
      </c>
      <c r="H177" s="237"/>
    </row>
    <row r="178" spans="1:8" ht="19.5" customHeight="1">
      <c r="A178" s="110"/>
      <c r="B178" s="32">
        <v>75805</v>
      </c>
      <c r="C178" s="39" t="s">
        <v>409</v>
      </c>
      <c r="D178" s="139"/>
      <c r="E178" s="64">
        <f>E179</f>
        <v>42780</v>
      </c>
      <c r="F178" s="64">
        <f>SUM(F179:F179)</f>
        <v>42780</v>
      </c>
      <c r="G178" s="108">
        <f t="shared" si="4"/>
        <v>1</v>
      </c>
      <c r="H178" s="249"/>
    </row>
    <row r="179" spans="1:8" ht="25.5" customHeight="1">
      <c r="A179" s="8"/>
      <c r="B179" s="11"/>
      <c r="C179" s="485" t="s">
        <v>468</v>
      </c>
      <c r="D179" s="154"/>
      <c r="E179" s="154">
        <v>42780</v>
      </c>
      <c r="F179" s="154">
        <v>42780</v>
      </c>
      <c r="G179" s="328">
        <f t="shared" si="4"/>
        <v>1</v>
      </c>
      <c r="H179" s="238"/>
    </row>
    <row r="180" spans="1:8" ht="22.5" customHeight="1" thickBot="1">
      <c r="A180" s="10"/>
      <c r="B180" s="6"/>
      <c r="C180" s="499" t="s">
        <v>410</v>
      </c>
      <c r="D180" s="443">
        <f>D181+D185+D196+D199+D206+D212+D215</f>
        <v>3764000</v>
      </c>
      <c r="E180" s="94">
        <f>E181+E185+E196+E199+E206+E212+E215</f>
        <v>6591029</v>
      </c>
      <c r="F180" s="94">
        <f>F181+F185+F196+F199+F206+F212+F215</f>
        <v>5728927</v>
      </c>
      <c r="G180" s="165">
        <f t="shared" si="4"/>
        <v>0.8692006968866318</v>
      </c>
      <c r="H180" s="273"/>
    </row>
    <row r="181" spans="1:16" s="517" customFormat="1" ht="19.5" customHeight="1" thickTop="1">
      <c r="A181" s="522">
        <v>630</v>
      </c>
      <c r="B181" s="523"/>
      <c r="C181" s="518" t="s">
        <v>446</v>
      </c>
      <c r="D181" s="519">
        <f>D182</f>
        <v>130000</v>
      </c>
      <c r="E181" s="520">
        <f>E182</f>
        <v>184000</v>
      </c>
      <c r="F181" s="520">
        <f>F182</f>
        <v>110289</v>
      </c>
      <c r="G181" s="521">
        <f t="shared" si="4"/>
        <v>0.5993967391304348</v>
      </c>
      <c r="H181" s="258"/>
      <c r="I181" s="303"/>
      <c r="J181" s="80"/>
      <c r="K181" s="80"/>
      <c r="L181" s="80"/>
      <c r="M181" s="80"/>
      <c r="N181" s="80"/>
      <c r="O181" s="80"/>
      <c r="P181" s="80"/>
    </row>
    <row r="182" spans="1:9" s="80" customFormat="1" ht="19.5" customHeight="1">
      <c r="A182" s="61"/>
      <c r="B182" s="141">
        <v>63003</v>
      </c>
      <c r="C182" s="40" t="s">
        <v>320</v>
      </c>
      <c r="D182" s="157">
        <f>SUM(D183:D184)</f>
        <v>130000</v>
      </c>
      <c r="E182" s="157">
        <f>SUM(E183:E184)</f>
        <v>184000</v>
      </c>
      <c r="F182" s="157">
        <f>SUM(F183:F184)</f>
        <v>110289</v>
      </c>
      <c r="G182" s="142">
        <f t="shared" si="4"/>
        <v>0.5993967391304348</v>
      </c>
      <c r="H182" s="258"/>
      <c r="I182" s="303"/>
    </row>
    <row r="183" spans="1:8" ht="25.5" customHeight="1">
      <c r="A183" s="8"/>
      <c r="B183" s="11"/>
      <c r="C183" s="416" t="s">
        <v>483</v>
      </c>
      <c r="D183" s="3">
        <v>130000</v>
      </c>
      <c r="E183" s="3">
        <v>130000</v>
      </c>
      <c r="F183" s="3">
        <f>106233+4056</f>
        <v>110289</v>
      </c>
      <c r="G183" s="131">
        <f>F183/E183</f>
        <v>0.848376923076923</v>
      </c>
      <c r="H183" s="257"/>
    </row>
    <row r="184" spans="1:8" ht="25.5" customHeight="1">
      <c r="A184" s="10"/>
      <c r="B184" s="6"/>
      <c r="C184" s="486" t="s">
        <v>485</v>
      </c>
      <c r="D184" s="50"/>
      <c r="E184" s="12">
        <v>54000</v>
      </c>
      <c r="F184" s="12"/>
      <c r="G184" s="67"/>
      <c r="H184" s="257"/>
    </row>
    <row r="185" spans="1:8" ht="19.5" customHeight="1">
      <c r="A185" s="123">
        <v>801</v>
      </c>
      <c r="B185" s="96"/>
      <c r="C185" s="419" t="s">
        <v>347</v>
      </c>
      <c r="D185" s="444">
        <f>D186+D191+D193</f>
        <v>3051000</v>
      </c>
      <c r="E185" s="97">
        <f>E186+E191+E193</f>
        <v>3186886</v>
      </c>
      <c r="F185" s="97">
        <f>F186+F191+F193</f>
        <v>3175748</v>
      </c>
      <c r="G185" s="98">
        <f t="shared" si="4"/>
        <v>0.996505052267323</v>
      </c>
      <c r="H185" s="106"/>
    </row>
    <row r="186" spans="1:16" s="541" customFormat="1" ht="19.5" customHeight="1">
      <c r="A186" s="536"/>
      <c r="B186" s="158">
        <v>80101</v>
      </c>
      <c r="C186" s="490" t="s">
        <v>348</v>
      </c>
      <c r="D186" s="159"/>
      <c r="E186" s="49">
        <f>SUM(E187:E188)</f>
        <v>111886</v>
      </c>
      <c r="F186" s="49">
        <f>SUM(F187:F189)</f>
        <v>101267</v>
      </c>
      <c r="G186" s="537">
        <f t="shared" si="4"/>
        <v>0.9050908960906637</v>
      </c>
      <c r="H186" s="538"/>
      <c r="I186" s="539"/>
      <c r="J186" s="540"/>
      <c r="K186" s="540"/>
      <c r="L186" s="540"/>
      <c r="M186" s="540"/>
      <c r="N186" s="540"/>
      <c r="O186" s="540"/>
      <c r="P186" s="540"/>
    </row>
    <row r="187" spans="1:16" s="541" customFormat="1" ht="19.5" customHeight="1">
      <c r="A187" s="542"/>
      <c r="B187" s="617"/>
      <c r="C187" s="633" t="s">
        <v>486</v>
      </c>
      <c r="D187" s="634"/>
      <c r="E187" s="577">
        <v>51646</v>
      </c>
      <c r="F187" s="577">
        <v>51646</v>
      </c>
      <c r="G187" s="578">
        <f t="shared" si="4"/>
        <v>1</v>
      </c>
      <c r="H187" s="544"/>
      <c r="I187" s="539"/>
      <c r="J187" s="540"/>
      <c r="K187" s="540"/>
      <c r="L187" s="540"/>
      <c r="M187" s="540"/>
      <c r="N187" s="540"/>
      <c r="O187" s="540"/>
      <c r="P187" s="540"/>
    </row>
    <row r="188" spans="1:16" s="541" customFormat="1" ht="25.5" customHeight="1">
      <c r="A188" s="542"/>
      <c r="B188" s="621"/>
      <c r="C188" s="492" t="s">
        <v>487</v>
      </c>
      <c r="D188" s="117"/>
      <c r="E188" s="161">
        <v>60240</v>
      </c>
      <c r="F188" s="161">
        <v>49265</v>
      </c>
      <c r="G188" s="348">
        <f t="shared" si="4"/>
        <v>0.8178120849933599</v>
      </c>
      <c r="H188" s="544"/>
      <c r="I188" s="539"/>
      <c r="J188" s="540"/>
      <c r="K188" s="540"/>
      <c r="L188" s="540"/>
      <c r="M188" s="540"/>
      <c r="N188" s="540"/>
      <c r="O188" s="540"/>
      <c r="P188" s="540"/>
    </row>
    <row r="189" spans="1:16" s="541" customFormat="1" ht="19.5" customHeight="1">
      <c r="A189" s="542"/>
      <c r="B189" s="621"/>
      <c r="C189" s="677" t="s">
        <v>958</v>
      </c>
      <c r="D189" s="671"/>
      <c r="E189" s="622"/>
      <c r="F189" s="622">
        <v>356</v>
      </c>
      <c r="G189" s="623"/>
      <c r="H189" s="544"/>
      <c r="I189" s="539"/>
      <c r="J189" s="540"/>
      <c r="K189" s="540"/>
      <c r="L189" s="540"/>
      <c r="M189" s="540"/>
      <c r="N189" s="540"/>
      <c r="O189" s="540"/>
      <c r="P189" s="540"/>
    </row>
    <row r="190" spans="1:16" s="541" customFormat="1" ht="19.5" customHeight="1">
      <c r="A190" s="678"/>
      <c r="B190" s="672"/>
      <c r="C190" s="679"/>
      <c r="D190" s="673"/>
      <c r="E190" s="673"/>
      <c r="F190" s="673"/>
      <c r="G190" s="674"/>
      <c r="H190" s="676"/>
      <c r="I190" s="539"/>
      <c r="J190" s="540"/>
      <c r="K190" s="540"/>
      <c r="L190" s="540"/>
      <c r="M190" s="540"/>
      <c r="N190" s="540"/>
      <c r="O190" s="540"/>
      <c r="P190" s="540"/>
    </row>
    <row r="191" spans="1:16" s="637" customFormat="1" ht="19.5" customHeight="1">
      <c r="A191" s="536"/>
      <c r="B191" s="158">
        <v>80110</v>
      </c>
      <c r="C191" s="490" t="s">
        <v>349</v>
      </c>
      <c r="D191" s="159"/>
      <c r="E191" s="49">
        <f>E192</f>
        <v>2400</v>
      </c>
      <c r="F191" s="49">
        <f>F192</f>
        <v>1881</v>
      </c>
      <c r="G191" s="537">
        <f t="shared" si="4"/>
        <v>0.78375</v>
      </c>
      <c r="H191" s="538"/>
      <c r="I191" s="635"/>
      <c r="J191" s="636"/>
      <c r="K191" s="636"/>
      <c r="L191" s="636"/>
      <c r="M191" s="636"/>
      <c r="N191" s="636"/>
      <c r="O191" s="636"/>
      <c r="P191" s="636"/>
    </row>
    <row r="192" spans="1:16" s="541" customFormat="1" ht="25.5" customHeight="1">
      <c r="A192" s="542"/>
      <c r="B192" s="162"/>
      <c r="C192" s="543" t="s">
        <v>487</v>
      </c>
      <c r="D192" s="449"/>
      <c r="E192" s="163">
        <v>2400</v>
      </c>
      <c r="F192" s="163">
        <v>1881</v>
      </c>
      <c r="G192" s="346">
        <f t="shared" si="4"/>
        <v>0.78375</v>
      </c>
      <c r="H192" s="544"/>
      <c r="I192" s="539"/>
      <c r="J192" s="540"/>
      <c r="K192" s="540"/>
      <c r="L192" s="540"/>
      <c r="M192" s="540"/>
      <c r="N192" s="540"/>
      <c r="O192" s="540"/>
      <c r="P192" s="540"/>
    </row>
    <row r="193" spans="1:8" ht="18.75" customHeight="1">
      <c r="A193" s="167"/>
      <c r="B193" s="78">
        <v>80195</v>
      </c>
      <c r="C193" s="78" t="s">
        <v>966</v>
      </c>
      <c r="D193" s="451">
        <f>SUM(D194:D195)</f>
        <v>3051000</v>
      </c>
      <c r="E193" s="169">
        <f>E194+E195</f>
        <v>3072600</v>
      </c>
      <c r="F193" s="169">
        <f>SUM(F194:F195)</f>
        <v>3072600</v>
      </c>
      <c r="G193" s="170">
        <f t="shared" si="4"/>
        <v>1</v>
      </c>
      <c r="H193" s="168"/>
    </row>
    <row r="194" spans="1:8" ht="25.5" customHeight="1">
      <c r="A194" s="22"/>
      <c r="B194" s="239"/>
      <c r="C194" s="494" t="s">
        <v>472</v>
      </c>
      <c r="D194" s="52"/>
      <c r="E194" s="52">
        <v>21600</v>
      </c>
      <c r="F194" s="52">
        <v>21600</v>
      </c>
      <c r="G194" s="364">
        <f t="shared" si="4"/>
        <v>1</v>
      </c>
      <c r="H194" s="557"/>
    </row>
    <row r="195" spans="1:8" ht="19.5" customHeight="1">
      <c r="A195" s="19"/>
      <c r="B195" s="20"/>
      <c r="C195" s="495" t="s">
        <v>492</v>
      </c>
      <c r="D195" s="54">
        <v>3051000</v>
      </c>
      <c r="E195" s="54">
        <v>3051000</v>
      </c>
      <c r="F195" s="54">
        <v>3051000</v>
      </c>
      <c r="G195" s="361">
        <f t="shared" si="4"/>
        <v>1</v>
      </c>
      <c r="H195" s="179"/>
    </row>
    <row r="196" spans="1:8" ht="19.5" customHeight="1">
      <c r="A196" s="123">
        <v>851</v>
      </c>
      <c r="B196" s="96"/>
      <c r="C196" s="419" t="s">
        <v>350</v>
      </c>
      <c r="D196" s="444"/>
      <c r="E196" s="97">
        <f>E197</f>
        <v>27200</v>
      </c>
      <c r="F196" s="97">
        <f>F197</f>
        <v>21200</v>
      </c>
      <c r="G196" s="98">
        <f t="shared" si="4"/>
        <v>0.7794117647058824</v>
      </c>
      <c r="H196" s="106"/>
    </row>
    <row r="197" spans="1:8" ht="19.5" customHeight="1">
      <c r="A197" s="418"/>
      <c r="B197" s="47">
        <v>85154</v>
      </c>
      <c r="C197" s="47" t="s">
        <v>493</v>
      </c>
      <c r="D197" s="452"/>
      <c r="E197" s="229">
        <f>E198</f>
        <v>27200</v>
      </c>
      <c r="F197" s="229">
        <f>F198</f>
        <v>21200</v>
      </c>
      <c r="G197" s="230">
        <f t="shared" si="4"/>
        <v>0.7794117647058824</v>
      </c>
      <c r="H197" s="168"/>
    </row>
    <row r="198" spans="1:8" ht="63.75" customHeight="1">
      <c r="A198" s="175"/>
      <c r="B198" s="78"/>
      <c r="C198" s="495" t="s">
        <v>904</v>
      </c>
      <c r="D198" s="173"/>
      <c r="E198" s="173">
        <v>27200</v>
      </c>
      <c r="F198" s="173">
        <v>21200</v>
      </c>
      <c r="G198" s="353">
        <f t="shared" si="4"/>
        <v>0.7794117647058824</v>
      </c>
      <c r="H198" s="168"/>
    </row>
    <row r="199" spans="1:8" ht="19.5" customHeight="1">
      <c r="A199" s="123">
        <v>852</v>
      </c>
      <c r="B199" s="96"/>
      <c r="C199" s="419" t="s">
        <v>463</v>
      </c>
      <c r="D199" s="444"/>
      <c r="E199" s="97">
        <f>E200+E202+E204</f>
        <v>2480000</v>
      </c>
      <c r="F199" s="97">
        <f>F200+F202+F204</f>
        <v>1880000</v>
      </c>
      <c r="G199" s="98">
        <f>F199/E199</f>
        <v>0.7580645161290323</v>
      </c>
      <c r="H199" s="106"/>
    </row>
    <row r="200" spans="1:8" ht="19.5" customHeight="1">
      <c r="A200" s="418"/>
      <c r="B200" s="47">
        <v>85203</v>
      </c>
      <c r="C200" s="47" t="s">
        <v>433</v>
      </c>
      <c r="D200" s="452"/>
      <c r="E200" s="229">
        <f>E201</f>
        <v>600000</v>
      </c>
      <c r="F200" s="229"/>
      <c r="G200" s="230"/>
      <c r="H200" s="168"/>
    </row>
    <row r="201" spans="1:8" ht="39" customHeight="1">
      <c r="A201" s="167"/>
      <c r="B201" s="78"/>
      <c r="C201" s="495" t="s">
        <v>494</v>
      </c>
      <c r="D201" s="173"/>
      <c r="E201" s="173">
        <v>600000</v>
      </c>
      <c r="F201" s="173"/>
      <c r="G201" s="353"/>
      <c r="H201" s="168"/>
    </row>
    <row r="202" spans="1:8" ht="19.5" customHeight="1">
      <c r="A202" s="167"/>
      <c r="B202" s="47">
        <v>85214</v>
      </c>
      <c r="C202" s="47" t="s">
        <v>925</v>
      </c>
      <c r="D202" s="452"/>
      <c r="E202" s="229">
        <f>E203</f>
        <v>1441200</v>
      </c>
      <c r="F202" s="229">
        <f>F203</f>
        <v>1441200</v>
      </c>
      <c r="G202" s="230">
        <f>F202/E202</f>
        <v>1</v>
      </c>
      <c r="H202" s="168"/>
    </row>
    <row r="203" spans="1:8" ht="25.5" customHeight="1">
      <c r="A203" s="167"/>
      <c r="B203" s="78"/>
      <c r="C203" s="495" t="s">
        <v>495</v>
      </c>
      <c r="D203" s="173"/>
      <c r="E203" s="173">
        <v>1441200</v>
      </c>
      <c r="F203" s="173">
        <v>1441200</v>
      </c>
      <c r="G203" s="353">
        <f>F203/E203</f>
        <v>1</v>
      </c>
      <c r="H203" s="168"/>
    </row>
    <row r="204" spans="1:8" ht="19.5" customHeight="1">
      <c r="A204" s="22"/>
      <c r="B204" s="78">
        <v>85295</v>
      </c>
      <c r="C204" s="78" t="s">
        <v>966</v>
      </c>
      <c r="D204" s="172"/>
      <c r="E204" s="207">
        <f>E205</f>
        <v>438800</v>
      </c>
      <c r="F204" s="207">
        <f>F205</f>
        <v>438800</v>
      </c>
      <c r="G204" s="195">
        <f t="shared" si="4"/>
        <v>1</v>
      </c>
      <c r="H204" s="179"/>
    </row>
    <row r="205" spans="1:8" ht="19.5" customHeight="1">
      <c r="A205" s="19"/>
      <c r="B205" s="20"/>
      <c r="C205" s="414" t="s">
        <v>932</v>
      </c>
      <c r="D205" s="173"/>
      <c r="E205" s="173">
        <v>438800</v>
      </c>
      <c r="F205" s="173">
        <v>438800</v>
      </c>
      <c r="G205" s="353">
        <f t="shared" si="4"/>
        <v>1</v>
      </c>
      <c r="H205" s="179"/>
    </row>
    <row r="206" spans="1:8" ht="19.5" customHeight="1">
      <c r="A206" s="123">
        <v>900</v>
      </c>
      <c r="B206" s="96"/>
      <c r="C206" s="105" t="s">
        <v>384</v>
      </c>
      <c r="D206" s="444"/>
      <c r="E206" s="97">
        <f>E207+E209</f>
        <v>59443</v>
      </c>
      <c r="F206" s="97">
        <f>F207+F209</f>
        <v>59443</v>
      </c>
      <c r="G206" s="322">
        <f t="shared" si="4"/>
        <v>1</v>
      </c>
      <c r="H206" s="179"/>
    </row>
    <row r="207" spans="1:8" ht="19.5" customHeight="1">
      <c r="A207" s="167"/>
      <c r="B207" s="78">
        <v>90001</v>
      </c>
      <c r="C207" s="78" t="s">
        <v>496</v>
      </c>
      <c r="D207" s="172"/>
      <c r="E207" s="207">
        <f>E208</f>
        <v>53443</v>
      </c>
      <c r="F207" s="172">
        <f>F208</f>
        <v>53443</v>
      </c>
      <c r="G207" s="354">
        <f t="shared" si="4"/>
        <v>1</v>
      </c>
      <c r="H207" s="179"/>
    </row>
    <row r="208" spans="1:8" ht="25.5" customHeight="1">
      <c r="A208" s="22"/>
      <c r="B208" s="79"/>
      <c r="C208" s="414" t="s">
        <v>335</v>
      </c>
      <c r="D208" s="173"/>
      <c r="E208" s="173">
        <v>53443</v>
      </c>
      <c r="F208" s="173">
        <v>53443</v>
      </c>
      <c r="G208" s="353">
        <f t="shared" si="4"/>
        <v>1</v>
      </c>
      <c r="H208" s="179"/>
    </row>
    <row r="209" spans="1:8" ht="19.5" customHeight="1">
      <c r="A209" s="167"/>
      <c r="B209" s="78">
        <v>90008</v>
      </c>
      <c r="C209" s="78" t="s">
        <v>497</v>
      </c>
      <c r="D209" s="172"/>
      <c r="E209" s="207">
        <f>E210</f>
        <v>6000</v>
      </c>
      <c r="F209" s="172">
        <f>F210</f>
        <v>6000</v>
      </c>
      <c r="G209" s="354">
        <f t="shared" si="4"/>
        <v>1</v>
      </c>
      <c r="H209" s="179"/>
    </row>
    <row r="210" spans="1:8" ht="38.25">
      <c r="A210" s="19"/>
      <c r="B210" s="79"/>
      <c r="C210" s="414" t="s">
        <v>336</v>
      </c>
      <c r="D210" s="173"/>
      <c r="E210" s="173">
        <v>6000</v>
      </c>
      <c r="F210" s="173">
        <v>6000</v>
      </c>
      <c r="G210" s="353">
        <f t="shared" si="4"/>
        <v>1</v>
      </c>
      <c r="H210" s="179"/>
    </row>
    <row r="211" spans="1:8" ht="12.75" customHeight="1">
      <c r="A211" s="681"/>
      <c r="B211" s="682"/>
      <c r="C211" s="660"/>
      <c r="D211" s="683"/>
      <c r="E211" s="683"/>
      <c r="F211" s="683"/>
      <c r="G211" s="684"/>
      <c r="H211" s="680"/>
    </row>
    <row r="212" spans="1:8" ht="19.5" customHeight="1">
      <c r="A212" s="123">
        <v>921</v>
      </c>
      <c r="B212" s="96"/>
      <c r="C212" s="105" t="s">
        <v>512</v>
      </c>
      <c r="D212" s="444"/>
      <c r="E212" s="97">
        <f>E213</f>
        <v>70500</v>
      </c>
      <c r="F212" s="97"/>
      <c r="G212" s="98"/>
      <c r="H212" s="179"/>
    </row>
    <row r="213" spans="1:8" ht="19.5" customHeight="1">
      <c r="A213" s="167"/>
      <c r="B213" s="78">
        <v>92105</v>
      </c>
      <c r="C213" s="40" t="s">
        <v>498</v>
      </c>
      <c r="D213" s="451"/>
      <c r="E213" s="169">
        <f>E214</f>
        <v>70500</v>
      </c>
      <c r="F213" s="169"/>
      <c r="G213" s="170"/>
      <c r="H213" s="179"/>
    </row>
    <row r="214" spans="1:8" ht="25.5" customHeight="1">
      <c r="A214" s="19"/>
      <c r="B214" s="20"/>
      <c r="C214" s="486" t="s">
        <v>499</v>
      </c>
      <c r="D214" s="173"/>
      <c r="E214" s="173">
        <v>70500</v>
      </c>
      <c r="F214" s="173"/>
      <c r="G214" s="353"/>
      <c r="H214" s="179"/>
    </row>
    <row r="215" spans="1:8" ht="19.5" customHeight="1">
      <c r="A215" s="123">
        <v>926</v>
      </c>
      <c r="B215" s="96"/>
      <c r="C215" s="105" t="s">
        <v>411</v>
      </c>
      <c r="D215" s="444">
        <f>D216</f>
        <v>583000</v>
      </c>
      <c r="E215" s="97">
        <f>E216</f>
        <v>583000</v>
      </c>
      <c r="F215" s="97">
        <f>F216</f>
        <v>482247</v>
      </c>
      <c r="G215" s="98">
        <f t="shared" si="4"/>
        <v>0.8271818181818181</v>
      </c>
      <c r="H215" s="246"/>
    </row>
    <row r="216" spans="1:8" ht="19.5" customHeight="1">
      <c r="A216" s="61"/>
      <c r="B216" s="141">
        <v>92601</v>
      </c>
      <c r="C216" s="40" t="s">
        <v>412</v>
      </c>
      <c r="D216" s="129">
        <f>SUM(D217:D219)</f>
        <v>583000</v>
      </c>
      <c r="E216" s="2">
        <f>SUM(E217:E219)</f>
        <v>583000</v>
      </c>
      <c r="F216" s="2">
        <f>SUM(F217:F219)</f>
        <v>482247</v>
      </c>
      <c r="G216" s="108">
        <f t="shared" si="4"/>
        <v>0.8271818181818181</v>
      </c>
      <c r="H216" s="250"/>
    </row>
    <row r="217" spans="1:8" ht="39" customHeight="1">
      <c r="A217" s="8"/>
      <c r="B217" s="11"/>
      <c r="C217" s="558" t="s">
        <v>885</v>
      </c>
      <c r="D217" s="458">
        <v>100000</v>
      </c>
      <c r="E217" s="458">
        <v>100000</v>
      </c>
      <c r="F217" s="458"/>
      <c r="G217" s="602"/>
      <c r="H217" s="238"/>
    </row>
    <row r="218" spans="1:8" ht="25.5" customHeight="1">
      <c r="A218" s="8"/>
      <c r="B218" s="11"/>
      <c r="C218" s="479" t="s">
        <v>337</v>
      </c>
      <c r="D218" s="410">
        <v>378000</v>
      </c>
      <c r="E218" s="410">
        <v>378000</v>
      </c>
      <c r="F218" s="410">
        <v>377247</v>
      </c>
      <c r="G218" s="606">
        <f t="shared" si="4"/>
        <v>0.9980079365079365</v>
      </c>
      <c r="H218" s="238"/>
    </row>
    <row r="219" spans="1:8" ht="25.5" customHeight="1">
      <c r="A219" s="8"/>
      <c r="B219" s="11"/>
      <c r="C219" s="482" t="s">
        <v>338</v>
      </c>
      <c r="D219" s="154">
        <v>105000</v>
      </c>
      <c r="E219" s="154">
        <v>105000</v>
      </c>
      <c r="F219" s="154">
        <v>105000</v>
      </c>
      <c r="G219" s="328">
        <f t="shared" si="4"/>
        <v>1</v>
      </c>
      <c r="H219" s="238"/>
    </row>
    <row r="220" spans="1:8" ht="21" customHeight="1" thickBot="1">
      <c r="A220" s="175"/>
      <c r="B220" s="78"/>
      <c r="C220" s="496" t="s">
        <v>892</v>
      </c>
      <c r="D220" s="453">
        <f>D221+D224+D227+D230</f>
        <v>170000</v>
      </c>
      <c r="E220" s="177">
        <f>E221+E224+E227+E230</f>
        <v>334145</v>
      </c>
      <c r="F220" s="177">
        <f>F221+F224+F227+F230</f>
        <v>167035</v>
      </c>
      <c r="G220" s="355">
        <f t="shared" si="4"/>
        <v>0.4998877732720825</v>
      </c>
      <c r="H220" s="176"/>
    </row>
    <row r="221" spans="1:8" ht="19.5" customHeight="1" thickTop="1">
      <c r="A221" s="123">
        <v>710</v>
      </c>
      <c r="B221" s="96"/>
      <c r="C221" s="419" t="s">
        <v>393</v>
      </c>
      <c r="D221" s="444"/>
      <c r="E221" s="97">
        <f>E222</f>
        <v>38159</v>
      </c>
      <c r="F221" s="97">
        <f>F222</f>
        <v>38159</v>
      </c>
      <c r="G221" s="98">
        <f>F221/E221</f>
        <v>1</v>
      </c>
      <c r="H221" s="386"/>
    </row>
    <row r="222" spans="1:8" ht="19.5" customHeight="1">
      <c r="A222" s="418"/>
      <c r="B222" s="78">
        <v>71035</v>
      </c>
      <c r="C222" s="497" t="s">
        <v>442</v>
      </c>
      <c r="D222" s="454"/>
      <c r="E222" s="390">
        <f>E223</f>
        <v>38159</v>
      </c>
      <c r="F222" s="390">
        <f>F223</f>
        <v>38159</v>
      </c>
      <c r="G222" s="396">
        <f>F222/E222</f>
        <v>1</v>
      </c>
      <c r="H222" s="386"/>
    </row>
    <row r="223" spans="1:256" s="84" customFormat="1" ht="25.5" customHeight="1">
      <c r="A223" s="19"/>
      <c r="B223" s="20"/>
      <c r="C223" s="433" t="s">
        <v>474</v>
      </c>
      <c r="D223" s="455"/>
      <c r="E223" s="391">
        <v>38159</v>
      </c>
      <c r="F223" s="391">
        <v>38159</v>
      </c>
      <c r="G223" s="397">
        <f>F223/E223</f>
        <v>1</v>
      </c>
      <c r="H223" s="607"/>
      <c r="I223" s="118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  <c r="EL223" s="83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  <c r="FI223" s="83"/>
      <c r="FJ223" s="83"/>
      <c r="FK223" s="83"/>
      <c r="FL223" s="83"/>
      <c r="FM223" s="83"/>
      <c r="FN223" s="83"/>
      <c r="FO223" s="83"/>
      <c r="FP223" s="83"/>
      <c r="FQ223" s="83"/>
      <c r="FR223" s="83"/>
      <c r="FS223" s="83"/>
      <c r="FT223" s="83"/>
      <c r="FU223" s="83"/>
      <c r="FV223" s="83"/>
      <c r="FW223" s="83"/>
      <c r="FX223" s="83"/>
      <c r="FY223" s="83"/>
      <c r="FZ223" s="83"/>
      <c r="GA223" s="83"/>
      <c r="GB223" s="83"/>
      <c r="GC223" s="83"/>
      <c r="GD223" s="83"/>
      <c r="GE223" s="83"/>
      <c r="GF223" s="83"/>
      <c r="GG223" s="83"/>
      <c r="GH223" s="83"/>
      <c r="GI223" s="83"/>
      <c r="GJ223" s="83"/>
      <c r="GK223" s="83"/>
      <c r="GL223" s="83"/>
      <c r="GM223" s="83"/>
      <c r="GN223" s="83"/>
      <c r="GO223" s="83"/>
      <c r="GP223" s="83"/>
      <c r="GQ223" s="83"/>
      <c r="GR223" s="83"/>
      <c r="GS223" s="83"/>
      <c r="GT223" s="83"/>
      <c r="GU223" s="83"/>
      <c r="GV223" s="83"/>
      <c r="GW223" s="83"/>
      <c r="GX223" s="83"/>
      <c r="GY223" s="83"/>
      <c r="GZ223" s="83"/>
      <c r="HA223" s="83"/>
      <c r="HB223" s="83"/>
      <c r="HC223" s="83"/>
      <c r="HD223" s="83"/>
      <c r="HE223" s="83"/>
      <c r="HF223" s="83"/>
      <c r="HG223" s="83"/>
      <c r="HH223" s="83"/>
      <c r="HI223" s="83"/>
      <c r="HJ223" s="83"/>
      <c r="HK223" s="83"/>
      <c r="HL223" s="83"/>
      <c r="HM223" s="83"/>
      <c r="HN223" s="83"/>
      <c r="HO223" s="83"/>
      <c r="HP223" s="83"/>
      <c r="HQ223" s="83"/>
      <c r="HR223" s="83"/>
      <c r="HS223" s="83"/>
      <c r="HT223" s="83"/>
      <c r="HU223" s="83"/>
      <c r="HV223" s="83"/>
      <c r="HW223" s="83"/>
      <c r="HX223" s="83"/>
      <c r="HY223" s="83"/>
      <c r="HZ223" s="83"/>
      <c r="IA223" s="83"/>
      <c r="IB223" s="83"/>
      <c r="IC223" s="83"/>
      <c r="ID223" s="83"/>
      <c r="IE223" s="83"/>
      <c r="IF223" s="83"/>
      <c r="IG223" s="83"/>
      <c r="IH223" s="83"/>
      <c r="II223" s="83"/>
      <c r="IJ223" s="83"/>
      <c r="IK223" s="83"/>
      <c r="IL223" s="83"/>
      <c r="IM223" s="83"/>
      <c r="IN223" s="83"/>
      <c r="IO223" s="83"/>
      <c r="IP223" s="83"/>
      <c r="IQ223" s="83"/>
      <c r="IR223" s="83"/>
      <c r="IS223" s="83"/>
      <c r="IT223" s="83"/>
      <c r="IU223" s="83"/>
      <c r="IV223" s="83"/>
    </row>
    <row r="224" spans="1:8" ht="19.5" customHeight="1">
      <c r="A224" s="123">
        <v>801</v>
      </c>
      <c r="B224" s="96"/>
      <c r="C224" s="419" t="s">
        <v>347</v>
      </c>
      <c r="D224" s="444"/>
      <c r="E224" s="97">
        <f>E225</f>
        <v>100000</v>
      </c>
      <c r="F224" s="97">
        <f>F225</f>
        <v>95610</v>
      </c>
      <c r="G224" s="98">
        <f t="shared" si="4"/>
        <v>0.9561</v>
      </c>
      <c r="H224" s="274"/>
    </row>
    <row r="225" spans="1:8" ht="19.5" customHeight="1">
      <c r="A225" s="167"/>
      <c r="B225" s="78">
        <v>80104</v>
      </c>
      <c r="C225" s="78" t="s">
        <v>311</v>
      </c>
      <c r="D225" s="451"/>
      <c r="E225" s="169">
        <f>E226</f>
        <v>100000</v>
      </c>
      <c r="F225" s="169">
        <f>F226</f>
        <v>95610</v>
      </c>
      <c r="G225" s="170">
        <f t="shared" si="4"/>
        <v>0.9561</v>
      </c>
      <c r="H225" s="274"/>
    </row>
    <row r="226" spans="1:8" ht="25.5" customHeight="1">
      <c r="A226" s="19"/>
      <c r="B226" s="79"/>
      <c r="C226" s="414" t="s">
        <v>339</v>
      </c>
      <c r="D226" s="45"/>
      <c r="E226" s="42">
        <v>100000</v>
      </c>
      <c r="F226" s="42">
        <v>95610</v>
      </c>
      <c r="G226" s="171">
        <f t="shared" si="4"/>
        <v>0.9561</v>
      </c>
      <c r="H226" s="274"/>
    </row>
    <row r="227" spans="1:9" s="80" customFormat="1" ht="19.5" customHeight="1">
      <c r="A227" s="133">
        <v>900</v>
      </c>
      <c r="B227" s="134"/>
      <c r="C227" s="183" t="s">
        <v>384</v>
      </c>
      <c r="D227" s="532">
        <f aca="true" t="shared" si="5" ref="D227:F228">D228</f>
        <v>170000</v>
      </c>
      <c r="E227" s="225">
        <f t="shared" si="5"/>
        <v>170000</v>
      </c>
      <c r="F227" s="225">
        <f t="shared" si="5"/>
        <v>7280</v>
      </c>
      <c r="G227" s="226">
        <f t="shared" si="4"/>
        <v>0.042823529411764705</v>
      </c>
      <c r="H227" s="405"/>
      <c r="I227" s="303"/>
    </row>
    <row r="228" spans="1:9" s="80" customFormat="1" ht="19.5" customHeight="1">
      <c r="A228" s="167"/>
      <c r="B228" s="47">
        <v>90002</v>
      </c>
      <c r="C228" s="387" t="s">
        <v>894</v>
      </c>
      <c r="D228" s="456">
        <f t="shared" si="5"/>
        <v>170000</v>
      </c>
      <c r="E228" s="46">
        <f t="shared" si="5"/>
        <v>170000</v>
      </c>
      <c r="F228" s="46">
        <f t="shared" si="5"/>
        <v>7280</v>
      </c>
      <c r="G228" s="174">
        <f>F228/E228</f>
        <v>0.042823529411764705</v>
      </c>
      <c r="H228" s="405"/>
      <c r="I228" s="303"/>
    </row>
    <row r="229" spans="1:8" ht="25.5" customHeight="1">
      <c r="A229" s="22"/>
      <c r="B229" s="23"/>
      <c r="C229" s="495" t="s">
        <v>942</v>
      </c>
      <c r="D229" s="54">
        <v>170000</v>
      </c>
      <c r="E229" s="25">
        <v>170000</v>
      </c>
      <c r="F229" s="25">
        <v>7280</v>
      </c>
      <c r="G229" s="406">
        <f>F229/E229</f>
        <v>0.042823529411764705</v>
      </c>
      <c r="H229" s="179"/>
    </row>
    <row r="230" spans="1:9" s="80" customFormat="1" ht="18.75" customHeight="1">
      <c r="A230" s="133">
        <v>921</v>
      </c>
      <c r="B230" s="134"/>
      <c r="C230" s="183" t="s">
        <v>512</v>
      </c>
      <c r="D230" s="532"/>
      <c r="E230" s="225">
        <f>E231</f>
        <v>25986</v>
      </c>
      <c r="F230" s="225">
        <f>F231</f>
        <v>25986</v>
      </c>
      <c r="G230" s="226">
        <f>F230/E230</f>
        <v>1</v>
      </c>
      <c r="H230" s="405"/>
      <c r="I230" s="303"/>
    </row>
    <row r="231" spans="1:9" s="80" customFormat="1" ht="18.75" customHeight="1">
      <c r="A231" s="167"/>
      <c r="B231" s="47">
        <v>92195</v>
      </c>
      <c r="C231" s="387" t="s">
        <v>966</v>
      </c>
      <c r="D231" s="456"/>
      <c r="E231" s="46">
        <f>E232</f>
        <v>25986</v>
      </c>
      <c r="F231" s="46">
        <f>F232</f>
        <v>25986</v>
      </c>
      <c r="G231" s="174">
        <f>F231/E231</f>
        <v>1</v>
      </c>
      <c r="H231" s="405"/>
      <c r="I231" s="303"/>
    </row>
    <row r="232" spans="1:8" ht="39" customHeight="1">
      <c r="A232" s="22"/>
      <c r="B232" s="23"/>
      <c r="C232" s="498" t="s">
        <v>941</v>
      </c>
      <c r="D232" s="465"/>
      <c r="E232" s="310">
        <v>25986</v>
      </c>
      <c r="F232" s="310">
        <v>25986</v>
      </c>
      <c r="G232" s="423">
        <f>F232/E232</f>
        <v>1</v>
      </c>
      <c r="H232" s="179"/>
    </row>
    <row r="233" spans="1:8" ht="24.75" customHeight="1">
      <c r="A233" s="681"/>
      <c r="B233" s="682"/>
      <c r="C233" s="660"/>
      <c r="D233" s="661"/>
      <c r="E233" s="661"/>
      <c r="F233" s="661"/>
      <c r="G233" s="662"/>
      <c r="H233" s="668"/>
    </row>
    <row r="234" spans="1:8" ht="30.75" customHeight="1" thickBot="1">
      <c r="A234" s="10"/>
      <c r="B234" s="6"/>
      <c r="C234" s="499" t="s">
        <v>465</v>
      </c>
      <c r="D234" s="443">
        <f>D235+D238+D243+D246+D249+D267+D270</f>
        <v>26297956</v>
      </c>
      <c r="E234" s="94">
        <f>E235+E238+E243+E246+E249+E267+E270</f>
        <v>52440118</v>
      </c>
      <c r="F234" s="94">
        <f>F235+F238+F243+F246+F249+F267+F270</f>
        <v>51707110</v>
      </c>
      <c r="G234" s="165">
        <f aca="true" t="shared" si="6" ref="G234:G295">F234/E234</f>
        <v>0.9860219994165536</v>
      </c>
      <c r="H234" s="275"/>
    </row>
    <row r="235" spans="1:8" ht="19.5" customHeight="1" thickTop="1">
      <c r="A235" s="123">
        <v>750</v>
      </c>
      <c r="B235" s="96"/>
      <c r="C235" s="105" t="s">
        <v>391</v>
      </c>
      <c r="D235" s="447">
        <f>D236</f>
        <v>1499616</v>
      </c>
      <c r="E235" s="155">
        <f>E236</f>
        <v>1528456</v>
      </c>
      <c r="F235" s="155">
        <f>F236</f>
        <v>1528456</v>
      </c>
      <c r="G235" s="344">
        <f t="shared" si="6"/>
        <v>1</v>
      </c>
      <c r="H235" s="276"/>
    </row>
    <row r="236" spans="1:8" ht="19.5" customHeight="1">
      <c r="A236" s="60"/>
      <c r="B236" s="141">
        <v>75011</v>
      </c>
      <c r="C236" s="40" t="s">
        <v>413</v>
      </c>
      <c r="D236" s="129">
        <f>SUM(D237)</f>
        <v>1499616</v>
      </c>
      <c r="E236" s="2">
        <f>SUM(E237:E237)</f>
        <v>1528456</v>
      </c>
      <c r="F236" s="2">
        <f>SUM(F237:F237)</f>
        <v>1528456</v>
      </c>
      <c r="G236" s="350">
        <f t="shared" si="6"/>
        <v>1</v>
      </c>
      <c r="H236" s="237"/>
    </row>
    <row r="237" spans="1:8" ht="25.5" customHeight="1">
      <c r="A237" s="10"/>
      <c r="B237" s="38"/>
      <c r="C237" s="476" t="s">
        <v>500</v>
      </c>
      <c r="D237" s="103">
        <v>1499616</v>
      </c>
      <c r="E237" s="103">
        <v>1528456</v>
      </c>
      <c r="F237" s="103">
        <v>1528456</v>
      </c>
      <c r="G237" s="324">
        <f t="shared" si="6"/>
        <v>1</v>
      </c>
      <c r="H237" s="237"/>
    </row>
    <row r="238" spans="1:8" ht="25.5" customHeight="1">
      <c r="A238" s="123">
        <v>751</v>
      </c>
      <c r="B238" s="96"/>
      <c r="C238" s="105" t="s">
        <v>962</v>
      </c>
      <c r="D238" s="447">
        <f>D239</f>
        <v>29140</v>
      </c>
      <c r="E238" s="155">
        <f>E239+E241</f>
        <v>487080</v>
      </c>
      <c r="F238" s="155">
        <f>F239+F241</f>
        <v>487080</v>
      </c>
      <c r="G238" s="125">
        <f t="shared" si="6"/>
        <v>1</v>
      </c>
      <c r="H238" s="277"/>
    </row>
    <row r="239" spans="1:8" ht="19.5" customHeight="1">
      <c r="A239" s="60"/>
      <c r="B239" s="141">
        <v>75101</v>
      </c>
      <c r="C239" s="40" t="s">
        <v>963</v>
      </c>
      <c r="D239" s="448">
        <f>D240</f>
        <v>29140</v>
      </c>
      <c r="E239" s="157">
        <f>E240</f>
        <v>29140</v>
      </c>
      <c r="F239" s="157">
        <f>F240</f>
        <v>29140</v>
      </c>
      <c r="G239" s="142">
        <f t="shared" si="6"/>
        <v>1</v>
      </c>
      <c r="H239" s="237"/>
    </row>
    <row r="240" spans="1:8" ht="25.5" customHeight="1">
      <c r="A240" s="8"/>
      <c r="B240" s="6"/>
      <c r="C240" s="486" t="s">
        <v>501</v>
      </c>
      <c r="D240" s="50">
        <v>29140</v>
      </c>
      <c r="E240" s="50">
        <v>29140</v>
      </c>
      <c r="F240" s="50">
        <v>29140</v>
      </c>
      <c r="G240" s="337">
        <f t="shared" si="6"/>
        <v>1</v>
      </c>
      <c r="H240" s="237"/>
    </row>
    <row r="241" spans="1:9" s="80" customFormat="1" ht="19.5" customHeight="1">
      <c r="A241" s="110"/>
      <c r="B241" s="32">
        <v>75113</v>
      </c>
      <c r="C241" s="39" t="s">
        <v>322</v>
      </c>
      <c r="D241" s="100"/>
      <c r="E241" s="100">
        <f>E242</f>
        <v>457940</v>
      </c>
      <c r="F241" s="100">
        <f>F242</f>
        <v>457940</v>
      </c>
      <c r="G241" s="323">
        <f>F241/E241</f>
        <v>1</v>
      </c>
      <c r="H241" s="247"/>
      <c r="I241" s="303"/>
    </row>
    <row r="242" spans="1:8" ht="25.5" customHeight="1">
      <c r="A242" s="10"/>
      <c r="B242" s="6"/>
      <c r="C242" s="486" t="s">
        <v>323</v>
      </c>
      <c r="D242" s="50"/>
      <c r="E242" s="50">
        <v>457940</v>
      </c>
      <c r="F242" s="50">
        <v>457940</v>
      </c>
      <c r="G242" s="337">
        <f>F242/E242</f>
        <v>1</v>
      </c>
      <c r="H242" s="238"/>
    </row>
    <row r="243" spans="1:8" ht="18.75" customHeight="1">
      <c r="A243" s="220">
        <v>754</v>
      </c>
      <c r="B243" s="220"/>
      <c r="C243" s="105" t="s">
        <v>394</v>
      </c>
      <c r="D243" s="444">
        <f aca="true" t="shared" si="7" ref="D243:F244">D244</f>
        <v>2200</v>
      </c>
      <c r="E243" s="97">
        <f t="shared" si="7"/>
        <v>2200</v>
      </c>
      <c r="F243" s="97">
        <f t="shared" si="7"/>
        <v>2200</v>
      </c>
      <c r="G243" s="98">
        <f t="shared" si="6"/>
        <v>1</v>
      </c>
      <c r="H243" s="236"/>
    </row>
    <row r="244" spans="1:8" ht="18.75" customHeight="1">
      <c r="A244" s="60"/>
      <c r="B244" s="32">
        <v>75414</v>
      </c>
      <c r="C244" s="39" t="s">
        <v>441</v>
      </c>
      <c r="D244" s="100">
        <f t="shared" si="7"/>
        <v>2200</v>
      </c>
      <c r="E244" s="100">
        <f t="shared" si="7"/>
        <v>2200</v>
      </c>
      <c r="F244" s="100">
        <f t="shared" si="7"/>
        <v>2200</v>
      </c>
      <c r="G244" s="323">
        <f t="shared" si="6"/>
        <v>1</v>
      </c>
      <c r="H244" s="236"/>
    </row>
    <row r="245" spans="1:8" ht="25.5" customHeight="1">
      <c r="A245" s="10"/>
      <c r="B245" s="6"/>
      <c r="C245" s="486" t="s">
        <v>890</v>
      </c>
      <c r="D245" s="50">
        <v>2200</v>
      </c>
      <c r="E245" s="50">
        <v>2200</v>
      </c>
      <c r="F245" s="50">
        <v>2200</v>
      </c>
      <c r="G245" s="337">
        <f t="shared" si="6"/>
        <v>1</v>
      </c>
      <c r="H245" s="236"/>
    </row>
    <row r="246" spans="1:8" ht="19.5" customHeight="1">
      <c r="A246" s="123">
        <v>801</v>
      </c>
      <c r="B246" s="220"/>
      <c r="C246" s="105" t="s">
        <v>347</v>
      </c>
      <c r="D246" s="457"/>
      <c r="E246" s="220">
        <f>E247</f>
        <v>14000</v>
      </c>
      <c r="F246" s="220">
        <f>F247</f>
        <v>14000</v>
      </c>
      <c r="G246" s="178">
        <f t="shared" si="6"/>
        <v>1</v>
      </c>
      <c r="H246" s="236"/>
    </row>
    <row r="247" spans="1:16" s="517" customFormat="1" ht="19.5" customHeight="1">
      <c r="A247" s="61"/>
      <c r="B247" s="141">
        <v>80101</v>
      </c>
      <c r="C247" s="40" t="s">
        <v>348</v>
      </c>
      <c r="D247" s="100"/>
      <c r="E247" s="100">
        <f>E248</f>
        <v>14000</v>
      </c>
      <c r="F247" s="100">
        <f>F248</f>
        <v>14000</v>
      </c>
      <c r="G247" s="323">
        <f t="shared" si="6"/>
        <v>1</v>
      </c>
      <c r="H247" s="247"/>
      <c r="I247" s="303"/>
      <c r="J247" s="80"/>
      <c r="K247" s="80"/>
      <c r="L247" s="80"/>
      <c r="M247" s="80"/>
      <c r="N247" s="80"/>
      <c r="O247" s="80"/>
      <c r="P247" s="80"/>
    </row>
    <row r="248" spans="1:8" ht="19.5" customHeight="1">
      <c r="A248" s="10"/>
      <c r="B248" s="6"/>
      <c r="C248" s="476" t="s">
        <v>324</v>
      </c>
      <c r="D248" s="50"/>
      <c r="E248" s="50">
        <v>14000</v>
      </c>
      <c r="F248" s="50">
        <v>14000</v>
      </c>
      <c r="G248" s="337">
        <f t="shared" si="6"/>
        <v>1</v>
      </c>
      <c r="H248" s="236"/>
    </row>
    <row r="249" spans="1:256" s="84" customFormat="1" ht="19.5" customHeight="1">
      <c r="A249" s="123">
        <v>852</v>
      </c>
      <c r="B249" s="96"/>
      <c r="C249" s="105" t="s">
        <v>463</v>
      </c>
      <c r="D249" s="447">
        <f>D250+D253+D256+D258+D260+D262+D265</f>
        <v>24767000</v>
      </c>
      <c r="E249" s="155">
        <f>E250+E253+E256+E258+E260+E262+E265</f>
        <v>48647425</v>
      </c>
      <c r="F249" s="155">
        <f>F250+F253+F256+F258+F260+F262+F265</f>
        <v>47914417</v>
      </c>
      <c r="G249" s="125">
        <f t="shared" si="6"/>
        <v>0.984932234337172</v>
      </c>
      <c r="H249" s="276"/>
      <c r="I249" s="118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  <c r="EL249" s="83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  <c r="FI249" s="83"/>
      <c r="FJ249" s="83"/>
      <c r="FK249" s="83"/>
      <c r="FL249" s="83"/>
      <c r="FM249" s="83"/>
      <c r="FN249" s="83"/>
      <c r="FO249" s="83"/>
      <c r="FP249" s="83"/>
      <c r="FQ249" s="83"/>
      <c r="FR249" s="83"/>
      <c r="FS249" s="83"/>
      <c r="FT249" s="83"/>
      <c r="FU249" s="83"/>
      <c r="FV249" s="83"/>
      <c r="FW249" s="83"/>
      <c r="FX249" s="83"/>
      <c r="FY249" s="83"/>
      <c r="FZ249" s="83"/>
      <c r="GA249" s="83"/>
      <c r="GB249" s="83"/>
      <c r="GC249" s="83"/>
      <c r="GD249" s="83"/>
      <c r="GE249" s="83"/>
      <c r="GF249" s="83"/>
      <c r="GG249" s="83"/>
      <c r="GH249" s="83"/>
      <c r="GI249" s="83"/>
      <c r="GJ249" s="83"/>
      <c r="GK249" s="83"/>
      <c r="GL249" s="83"/>
      <c r="GM249" s="83"/>
      <c r="GN249" s="83"/>
      <c r="GO249" s="83"/>
      <c r="GP249" s="83"/>
      <c r="GQ249" s="83"/>
      <c r="GR249" s="83"/>
      <c r="GS249" s="83"/>
      <c r="GT249" s="83"/>
      <c r="GU249" s="83"/>
      <c r="GV249" s="83"/>
      <c r="GW249" s="83"/>
      <c r="GX249" s="83"/>
      <c r="GY249" s="83"/>
      <c r="GZ249" s="83"/>
      <c r="HA249" s="83"/>
      <c r="HB249" s="83"/>
      <c r="HC249" s="83"/>
      <c r="HD249" s="83"/>
      <c r="HE249" s="83"/>
      <c r="HF249" s="83"/>
      <c r="HG249" s="83"/>
      <c r="HH249" s="83"/>
      <c r="HI249" s="83"/>
      <c r="HJ249" s="83"/>
      <c r="HK249" s="83"/>
      <c r="HL249" s="83"/>
      <c r="HM249" s="83"/>
      <c r="HN249" s="83"/>
      <c r="HO249" s="83"/>
      <c r="HP249" s="83"/>
      <c r="HQ249" s="83"/>
      <c r="HR249" s="83"/>
      <c r="HS249" s="83"/>
      <c r="HT249" s="83"/>
      <c r="HU249" s="83"/>
      <c r="HV249" s="83"/>
      <c r="HW249" s="83"/>
      <c r="HX249" s="83"/>
      <c r="HY249" s="83"/>
      <c r="HZ249" s="83"/>
      <c r="IA249" s="83"/>
      <c r="IB249" s="83"/>
      <c r="IC249" s="83"/>
      <c r="ID249" s="83"/>
      <c r="IE249" s="83"/>
      <c r="IF249" s="83"/>
      <c r="IG249" s="83"/>
      <c r="IH249" s="83"/>
      <c r="II249" s="83"/>
      <c r="IJ249" s="83"/>
      <c r="IK249" s="83"/>
      <c r="IL249" s="83"/>
      <c r="IM249" s="83"/>
      <c r="IN249" s="83"/>
      <c r="IO249" s="83"/>
      <c r="IP249" s="83"/>
      <c r="IQ249" s="83"/>
      <c r="IR249" s="83"/>
      <c r="IS249" s="83"/>
      <c r="IT249" s="83"/>
      <c r="IU249" s="83"/>
      <c r="IV249" s="83"/>
    </row>
    <row r="250" spans="1:256" s="84" customFormat="1" ht="19.5" customHeight="1">
      <c r="A250" s="110"/>
      <c r="B250" s="141">
        <v>85203</v>
      </c>
      <c r="C250" s="39" t="s">
        <v>414</v>
      </c>
      <c r="D250" s="100">
        <f>SUM(D251:D252)</f>
        <v>706000</v>
      </c>
      <c r="E250" s="7">
        <f>SUM(E251:E252)</f>
        <v>849900</v>
      </c>
      <c r="F250" s="7">
        <f>SUM(F251:F252)</f>
        <v>849899</v>
      </c>
      <c r="G250" s="102">
        <v>0.9999</v>
      </c>
      <c r="H250" s="260"/>
      <c r="I250" s="118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83"/>
      <c r="GD250" s="83"/>
      <c r="GE250" s="83"/>
      <c r="GF250" s="83"/>
      <c r="GG250" s="83"/>
      <c r="GH250" s="83"/>
      <c r="GI250" s="83"/>
      <c r="GJ250" s="83"/>
      <c r="GK250" s="83"/>
      <c r="GL250" s="83"/>
      <c r="GM250" s="83"/>
      <c r="GN250" s="83"/>
      <c r="GO250" s="83"/>
      <c r="GP250" s="83"/>
      <c r="GQ250" s="83"/>
      <c r="GR250" s="83"/>
      <c r="GS250" s="83"/>
      <c r="GT250" s="83"/>
      <c r="GU250" s="83"/>
      <c r="GV250" s="83"/>
      <c r="GW250" s="83"/>
      <c r="GX250" s="83"/>
      <c r="GY250" s="83"/>
      <c r="GZ250" s="83"/>
      <c r="HA250" s="83"/>
      <c r="HB250" s="83"/>
      <c r="HC250" s="83"/>
      <c r="HD250" s="83"/>
      <c r="HE250" s="83"/>
      <c r="HF250" s="83"/>
      <c r="HG250" s="83"/>
      <c r="HH250" s="83"/>
      <c r="HI250" s="83"/>
      <c r="HJ250" s="83"/>
      <c r="HK250" s="83"/>
      <c r="HL250" s="83"/>
      <c r="HM250" s="83"/>
      <c r="HN250" s="83"/>
      <c r="HO250" s="83"/>
      <c r="HP250" s="83"/>
      <c r="HQ250" s="83"/>
      <c r="HR250" s="83"/>
      <c r="HS250" s="83"/>
      <c r="HT250" s="83"/>
      <c r="HU250" s="83"/>
      <c r="HV250" s="83"/>
      <c r="HW250" s="83"/>
      <c r="HX250" s="83"/>
      <c r="HY250" s="83"/>
      <c r="HZ250" s="83"/>
      <c r="IA250" s="83"/>
      <c r="IB250" s="83"/>
      <c r="IC250" s="83"/>
      <c r="ID250" s="83"/>
      <c r="IE250" s="83"/>
      <c r="IF250" s="83"/>
      <c r="IG250" s="83"/>
      <c r="IH250" s="83"/>
      <c r="II250" s="83"/>
      <c r="IJ250" s="83"/>
      <c r="IK250" s="83"/>
      <c r="IL250" s="83"/>
      <c r="IM250" s="83"/>
      <c r="IN250" s="83"/>
      <c r="IO250" s="83"/>
      <c r="IP250" s="83"/>
      <c r="IQ250" s="83"/>
      <c r="IR250" s="83"/>
      <c r="IS250" s="83"/>
      <c r="IT250" s="83"/>
      <c r="IU250" s="83"/>
      <c r="IV250" s="83"/>
    </row>
    <row r="251" spans="1:9" s="84" customFormat="1" ht="25.5" customHeight="1">
      <c r="A251" s="8"/>
      <c r="B251" s="9"/>
      <c r="C251" s="416" t="s">
        <v>502</v>
      </c>
      <c r="D251" s="130">
        <v>706000</v>
      </c>
      <c r="E251" s="74">
        <v>774900</v>
      </c>
      <c r="F251" s="74">
        <v>774899</v>
      </c>
      <c r="G251" s="34">
        <v>0.9999</v>
      </c>
      <c r="H251" s="261"/>
      <c r="I251" s="118"/>
    </row>
    <row r="252" spans="1:256" s="84" customFormat="1" ht="25.5" customHeight="1">
      <c r="A252" s="8"/>
      <c r="B252" s="11"/>
      <c r="C252" s="427" t="s">
        <v>489</v>
      </c>
      <c r="D252" s="113"/>
      <c r="E252" s="114">
        <v>75000</v>
      </c>
      <c r="F252" s="114">
        <v>75000</v>
      </c>
      <c r="G252" s="115">
        <f>F252/E252</f>
        <v>1</v>
      </c>
      <c r="H252" s="237"/>
      <c r="I252" s="118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3"/>
      <c r="DX252" s="83"/>
      <c r="DY252" s="83"/>
      <c r="DZ252" s="83"/>
      <c r="EA252" s="83"/>
      <c r="EB252" s="83"/>
      <c r="EC252" s="83"/>
      <c r="ED252" s="83"/>
      <c r="EE252" s="83"/>
      <c r="EF252" s="83"/>
      <c r="EG252" s="83"/>
      <c r="EH252" s="83"/>
      <c r="EI252" s="83"/>
      <c r="EJ252" s="83"/>
      <c r="EK252" s="83"/>
      <c r="EL252" s="83"/>
      <c r="EM252" s="83"/>
      <c r="EN252" s="83"/>
      <c r="EO252" s="83"/>
      <c r="EP252" s="83"/>
      <c r="EQ252" s="83"/>
      <c r="ER252" s="83"/>
      <c r="ES252" s="83"/>
      <c r="ET252" s="83"/>
      <c r="EU252" s="83"/>
      <c r="EV252" s="83"/>
      <c r="EW252" s="83"/>
      <c r="EX252" s="83"/>
      <c r="EY252" s="83"/>
      <c r="EZ252" s="83"/>
      <c r="FA252" s="83"/>
      <c r="FB252" s="83"/>
      <c r="FC252" s="83"/>
      <c r="FD252" s="83"/>
      <c r="FE252" s="83"/>
      <c r="FF252" s="83"/>
      <c r="FG252" s="83"/>
      <c r="FH252" s="83"/>
      <c r="FI252" s="83"/>
      <c r="FJ252" s="83"/>
      <c r="FK252" s="83"/>
      <c r="FL252" s="83"/>
      <c r="FM252" s="83"/>
      <c r="FN252" s="83"/>
      <c r="FO252" s="83"/>
      <c r="FP252" s="83"/>
      <c r="FQ252" s="83"/>
      <c r="FR252" s="83"/>
      <c r="FS252" s="83"/>
      <c r="FT252" s="83"/>
      <c r="FU252" s="83"/>
      <c r="FV252" s="83"/>
      <c r="FW252" s="83"/>
      <c r="FX252" s="83"/>
      <c r="FY252" s="83"/>
      <c r="FZ252" s="83"/>
      <c r="GA252" s="83"/>
      <c r="GB252" s="83"/>
      <c r="GC252" s="83"/>
      <c r="GD252" s="83"/>
      <c r="GE252" s="83"/>
      <c r="GF252" s="83"/>
      <c r="GG252" s="83"/>
      <c r="GH252" s="83"/>
      <c r="GI252" s="83"/>
      <c r="GJ252" s="83"/>
      <c r="GK252" s="83"/>
      <c r="GL252" s="83"/>
      <c r="GM252" s="83"/>
      <c r="GN252" s="83"/>
      <c r="GO252" s="83"/>
      <c r="GP252" s="83"/>
      <c r="GQ252" s="83"/>
      <c r="GR252" s="83"/>
      <c r="GS252" s="83"/>
      <c r="GT252" s="83"/>
      <c r="GU252" s="83"/>
      <c r="GV252" s="83"/>
      <c r="GW252" s="83"/>
      <c r="GX252" s="83"/>
      <c r="GY252" s="83"/>
      <c r="GZ252" s="83"/>
      <c r="HA252" s="83"/>
      <c r="HB252" s="83"/>
      <c r="HC252" s="83"/>
      <c r="HD252" s="83"/>
      <c r="HE252" s="83"/>
      <c r="HF252" s="83"/>
      <c r="HG252" s="83"/>
      <c r="HH252" s="83"/>
      <c r="HI252" s="83"/>
      <c r="HJ252" s="83"/>
      <c r="HK252" s="83"/>
      <c r="HL252" s="83"/>
      <c r="HM252" s="83"/>
      <c r="HN252" s="83"/>
      <c r="HO252" s="83"/>
      <c r="HP252" s="83"/>
      <c r="HQ252" s="83"/>
      <c r="HR252" s="83"/>
      <c r="HS252" s="83"/>
      <c r="HT252" s="83"/>
      <c r="HU252" s="83"/>
      <c r="HV252" s="83"/>
      <c r="HW252" s="83"/>
      <c r="HX252" s="83"/>
      <c r="HY252" s="83"/>
      <c r="HZ252" s="83"/>
      <c r="IA252" s="83"/>
      <c r="IB252" s="83"/>
      <c r="IC252" s="83"/>
      <c r="ID252" s="83"/>
      <c r="IE252" s="83"/>
      <c r="IF252" s="83"/>
      <c r="IG252" s="83"/>
      <c r="IH252" s="83"/>
      <c r="II252" s="83"/>
      <c r="IJ252" s="83"/>
      <c r="IK252" s="83"/>
      <c r="IL252" s="83"/>
      <c r="IM252" s="83"/>
      <c r="IN252" s="83"/>
      <c r="IO252" s="83"/>
      <c r="IP252" s="83"/>
      <c r="IQ252" s="83"/>
      <c r="IR252" s="83"/>
      <c r="IS252" s="83"/>
      <c r="IT252" s="83"/>
      <c r="IU252" s="83"/>
      <c r="IV252" s="83"/>
    </row>
    <row r="253" spans="1:256" s="84" customFormat="1" ht="25.5" customHeight="1">
      <c r="A253" s="8"/>
      <c r="B253" s="141">
        <v>85212</v>
      </c>
      <c r="C253" s="40" t="s">
        <v>946</v>
      </c>
      <c r="D253" s="448"/>
      <c r="E253" s="157">
        <f>SUM(E254:E255)</f>
        <v>33127516</v>
      </c>
      <c r="F253" s="157">
        <f>SUM(F254:F255)</f>
        <v>32852881</v>
      </c>
      <c r="G253" s="142">
        <f>F253/E253</f>
        <v>0.991709761758171</v>
      </c>
      <c r="H253" s="236"/>
      <c r="I253" s="118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3"/>
      <c r="EI253" s="83"/>
      <c r="EJ253" s="83"/>
      <c r="EK253" s="83"/>
      <c r="EL253" s="83"/>
      <c r="EM253" s="83"/>
      <c r="EN253" s="83"/>
      <c r="EO253" s="83"/>
      <c r="EP253" s="83"/>
      <c r="EQ253" s="83"/>
      <c r="ER253" s="83"/>
      <c r="ES253" s="83"/>
      <c r="ET253" s="83"/>
      <c r="EU253" s="83"/>
      <c r="EV253" s="83"/>
      <c r="EW253" s="83"/>
      <c r="EX253" s="83"/>
      <c r="EY253" s="83"/>
      <c r="EZ253" s="83"/>
      <c r="FA253" s="83"/>
      <c r="FB253" s="83"/>
      <c r="FC253" s="83"/>
      <c r="FD253" s="83"/>
      <c r="FE253" s="83"/>
      <c r="FF253" s="83"/>
      <c r="FG253" s="83"/>
      <c r="FH253" s="83"/>
      <c r="FI253" s="83"/>
      <c r="FJ253" s="83"/>
      <c r="FK253" s="83"/>
      <c r="FL253" s="83"/>
      <c r="FM253" s="83"/>
      <c r="FN253" s="83"/>
      <c r="FO253" s="83"/>
      <c r="FP253" s="83"/>
      <c r="FQ253" s="83"/>
      <c r="FR253" s="83"/>
      <c r="FS253" s="83"/>
      <c r="FT253" s="83"/>
      <c r="FU253" s="83"/>
      <c r="FV253" s="83"/>
      <c r="FW253" s="83"/>
      <c r="FX253" s="83"/>
      <c r="FY253" s="83"/>
      <c r="FZ253" s="83"/>
      <c r="GA253" s="83"/>
      <c r="GB253" s="83"/>
      <c r="GC253" s="83"/>
      <c r="GD253" s="83"/>
      <c r="GE253" s="83"/>
      <c r="GF253" s="83"/>
      <c r="GG253" s="83"/>
      <c r="GH253" s="83"/>
      <c r="GI253" s="83"/>
      <c r="GJ253" s="83"/>
      <c r="GK253" s="83"/>
      <c r="GL253" s="83"/>
      <c r="GM253" s="83"/>
      <c r="GN253" s="83"/>
      <c r="GO253" s="83"/>
      <c r="GP253" s="83"/>
      <c r="GQ253" s="83"/>
      <c r="GR253" s="83"/>
      <c r="GS253" s="83"/>
      <c r="GT253" s="83"/>
      <c r="GU253" s="83"/>
      <c r="GV253" s="83"/>
      <c r="GW253" s="83"/>
      <c r="GX253" s="83"/>
      <c r="GY253" s="83"/>
      <c r="GZ253" s="83"/>
      <c r="HA253" s="83"/>
      <c r="HB253" s="83"/>
      <c r="HC253" s="83"/>
      <c r="HD253" s="83"/>
      <c r="HE253" s="83"/>
      <c r="HF253" s="83"/>
      <c r="HG253" s="83"/>
      <c r="HH253" s="83"/>
      <c r="HI253" s="83"/>
      <c r="HJ253" s="83"/>
      <c r="HK253" s="83"/>
      <c r="HL253" s="83"/>
      <c r="HM253" s="83"/>
      <c r="HN253" s="83"/>
      <c r="HO253" s="83"/>
      <c r="HP253" s="83"/>
      <c r="HQ253" s="83"/>
      <c r="HR253" s="83"/>
      <c r="HS253" s="83"/>
      <c r="HT253" s="83"/>
      <c r="HU253" s="83"/>
      <c r="HV253" s="83"/>
      <c r="HW253" s="83"/>
      <c r="HX253" s="83"/>
      <c r="HY253" s="83"/>
      <c r="HZ253" s="83"/>
      <c r="IA253" s="83"/>
      <c r="IB253" s="83"/>
      <c r="IC253" s="83"/>
      <c r="ID253" s="83"/>
      <c r="IE253" s="83"/>
      <c r="IF253" s="83"/>
      <c r="IG253" s="83"/>
      <c r="IH253" s="83"/>
      <c r="II253" s="83"/>
      <c r="IJ253" s="83"/>
      <c r="IK253" s="83"/>
      <c r="IL253" s="83"/>
      <c r="IM253" s="83"/>
      <c r="IN253" s="83"/>
      <c r="IO253" s="83"/>
      <c r="IP253" s="83"/>
      <c r="IQ253" s="83"/>
      <c r="IR253" s="83"/>
      <c r="IS253" s="83"/>
      <c r="IT253" s="83"/>
      <c r="IU253" s="83"/>
      <c r="IV253" s="83"/>
    </row>
    <row r="254" spans="1:256" s="84" customFormat="1" ht="25.5" customHeight="1">
      <c r="A254" s="8"/>
      <c r="B254" s="9"/>
      <c r="C254" s="416" t="s">
        <v>328</v>
      </c>
      <c r="D254" s="111"/>
      <c r="E254" s="3">
        <v>32954026</v>
      </c>
      <c r="F254" s="3">
        <v>32679391</v>
      </c>
      <c r="G254" s="131">
        <f>F254/E254</f>
        <v>0.9916661169108746</v>
      </c>
      <c r="H254" s="237"/>
      <c r="I254" s="118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  <c r="EI254" s="83"/>
      <c r="EJ254" s="83"/>
      <c r="EK254" s="83"/>
      <c r="EL254" s="83"/>
      <c r="EM254" s="83"/>
      <c r="EN254" s="83"/>
      <c r="EO254" s="83"/>
      <c r="EP254" s="83"/>
      <c r="EQ254" s="83"/>
      <c r="ER254" s="83"/>
      <c r="ES254" s="83"/>
      <c r="ET254" s="83"/>
      <c r="EU254" s="83"/>
      <c r="EV254" s="83"/>
      <c r="EW254" s="83"/>
      <c r="EX254" s="83"/>
      <c r="EY254" s="83"/>
      <c r="EZ254" s="83"/>
      <c r="FA254" s="83"/>
      <c r="FB254" s="83"/>
      <c r="FC254" s="83"/>
      <c r="FD254" s="83"/>
      <c r="FE254" s="83"/>
      <c r="FF254" s="83"/>
      <c r="FG254" s="83"/>
      <c r="FH254" s="83"/>
      <c r="FI254" s="83"/>
      <c r="FJ254" s="83"/>
      <c r="FK254" s="83"/>
      <c r="FL254" s="83"/>
      <c r="FM254" s="83"/>
      <c r="FN254" s="83"/>
      <c r="FO254" s="83"/>
      <c r="FP254" s="83"/>
      <c r="FQ254" s="83"/>
      <c r="FR254" s="83"/>
      <c r="FS254" s="83"/>
      <c r="FT254" s="83"/>
      <c r="FU254" s="83"/>
      <c r="FV254" s="83"/>
      <c r="FW254" s="83"/>
      <c r="FX254" s="83"/>
      <c r="FY254" s="83"/>
      <c r="FZ254" s="83"/>
      <c r="GA254" s="83"/>
      <c r="GB254" s="83"/>
      <c r="GC254" s="83"/>
      <c r="GD254" s="83"/>
      <c r="GE254" s="83"/>
      <c r="GF254" s="83"/>
      <c r="GG254" s="83"/>
      <c r="GH254" s="83"/>
      <c r="GI254" s="83"/>
      <c r="GJ254" s="83"/>
      <c r="GK254" s="83"/>
      <c r="GL254" s="83"/>
      <c r="GM254" s="83"/>
      <c r="GN254" s="83"/>
      <c r="GO254" s="83"/>
      <c r="GP254" s="83"/>
      <c r="GQ254" s="83"/>
      <c r="GR254" s="83"/>
      <c r="GS254" s="83"/>
      <c r="GT254" s="83"/>
      <c r="GU254" s="83"/>
      <c r="GV254" s="83"/>
      <c r="GW254" s="83"/>
      <c r="GX254" s="83"/>
      <c r="GY254" s="83"/>
      <c r="GZ254" s="83"/>
      <c r="HA254" s="83"/>
      <c r="HB254" s="83"/>
      <c r="HC254" s="83"/>
      <c r="HD254" s="83"/>
      <c r="HE254" s="83"/>
      <c r="HF254" s="83"/>
      <c r="HG254" s="83"/>
      <c r="HH254" s="83"/>
      <c r="HI254" s="83"/>
      <c r="HJ254" s="83"/>
      <c r="HK254" s="83"/>
      <c r="HL254" s="83"/>
      <c r="HM254" s="83"/>
      <c r="HN254" s="83"/>
      <c r="HO254" s="83"/>
      <c r="HP254" s="83"/>
      <c r="HQ254" s="83"/>
      <c r="HR254" s="83"/>
      <c r="HS254" s="83"/>
      <c r="HT254" s="83"/>
      <c r="HU254" s="83"/>
      <c r="HV254" s="83"/>
      <c r="HW254" s="83"/>
      <c r="HX254" s="83"/>
      <c r="HY254" s="83"/>
      <c r="HZ254" s="83"/>
      <c r="IA254" s="83"/>
      <c r="IB254" s="83"/>
      <c r="IC254" s="83"/>
      <c r="ID254" s="83"/>
      <c r="IE254" s="83"/>
      <c r="IF254" s="83"/>
      <c r="IG254" s="83"/>
      <c r="IH254" s="83"/>
      <c r="II254" s="83"/>
      <c r="IJ254" s="83"/>
      <c r="IK254" s="83"/>
      <c r="IL254" s="83"/>
      <c r="IM254" s="83"/>
      <c r="IN254" s="83"/>
      <c r="IO254" s="83"/>
      <c r="IP254" s="83"/>
      <c r="IQ254" s="83"/>
      <c r="IR254" s="83"/>
      <c r="IS254" s="83"/>
      <c r="IT254" s="83"/>
      <c r="IU254" s="83"/>
      <c r="IV254" s="83"/>
    </row>
    <row r="255" spans="1:256" s="84" customFormat="1" ht="25.5" customHeight="1">
      <c r="A255" s="10"/>
      <c r="B255" s="6"/>
      <c r="C255" s="486" t="s">
        <v>503</v>
      </c>
      <c r="D255" s="109"/>
      <c r="E255" s="29">
        <v>173490</v>
      </c>
      <c r="F255" s="29">
        <v>173490</v>
      </c>
      <c r="G255" s="144">
        <f>F255/E255</f>
        <v>1</v>
      </c>
      <c r="H255" s="236"/>
      <c r="I255" s="118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  <c r="EH255" s="83"/>
      <c r="EI255" s="83"/>
      <c r="EJ255" s="83"/>
      <c r="EK255" s="83"/>
      <c r="EL255" s="83"/>
      <c r="EM255" s="83"/>
      <c r="EN255" s="83"/>
      <c r="EO255" s="83"/>
      <c r="EP255" s="83"/>
      <c r="EQ255" s="83"/>
      <c r="ER255" s="83"/>
      <c r="ES255" s="83"/>
      <c r="ET255" s="83"/>
      <c r="EU255" s="83"/>
      <c r="EV255" s="83"/>
      <c r="EW255" s="83"/>
      <c r="EX255" s="83"/>
      <c r="EY255" s="83"/>
      <c r="EZ255" s="83"/>
      <c r="FA255" s="83"/>
      <c r="FB255" s="83"/>
      <c r="FC255" s="83"/>
      <c r="FD255" s="83"/>
      <c r="FE255" s="83"/>
      <c r="FF255" s="83"/>
      <c r="FG255" s="83"/>
      <c r="FH255" s="83"/>
      <c r="FI255" s="83"/>
      <c r="FJ255" s="83"/>
      <c r="FK255" s="83"/>
      <c r="FL255" s="83"/>
      <c r="FM255" s="83"/>
      <c r="FN255" s="83"/>
      <c r="FO255" s="83"/>
      <c r="FP255" s="83"/>
      <c r="FQ255" s="83"/>
      <c r="FR255" s="83"/>
      <c r="FS255" s="83"/>
      <c r="FT255" s="83"/>
      <c r="FU255" s="83"/>
      <c r="FV255" s="83"/>
      <c r="FW255" s="83"/>
      <c r="FX255" s="83"/>
      <c r="FY255" s="83"/>
      <c r="FZ255" s="83"/>
      <c r="GA255" s="83"/>
      <c r="GB255" s="83"/>
      <c r="GC255" s="83"/>
      <c r="GD255" s="83"/>
      <c r="GE255" s="83"/>
      <c r="GF255" s="83"/>
      <c r="GG255" s="83"/>
      <c r="GH255" s="83"/>
      <c r="GI255" s="83"/>
      <c r="GJ255" s="83"/>
      <c r="GK255" s="83"/>
      <c r="GL255" s="83"/>
      <c r="GM255" s="83"/>
      <c r="GN255" s="83"/>
      <c r="GO255" s="83"/>
      <c r="GP255" s="83"/>
      <c r="GQ255" s="83"/>
      <c r="GR255" s="83"/>
      <c r="GS255" s="83"/>
      <c r="GT255" s="83"/>
      <c r="GU255" s="83"/>
      <c r="GV255" s="83"/>
      <c r="GW255" s="83"/>
      <c r="GX255" s="83"/>
      <c r="GY255" s="83"/>
      <c r="GZ255" s="83"/>
      <c r="HA255" s="83"/>
      <c r="HB255" s="83"/>
      <c r="HC255" s="83"/>
      <c r="HD255" s="83"/>
      <c r="HE255" s="83"/>
      <c r="HF255" s="83"/>
      <c r="HG255" s="83"/>
      <c r="HH255" s="83"/>
      <c r="HI255" s="83"/>
      <c r="HJ255" s="83"/>
      <c r="HK255" s="83"/>
      <c r="HL255" s="83"/>
      <c r="HM255" s="83"/>
      <c r="HN255" s="83"/>
      <c r="HO255" s="83"/>
      <c r="HP255" s="83"/>
      <c r="HQ255" s="83"/>
      <c r="HR255" s="83"/>
      <c r="HS255" s="83"/>
      <c r="HT255" s="83"/>
      <c r="HU255" s="83"/>
      <c r="HV255" s="83"/>
      <c r="HW255" s="83"/>
      <c r="HX255" s="83"/>
      <c r="HY255" s="83"/>
      <c r="HZ255" s="83"/>
      <c r="IA255" s="83"/>
      <c r="IB255" s="83"/>
      <c r="IC255" s="83"/>
      <c r="ID255" s="83"/>
      <c r="IE255" s="83"/>
      <c r="IF255" s="83"/>
      <c r="IG255" s="83"/>
      <c r="IH255" s="83"/>
      <c r="II255" s="83"/>
      <c r="IJ255" s="83"/>
      <c r="IK255" s="83"/>
      <c r="IL255" s="83"/>
      <c r="IM255" s="83"/>
      <c r="IN255" s="83"/>
      <c r="IO255" s="83"/>
      <c r="IP255" s="83"/>
      <c r="IQ255" s="83"/>
      <c r="IR255" s="83"/>
      <c r="IS255" s="83"/>
      <c r="IT255" s="83"/>
      <c r="IU255" s="83"/>
      <c r="IV255" s="83"/>
    </row>
    <row r="256" spans="1:256" s="84" customFormat="1" ht="39" customHeight="1">
      <c r="A256" s="8"/>
      <c r="B256" s="32">
        <v>85213</v>
      </c>
      <c r="C256" s="39" t="s">
        <v>504</v>
      </c>
      <c r="D256" s="100">
        <f>D257</f>
        <v>710000</v>
      </c>
      <c r="E256" s="7">
        <f>E257</f>
        <v>619689</v>
      </c>
      <c r="F256" s="7">
        <f>F257</f>
        <v>613600</v>
      </c>
      <c r="G256" s="102">
        <f t="shared" si="6"/>
        <v>0.9901741034615751</v>
      </c>
      <c r="H256" s="236"/>
      <c r="I256" s="118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  <c r="EL256" s="83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3"/>
      <c r="FK256" s="83"/>
      <c r="FL256" s="83"/>
      <c r="FM256" s="83"/>
      <c r="FN256" s="83"/>
      <c r="FO256" s="83"/>
      <c r="FP256" s="83"/>
      <c r="FQ256" s="83"/>
      <c r="FR256" s="83"/>
      <c r="FS256" s="83"/>
      <c r="FT256" s="83"/>
      <c r="FU256" s="83"/>
      <c r="FV256" s="83"/>
      <c r="FW256" s="83"/>
      <c r="FX256" s="83"/>
      <c r="FY256" s="83"/>
      <c r="FZ256" s="83"/>
      <c r="GA256" s="83"/>
      <c r="GB256" s="83"/>
      <c r="GC256" s="83"/>
      <c r="GD256" s="83"/>
      <c r="GE256" s="83"/>
      <c r="GF256" s="83"/>
      <c r="GG256" s="83"/>
      <c r="GH256" s="83"/>
      <c r="GI256" s="83"/>
      <c r="GJ256" s="83"/>
      <c r="GK256" s="83"/>
      <c r="GL256" s="83"/>
      <c r="GM256" s="83"/>
      <c r="GN256" s="83"/>
      <c r="GO256" s="83"/>
      <c r="GP256" s="83"/>
      <c r="GQ256" s="83"/>
      <c r="GR256" s="83"/>
      <c r="GS256" s="83"/>
      <c r="GT256" s="83"/>
      <c r="GU256" s="83"/>
      <c r="GV256" s="83"/>
      <c r="GW256" s="83"/>
      <c r="GX256" s="83"/>
      <c r="GY256" s="83"/>
      <c r="GZ256" s="83"/>
      <c r="HA256" s="83"/>
      <c r="HB256" s="83"/>
      <c r="HC256" s="83"/>
      <c r="HD256" s="83"/>
      <c r="HE256" s="83"/>
      <c r="HF256" s="83"/>
      <c r="HG256" s="83"/>
      <c r="HH256" s="83"/>
      <c r="HI256" s="83"/>
      <c r="HJ256" s="83"/>
      <c r="HK256" s="83"/>
      <c r="HL256" s="83"/>
      <c r="HM256" s="83"/>
      <c r="HN256" s="83"/>
      <c r="HO256" s="83"/>
      <c r="HP256" s="83"/>
      <c r="HQ256" s="83"/>
      <c r="HR256" s="83"/>
      <c r="HS256" s="83"/>
      <c r="HT256" s="83"/>
      <c r="HU256" s="83"/>
      <c r="HV256" s="83"/>
      <c r="HW256" s="83"/>
      <c r="HX256" s="83"/>
      <c r="HY256" s="83"/>
      <c r="HZ256" s="83"/>
      <c r="IA256" s="83"/>
      <c r="IB256" s="83"/>
      <c r="IC256" s="83"/>
      <c r="ID256" s="83"/>
      <c r="IE256" s="83"/>
      <c r="IF256" s="83"/>
      <c r="IG256" s="83"/>
      <c r="IH256" s="83"/>
      <c r="II256" s="83"/>
      <c r="IJ256" s="83"/>
      <c r="IK256" s="83"/>
      <c r="IL256" s="83"/>
      <c r="IM256" s="83"/>
      <c r="IN256" s="83"/>
      <c r="IO256" s="83"/>
      <c r="IP256" s="83"/>
      <c r="IQ256" s="83"/>
      <c r="IR256" s="83"/>
      <c r="IS256" s="83"/>
      <c r="IT256" s="83"/>
      <c r="IU256" s="83"/>
      <c r="IV256" s="83"/>
    </row>
    <row r="257" spans="1:256" s="84" customFormat="1" ht="25.5" customHeight="1">
      <c r="A257" s="8"/>
      <c r="B257" s="38"/>
      <c r="C257" s="486" t="s">
        <v>525</v>
      </c>
      <c r="D257" s="51">
        <v>710000</v>
      </c>
      <c r="E257" s="12">
        <v>619689</v>
      </c>
      <c r="F257" s="12">
        <v>613600</v>
      </c>
      <c r="G257" s="67">
        <f t="shared" si="6"/>
        <v>0.9901741034615751</v>
      </c>
      <c r="H257" s="237"/>
      <c r="I257" s="118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  <c r="EL257" s="83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83"/>
      <c r="EZ257" s="83"/>
      <c r="FA257" s="83"/>
      <c r="FB257" s="83"/>
      <c r="FC257" s="83"/>
      <c r="FD257" s="83"/>
      <c r="FE257" s="83"/>
      <c r="FF257" s="83"/>
      <c r="FG257" s="83"/>
      <c r="FH257" s="83"/>
      <c r="FI257" s="83"/>
      <c r="FJ257" s="83"/>
      <c r="FK257" s="83"/>
      <c r="FL257" s="83"/>
      <c r="FM257" s="83"/>
      <c r="FN257" s="83"/>
      <c r="FO257" s="83"/>
      <c r="FP257" s="83"/>
      <c r="FQ257" s="83"/>
      <c r="FR257" s="83"/>
      <c r="FS257" s="83"/>
      <c r="FT257" s="83"/>
      <c r="FU257" s="83"/>
      <c r="FV257" s="83"/>
      <c r="FW257" s="83"/>
      <c r="FX257" s="83"/>
      <c r="FY257" s="83"/>
      <c r="FZ257" s="83"/>
      <c r="GA257" s="83"/>
      <c r="GB257" s="83"/>
      <c r="GC257" s="83"/>
      <c r="GD257" s="83"/>
      <c r="GE257" s="83"/>
      <c r="GF257" s="83"/>
      <c r="GG257" s="83"/>
      <c r="GH257" s="83"/>
      <c r="GI257" s="83"/>
      <c r="GJ257" s="83"/>
      <c r="GK257" s="83"/>
      <c r="GL257" s="83"/>
      <c r="GM257" s="83"/>
      <c r="GN257" s="83"/>
      <c r="GO257" s="83"/>
      <c r="GP257" s="83"/>
      <c r="GQ257" s="83"/>
      <c r="GR257" s="83"/>
      <c r="GS257" s="83"/>
      <c r="GT257" s="83"/>
      <c r="GU257" s="83"/>
      <c r="GV257" s="83"/>
      <c r="GW257" s="83"/>
      <c r="GX257" s="83"/>
      <c r="GY257" s="83"/>
      <c r="GZ257" s="83"/>
      <c r="HA257" s="83"/>
      <c r="HB257" s="83"/>
      <c r="HC257" s="83"/>
      <c r="HD257" s="83"/>
      <c r="HE257" s="83"/>
      <c r="HF257" s="83"/>
      <c r="HG257" s="83"/>
      <c r="HH257" s="83"/>
      <c r="HI257" s="83"/>
      <c r="HJ257" s="83"/>
      <c r="HK257" s="83"/>
      <c r="HL257" s="83"/>
      <c r="HM257" s="83"/>
      <c r="HN257" s="83"/>
      <c r="HO257" s="83"/>
      <c r="HP257" s="83"/>
      <c r="HQ257" s="83"/>
      <c r="HR257" s="83"/>
      <c r="HS257" s="83"/>
      <c r="HT257" s="83"/>
      <c r="HU257" s="83"/>
      <c r="HV257" s="83"/>
      <c r="HW257" s="83"/>
      <c r="HX257" s="83"/>
      <c r="HY257" s="83"/>
      <c r="HZ257" s="83"/>
      <c r="IA257" s="83"/>
      <c r="IB257" s="83"/>
      <c r="IC257" s="83"/>
      <c r="ID257" s="83"/>
      <c r="IE257" s="83"/>
      <c r="IF257" s="83"/>
      <c r="IG257" s="83"/>
      <c r="IH257" s="83"/>
      <c r="II257" s="83"/>
      <c r="IJ257" s="83"/>
      <c r="IK257" s="83"/>
      <c r="IL257" s="83"/>
      <c r="IM257" s="83"/>
      <c r="IN257" s="83"/>
      <c r="IO257" s="83"/>
      <c r="IP257" s="83"/>
      <c r="IQ257" s="83"/>
      <c r="IR257" s="83"/>
      <c r="IS257" s="83"/>
      <c r="IT257" s="83"/>
      <c r="IU257" s="83"/>
      <c r="IV257" s="83"/>
    </row>
    <row r="258" spans="1:9" s="84" customFormat="1" ht="19.5" customHeight="1">
      <c r="A258" s="8"/>
      <c r="B258" s="32">
        <v>85214</v>
      </c>
      <c r="C258" s="32" t="s">
        <v>925</v>
      </c>
      <c r="D258" s="100">
        <f>D259</f>
        <v>14563000</v>
      </c>
      <c r="E258" s="7">
        <f>E259</f>
        <v>9649880</v>
      </c>
      <c r="F258" s="7">
        <f>F259</f>
        <v>9198442</v>
      </c>
      <c r="G258" s="102">
        <f t="shared" si="6"/>
        <v>0.9532182783620107</v>
      </c>
      <c r="H258" s="237"/>
      <c r="I258" s="118"/>
    </row>
    <row r="259" spans="1:20" s="84" customFormat="1" ht="25.5" customHeight="1">
      <c r="A259" s="8"/>
      <c r="B259" s="6"/>
      <c r="C259" s="486" t="s">
        <v>943</v>
      </c>
      <c r="D259" s="50">
        <v>14563000</v>
      </c>
      <c r="E259" s="12">
        <v>9649880</v>
      </c>
      <c r="F259" s="12">
        <v>9198442</v>
      </c>
      <c r="G259" s="67">
        <f t="shared" si="6"/>
        <v>0.9532182783620107</v>
      </c>
      <c r="H259" s="237"/>
      <c r="I259" s="37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</row>
    <row r="260" spans="1:20" s="84" customFormat="1" ht="19.5" customHeight="1">
      <c r="A260" s="8"/>
      <c r="B260" s="32">
        <v>85216</v>
      </c>
      <c r="C260" s="39" t="s">
        <v>415</v>
      </c>
      <c r="D260" s="100">
        <f>D261</f>
        <v>4360000</v>
      </c>
      <c r="E260" s="7">
        <f>E261</f>
        <v>249440</v>
      </c>
      <c r="F260" s="7">
        <f>F261</f>
        <v>248595</v>
      </c>
      <c r="G260" s="102">
        <f t="shared" si="6"/>
        <v>0.9966124118024374</v>
      </c>
      <c r="H260" s="236"/>
      <c r="I260" s="37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</row>
    <row r="261" spans="1:20" s="84" customFormat="1" ht="25.5" customHeight="1">
      <c r="A261" s="8"/>
      <c r="B261" s="38"/>
      <c r="C261" s="476" t="s">
        <v>944</v>
      </c>
      <c r="D261" s="51">
        <v>4360000</v>
      </c>
      <c r="E261" s="5">
        <v>249440</v>
      </c>
      <c r="F261" s="5">
        <v>248595</v>
      </c>
      <c r="G261" s="66">
        <f t="shared" si="6"/>
        <v>0.9966124118024374</v>
      </c>
      <c r="H261" s="261"/>
      <c r="I261" s="37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</row>
    <row r="262" spans="1:20" s="84" customFormat="1" ht="19.5" customHeight="1">
      <c r="A262" s="110"/>
      <c r="B262" s="32">
        <v>85219</v>
      </c>
      <c r="C262" s="39" t="s">
        <v>416</v>
      </c>
      <c r="D262" s="100">
        <f>SUM(D263:D264)</f>
        <v>3498000</v>
      </c>
      <c r="E262" s="7">
        <f>SUM(E263:E264)</f>
        <v>3498000</v>
      </c>
      <c r="F262" s="7">
        <f>SUM(F263:F264)</f>
        <v>3498000</v>
      </c>
      <c r="G262" s="102">
        <f t="shared" si="6"/>
        <v>1</v>
      </c>
      <c r="H262" s="247"/>
      <c r="I262" s="37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</row>
    <row r="263" spans="1:20" s="84" customFormat="1" ht="25.5" customHeight="1">
      <c r="A263" s="8"/>
      <c r="B263" s="9"/>
      <c r="C263" s="416" t="s">
        <v>417</v>
      </c>
      <c r="D263" s="111">
        <v>3490000</v>
      </c>
      <c r="E263" s="3">
        <v>3490000</v>
      </c>
      <c r="F263" s="3">
        <v>3490000</v>
      </c>
      <c r="G263" s="131">
        <f t="shared" si="6"/>
        <v>1</v>
      </c>
      <c r="H263" s="270"/>
      <c r="I263" s="37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</row>
    <row r="264" spans="1:20" s="84" customFormat="1" ht="25.5" customHeight="1">
      <c r="A264" s="8"/>
      <c r="B264" s="6"/>
      <c r="C264" s="486" t="s">
        <v>505</v>
      </c>
      <c r="D264" s="50">
        <v>8000</v>
      </c>
      <c r="E264" s="12">
        <v>8000</v>
      </c>
      <c r="F264" s="12">
        <v>8000</v>
      </c>
      <c r="G264" s="67">
        <f t="shared" si="6"/>
        <v>1</v>
      </c>
      <c r="H264" s="261"/>
      <c r="I264" s="37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</row>
    <row r="265" spans="1:20" s="84" customFormat="1" ht="19.5" customHeight="1">
      <c r="A265" s="8"/>
      <c r="B265" s="32">
        <v>85228</v>
      </c>
      <c r="C265" s="39" t="s">
        <v>418</v>
      </c>
      <c r="D265" s="100">
        <f>D266</f>
        <v>930000</v>
      </c>
      <c r="E265" s="7">
        <f>E266</f>
        <v>653000</v>
      </c>
      <c r="F265" s="7">
        <f>F266</f>
        <v>653000</v>
      </c>
      <c r="G265" s="102">
        <f t="shared" si="6"/>
        <v>1</v>
      </c>
      <c r="H265" s="237"/>
      <c r="I265" s="37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</row>
    <row r="266" spans="1:20" s="84" customFormat="1" ht="19.5" customHeight="1">
      <c r="A266" s="8"/>
      <c r="B266" s="9"/>
      <c r="C266" s="500" t="s">
        <v>329</v>
      </c>
      <c r="D266" s="458">
        <v>930000</v>
      </c>
      <c r="E266" s="72">
        <v>653000</v>
      </c>
      <c r="F266" s="72">
        <v>653000</v>
      </c>
      <c r="G266" s="316">
        <f t="shared" si="6"/>
        <v>1</v>
      </c>
      <c r="H266" s="261"/>
      <c r="I266" s="37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</row>
    <row r="267" spans="1:20" s="84" customFormat="1" ht="19.5" customHeight="1">
      <c r="A267" s="133">
        <v>854</v>
      </c>
      <c r="B267" s="134"/>
      <c r="C267" s="183" t="s">
        <v>396</v>
      </c>
      <c r="D267" s="445"/>
      <c r="E267" s="135">
        <f>E268</f>
        <v>4000</v>
      </c>
      <c r="F267" s="135">
        <f>F268</f>
        <v>4000</v>
      </c>
      <c r="G267" s="140">
        <f>F267/E267</f>
        <v>1</v>
      </c>
      <c r="H267" s="383"/>
      <c r="I267" s="37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</row>
    <row r="268" spans="1:20" s="80" customFormat="1" ht="19.5" customHeight="1">
      <c r="A268" s="110"/>
      <c r="B268" s="33">
        <v>85401</v>
      </c>
      <c r="C268" s="35" t="s">
        <v>397</v>
      </c>
      <c r="D268" s="459"/>
      <c r="E268" s="210">
        <f>E269</f>
        <v>4000</v>
      </c>
      <c r="F268" s="210">
        <f>F269</f>
        <v>4000</v>
      </c>
      <c r="G268" s="398">
        <f t="shared" si="6"/>
        <v>1</v>
      </c>
      <c r="H268" s="395"/>
      <c r="I268" s="233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1:20" s="84" customFormat="1" ht="19.5" customHeight="1">
      <c r="A269" s="8"/>
      <c r="B269" s="38"/>
      <c r="C269" s="476" t="s">
        <v>324</v>
      </c>
      <c r="D269" s="51"/>
      <c r="E269" s="5">
        <v>4000</v>
      </c>
      <c r="F269" s="5">
        <v>4000</v>
      </c>
      <c r="G269" s="66">
        <f t="shared" si="6"/>
        <v>1</v>
      </c>
      <c r="H269" s="261"/>
      <c r="I269" s="37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</row>
    <row r="270" spans="1:20" s="84" customFormat="1" ht="19.5" customHeight="1">
      <c r="A270" s="133">
        <v>900</v>
      </c>
      <c r="B270" s="134"/>
      <c r="C270" s="183" t="s">
        <v>384</v>
      </c>
      <c r="D270" s="445"/>
      <c r="E270" s="135">
        <f>E271</f>
        <v>1756957</v>
      </c>
      <c r="F270" s="135">
        <f>F271</f>
        <v>1756957</v>
      </c>
      <c r="G270" s="140">
        <f>F270/E270</f>
        <v>1</v>
      </c>
      <c r="H270" s="383"/>
      <c r="I270" s="37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</row>
    <row r="271" spans="1:20" s="80" customFormat="1" ht="19.5" customHeight="1">
      <c r="A271" s="110"/>
      <c r="B271" s="32">
        <v>90015</v>
      </c>
      <c r="C271" s="40" t="s">
        <v>386</v>
      </c>
      <c r="D271" s="638"/>
      <c r="E271" s="579">
        <f>E272</f>
        <v>1756957</v>
      </c>
      <c r="F271" s="579">
        <f>F272</f>
        <v>1756957</v>
      </c>
      <c r="G271" s="308">
        <f t="shared" si="6"/>
        <v>1</v>
      </c>
      <c r="H271" s="247"/>
      <c r="I271" s="37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</row>
    <row r="272" spans="1:20" s="84" customFormat="1" ht="39" customHeight="1">
      <c r="A272" s="8"/>
      <c r="B272" s="9"/>
      <c r="C272" s="476" t="s">
        <v>945</v>
      </c>
      <c r="D272" s="51"/>
      <c r="E272" s="5">
        <v>1756957</v>
      </c>
      <c r="F272" s="5">
        <v>1756957</v>
      </c>
      <c r="G272" s="66">
        <f t="shared" si="6"/>
        <v>1</v>
      </c>
      <c r="H272" s="237"/>
      <c r="I272" s="37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</row>
    <row r="273" spans="1:20" s="84" customFormat="1" ht="25.5" customHeight="1" thickBot="1">
      <c r="A273" s="8"/>
      <c r="B273" s="11"/>
      <c r="C273" s="474" t="s">
        <v>372</v>
      </c>
      <c r="D273" s="559">
        <f>D274+D393+D400+D428+D451</f>
        <v>206720061</v>
      </c>
      <c r="E273" s="560">
        <f>E274+E393+E400+E428+E451</f>
        <v>217749045</v>
      </c>
      <c r="F273" s="560">
        <f>F274+F393+F400+F428+F451</f>
        <v>217751691</v>
      </c>
      <c r="G273" s="561">
        <v>1.0001</v>
      </c>
      <c r="H273" s="278"/>
      <c r="I273" s="37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</row>
    <row r="274" spans="1:20" s="84" customFormat="1" ht="19.5" customHeight="1" thickBot="1">
      <c r="A274" s="10"/>
      <c r="B274" s="6"/>
      <c r="C274" s="501" t="s">
        <v>371</v>
      </c>
      <c r="D274" s="443">
        <f>D275+D278+D283+D287+D290+D295+D304+D340+D361+D365</f>
        <v>47526762</v>
      </c>
      <c r="E274" s="94">
        <f>E275+E278+E283+E287+E290+E295+E304+E340+E361+E365</f>
        <v>49057664</v>
      </c>
      <c r="F274" s="94">
        <f>F275+F278+F283+F287+F290+F295+F304+F340+F361+F365</f>
        <v>49856885</v>
      </c>
      <c r="G274" s="165">
        <f t="shared" si="6"/>
        <v>1.0162914605962485</v>
      </c>
      <c r="H274" s="279"/>
      <c r="I274" s="37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</row>
    <row r="275" spans="1:12" s="513" customFormat="1" ht="19.5" customHeight="1" thickTop="1">
      <c r="A275" s="123">
        <v>630</v>
      </c>
      <c r="B275" s="96"/>
      <c r="C275" s="419" t="s">
        <v>446</v>
      </c>
      <c r="D275" s="447">
        <f aca="true" t="shared" si="8" ref="D275:F276">D276</f>
        <v>200</v>
      </c>
      <c r="E275" s="155">
        <f t="shared" si="8"/>
        <v>200</v>
      </c>
      <c r="F275" s="155">
        <f t="shared" si="8"/>
        <v>207</v>
      </c>
      <c r="G275" s="125">
        <f t="shared" si="6"/>
        <v>1.035</v>
      </c>
      <c r="H275" s="126"/>
      <c r="I275" s="302"/>
      <c r="J275" s="127"/>
      <c r="K275" s="127"/>
      <c r="L275" s="127"/>
    </row>
    <row r="276" spans="1:256" s="84" customFormat="1" ht="19.5" customHeight="1">
      <c r="A276" s="60"/>
      <c r="B276" s="32">
        <v>63001</v>
      </c>
      <c r="C276" s="477" t="s">
        <v>893</v>
      </c>
      <c r="D276" s="100">
        <f t="shared" si="8"/>
        <v>200</v>
      </c>
      <c r="E276" s="7">
        <f t="shared" si="8"/>
        <v>200</v>
      </c>
      <c r="F276" s="7">
        <f t="shared" si="8"/>
        <v>207</v>
      </c>
      <c r="G276" s="102">
        <f t="shared" si="6"/>
        <v>1.035</v>
      </c>
      <c r="H276" s="236"/>
      <c r="I276" s="13"/>
      <c r="J276" s="82"/>
      <c r="K276" s="82"/>
      <c r="L276" s="82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  <c r="EN276" s="83"/>
      <c r="EO276" s="83"/>
      <c r="EP276" s="83"/>
      <c r="EQ276" s="83"/>
      <c r="ER276" s="83"/>
      <c r="ES276" s="83"/>
      <c r="ET276" s="83"/>
      <c r="EU276" s="83"/>
      <c r="EV276" s="83"/>
      <c r="EW276" s="83"/>
      <c r="EX276" s="83"/>
      <c r="EY276" s="83"/>
      <c r="EZ276" s="83"/>
      <c r="FA276" s="83"/>
      <c r="FB276" s="83"/>
      <c r="FC276" s="83"/>
      <c r="FD276" s="83"/>
      <c r="FE276" s="83"/>
      <c r="FF276" s="83"/>
      <c r="FG276" s="83"/>
      <c r="FH276" s="83"/>
      <c r="FI276" s="83"/>
      <c r="FJ276" s="83"/>
      <c r="FK276" s="83"/>
      <c r="FL276" s="83"/>
      <c r="FM276" s="83"/>
      <c r="FN276" s="83"/>
      <c r="FO276" s="83"/>
      <c r="FP276" s="83"/>
      <c r="FQ276" s="83"/>
      <c r="FR276" s="83"/>
      <c r="FS276" s="83"/>
      <c r="FT276" s="83"/>
      <c r="FU276" s="83"/>
      <c r="FV276" s="83"/>
      <c r="FW276" s="83"/>
      <c r="FX276" s="83"/>
      <c r="FY276" s="83"/>
      <c r="FZ276" s="83"/>
      <c r="GA276" s="83"/>
      <c r="GB276" s="83"/>
      <c r="GC276" s="83"/>
      <c r="GD276" s="83"/>
      <c r="GE276" s="83"/>
      <c r="GF276" s="83"/>
      <c r="GG276" s="83"/>
      <c r="GH276" s="83"/>
      <c r="GI276" s="83"/>
      <c r="GJ276" s="83"/>
      <c r="GK276" s="83"/>
      <c r="GL276" s="83"/>
      <c r="GM276" s="83"/>
      <c r="GN276" s="83"/>
      <c r="GO276" s="83"/>
      <c r="GP276" s="83"/>
      <c r="GQ276" s="83"/>
      <c r="GR276" s="83"/>
      <c r="GS276" s="83"/>
      <c r="GT276" s="83"/>
      <c r="GU276" s="83"/>
      <c r="GV276" s="83"/>
      <c r="GW276" s="83"/>
      <c r="GX276" s="83"/>
      <c r="GY276" s="83"/>
      <c r="GZ276" s="83"/>
      <c r="HA276" s="83"/>
      <c r="HB276" s="83"/>
      <c r="HC276" s="83"/>
      <c r="HD276" s="83"/>
      <c r="HE276" s="83"/>
      <c r="HF276" s="83"/>
      <c r="HG276" s="83"/>
      <c r="HH276" s="83"/>
      <c r="HI276" s="83"/>
      <c r="HJ276" s="83"/>
      <c r="HK276" s="83"/>
      <c r="HL276" s="83"/>
      <c r="HM276" s="83"/>
      <c r="HN276" s="83"/>
      <c r="HO276" s="83"/>
      <c r="HP276" s="83"/>
      <c r="HQ276" s="83"/>
      <c r="HR276" s="83"/>
      <c r="HS276" s="83"/>
      <c r="HT276" s="83"/>
      <c r="HU276" s="83"/>
      <c r="HV276" s="83"/>
      <c r="HW276" s="83"/>
      <c r="HX276" s="83"/>
      <c r="HY276" s="83"/>
      <c r="HZ276" s="83"/>
      <c r="IA276" s="83"/>
      <c r="IB276" s="83"/>
      <c r="IC276" s="83"/>
      <c r="ID276" s="83"/>
      <c r="IE276" s="83"/>
      <c r="IF276" s="83"/>
      <c r="IG276" s="83"/>
      <c r="IH276" s="83"/>
      <c r="II276" s="83"/>
      <c r="IJ276" s="83"/>
      <c r="IK276" s="83"/>
      <c r="IL276" s="83"/>
      <c r="IM276" s="83"/>
      <c r="IN276" s="83"/>
      <c r="IO276" s="83"/>
      <c r="IP276" s="83"/>
      <c r="IQ276" s="83"/>
      <c r="IR276" s="83"/>
      <c r="IS276" s="83"/>
      <c r="IT276" s="83"/>
      <c r="IU276" s="83"/>
      <c r="IV276" s="83"/>
    </row>
    <row r="277" spans="1:9" ht="19.5" customHeight="1">
      <c r="A277" s="10"/>
      <c r="B277" s="6"/>
      <c r="C277" s="434" t="s">
        <v>457</v>
      </c>
      <c r="D277" s="50">
        <v>200</v>
      </c>
      <c r="E277" s="50">
        <v>200</v>
      </c>
      <c r="F277" s="50">
        <v>207</v>
      </c>
      <c r="G277" s="337">
        <f t="shared" si="6"/>
        <v>1.035</v>
      </c>
      <c r="H277" s="238"/>
      <c r="I277" s="181"/>
    </row>
    <row r="278" spans="1:8" ht="19.5" customHeight="1">
      <c r="A278" s="182">
        <v>700</v>
      </c>
      <c r="B278" s="183"/>
      <c r="C278" s="124" t="s">
        <v>406</v>
      </c>
      <c r="D278" s="445">
        <f>D279</f>
        <v>1852500</v>
      </c>
      <c r="E278" s="135">
        <f>E279</f>
        <v>2152500</v>
      </c>
      <c r="F278" s="135">
        <f>F279</f>
        <v>2036964</v>
      </c>
      <c r="G278" s="140">
        <f t="shared" si="6"/>
        <v>0.9463247386759582</v>
      </c>
      <c r="H278" s="246"/>
    </row>
    <row r="279" spans="1:8" ht="19.5" customHeight="1">
      <c r="A279" s="110"/>
      <c r="B279" s="32">
        <v>70005</v>
      </c>
      <c r="C279" s="40" t="s">
        <v>425</v>
      </c>
      <c r="D279" s="460">
        <f>SUM(D280:D282)</f>
        <v>1852500</v>
      </c>
      <c r="E279" s="26">
        <f>SUM(E280:E282)</f>
        <v>2152500</v>
      </c>
      <c r="F279" s="26">
        <f>SUM(F280:F282)</f>
        <v>2036964</v>
      </c>
      <c r="G279" s="356">
        <f t="shared" si="6"/>
        <v>0.9463247386759582</v>
      </c>
      <c r="H279" s="250"/>
    </row>
    <row r="280" spans="1:8" ht="19.5" customHeight="1">
      <c r="A280" s="8"/>
      <c r="B280" s="31"/>
      <c r="C280" s="435" t="s">
        <v>361</v>
      </c>
      <c r="D280" s="130">
        <v>2500</v>
      </c>
      <c r="E280" s="130">
        <v>2500</v>
      </c>
      <c r="F280" s="130">
        <v>3632</v>
      </c>
      <c r="G280" s="333">
        <f t="shared" si="6"/>
        <v>1.4528</v>
      </c>
      <c r="H280" s="280"/>
    </row>
    <row r="281" spans="1:10" ht="19.5" customHeight="1">
      <c r="A281" s="8"/>
      <c r="B281" s="8"/>
      <c r="C281" s="480" t="s">
        <v>935</v>
      </c>
      <c r="D281" s="147">
        <v>1850000</v>
      </c>
      <c r="E281" s="309">
        <v>2150000</v>
      </c>
      <c r="F281" s="309">
        <v>2033311</v>
      </c>
      <c r="G281" s="357">
        <f t="shared" si="6"/>
        <v>0.945726046511628</v>
      </c>
      <c r="H281" s="281"/>
      <c r="J281" s="305"/>
    </row>
    <row r="282" spans="1:10" ht="19.5" customHeight="1">
      <c r="A282" s="10"/>
      <c r="B282" s="10"/>
      <c r="C282" s="434" t="s">
        <v>891</v>
      </c>
      <c r="D282" s="150"/>
      <c r="E282" s="151"/>
      <c r="F282" s="152">
        <v>21</v>
      </c>
      <c r="G282" s="359"/>
      <c r="H282" s="267"/>
      <c r="J282" s="305"/>
    </row>
    <row r="283" spans="1:8" ht="19.5" customHeight="1">
      <c r="A283" s="104">
        <v>710</v>
      </c>
      <c r="B283" s="105"/>
      <c r="C283" s="419" t="s">
        <v>393</v>
      </c>
      <c r="D283" s="444">
        <f>D284</f>
        <v>660</v>
      </c>
      <c r="E283" s="97">
        <f>E284</f>
        <v>90</v>
      </c>
      <c r="F283" s="97">
        <f>F284</f>
        <v>78</v>
      </c>
      <c r="G283" s="98">
        <f t="shared" si="6"/>
        <v>0.8666666666666667</v>
      </c>
      <c r="H283" s="259"/>
    </row>
    <row r="284" spans="1:8" ht="19.5" customHeight="1">
      <c r="A284" s="107"/>
      <c r="B284" s="39">
        <v>71015</v>
      </c>
      <c r="C284" s="477" t="s">
        <v>428</v>
      </c>
      <c r="D284" s="129">
        <f>SUM(D285:D286)</f>
        <v>660</v>
      </c>
      <c r="E284" s="2">
        <f>SUM(E285:E286)</f>
        <v>90</v>
      </c>
      <c r="F284" s="2">
        <f>SUM(F285:F286)</f>
        <v>78</v>
      </c>
      <c r="G284" s="108">
        <f t="shared" si="6"/>
        <v>0.8666666666666667</v>
      </c>
      <c r="H284" s="250"/>
    </row>
    <row r="285" spans="1:12" ht="19.5" customHeight="1">
      <c r="A285" s="107"/>
      <c r="B285" s="35"/>
      <c r="C285" s="480" t="s">
        <v>438</v>
      </c>
      <c r="D285" s="130">
        <v>600</v>
      </c>
      <c r="E285" s="120">
        <v>30</v>
      </c>
      <c r="F285" s="120">
        <v>31</v>
      </c>
      <c r="G285" s="329">
        <f t="shared" si="6"/>
        <v>1.0333333333333334</v>
      </c>
      <c r="H285" s="282"/>
      <c r="L285" s="234"/>
    </row>
    <row r="286" spans="1:8" ht="39" customHeight="1">
      <c r="A286" s="590"/>
      <c r="B286" s="591"/>
      <c r="C286" s="485" t="s">
        <v>865</v>
      </c>
      <c r="D286" s="150">
        <v>60</v>
      </c>
      <c r="E286" s="150">
        <v>60</v>
      </c>
      <c r="F286" s="150">
        <v>47</v>
      </c>
      <c r="G286" s="340">
        <f t="shared" si="6"/>
        <v>0.7833333333333333</v>
      </c>
      <c r="H286" s="283"/>
    </row>
    <row r="287" spans="1:8" ht="19.5" customHeight="1">
      <c r="A287" s="104">
        <v>750</v>
      </c>
      <c r="B287" s="105"/>
      <c r="C287" s="419" t="s">
        <v>391</v>
      </c>
      <c r="D287" s="444">
        <f aca="true" t="shared" si="9" ref="D287:F288">D288</f>
        <v>5000</v>
      </c>
      <c r="E287" s="97">
        <f t="shared" si="9"/>
        <v>5000</v>
      </c>
      <c r="F287" s="97">
        <f t="shared" si="9"/>
        <v>4510</v>
      </c>
      <c r="G287" s="322">
        <f t="shared" si="6"/>
        <v>0.902</v>
      </c>
      <c r="H287" s="246"/>
    </row>
    <row r="288" spans="1:8" ht="19.5" customHeight="1">
      <c r="A288" s="61"/>
      <c r="B288" s="141">
        <v>75095</v>
      </c>
      <c r="C288" s="40" t="s">
        <v>966</v>
      </c>
      <c r="D288" s="129">
        <f t="shared" si="9"/>
        <v>5000</v>
      </c>
      <c r="E288" s="129">
        <f t="shared" si="9"/>
        <v>5000</v>
      </c>
      <c r="F288" s="129">
        <f t="shared" si="9"/>
        <v>4510</v>
      </c>
      <c r="G288" s="350">
        <f t="shared" si="6"/>
        <v>0.902</v>
      </c>
      <c r="H288" s="249"/>
    </row>
    <row r="289" spans="1:8" ht="19.5" customHeight="1">
      <c r="A289" s="10"/>
      <c r="B289" s="58"/>
      <c r="C289" s="434" t="s">
        <v>506</v>
      </c>
      <c r="D289" s="150">
        <v>5000</v>
      </c>
      <c r="E289" s="150">
        <v>5000</v>
      </c>
      <c r="F289" s="150">
        <v>4510</v>
      </c>
      <c r="G289" s="340">
        <f t="shared" si="6"/>
        <v>0.902</v>
      </c>
      <c r="H289" s="284"/>
    </row>
    <row r="290" spans="1:8" ht="19.5" customHeight="1">
      <c r="A290" s="104">
        <v>754</v>
      </c>
      <c r="B290" s="105"/>
      <c r="C290" s="419" t="s">
        <v>394</v>
      </c>
      <c r="D290" s="444">
        <f>D291</f>
        <v>7150</v>
      </c>
      <c r="E290" s="97">
        <f>E291</f>
        <v>3591</v>
      </c>
      <c r="F290" s="97">
        <f>F291</f>
        <v>7586</v>
      </c>
      <c r="G290" s="322">
        <f t="shared" si="6"/>
        <v>2.1125034809245338</v>
      </c>
      <c r="H290" s="246"/>
    </row>
    <row r="291" spans="1:8" ht="19.5" customHeight="1">
      <c r="A291" s="60"/>
      <c r="B291" s="141">
        <v>75411</v>
      </c>
      <c r="C291" s="128" t="s">
        <v>936</v>
      </c>
      <c r="D291" s="129">
        <f>SUM(D292:D294)</f>
        <v>7150</v>
      </c>
      <c r="E291" s="2">
        <f>SUM(E292:E294)</f>
        <v>3591</v>
      </c>
      <c r="F291" s="2">
        <f>SUM(F292:F294)</f>
        <v>7586</v>
      </c>
      <c r="G291" s="101">
        <f t="shared" si="6"/>
        <v>2.1125034809245338</v>
      </c>
      <c r="H291" s="249"/>
    </row>
    <row r="292" spans="1:8" ht="19.5" customHeight="1">
      <c r="A292" s="8"/>
      <c r="B292" s="11"/>
      <c r="C292" s="481" t="s">
        <v>438</v>
      </c>
      <c r="D292" s="120">
        <v>4000</v>
      </c>
      <c r="E292" s="120">
        <v>441</v>
      </c>
      <c r="F292" s="120">
        <v>702</v>
      </c>
      <c r="G292" s="329">
        <f t="shared" si="6"/>
        <v>1.5918367346938775</v>
      </c>
      <c r="H292" s="65"/>
    </row>
    <row r="293" spans="1:8" ht="39.75" customHeight="1">
      <c r="A293" s="8"/>
      <c r="B293" s="59"/>
      <c r="C293" s="427" t="s">
        <v>865</v>
      </c>
      <c r="D293" s="148">
        <v>3000</v>
      </c>
      <c r="E293" s="148">
        <v>3000</v>
      </c>
      <c r="F293" s="148">
        <v>3039</v>
      </c>
      <c r="G293" s="339">
        <f t="shared" si="6"/>
        <v>1.013</v>
      </c>
      <c r="H293" s="283"/>
    </row>
    <row r="294" spans="1:8" ht="25.5" customHeight="1">
      <c r="A294" s="10"/>
      <c r="B294" s="58"/>
      <c r="C294" s="486" t="s">
        <v>507</v>
      </c>
      <c r="D294" s="150">
        <v>150</v>
      </c>
      <c r="E294" s="150">
        <v>150</v>
      </c>
      <c r="F294" s="150">
        <v>3845</v>
      </c>
      <c r="G294" s="340">
        <f t="shared" si="6"/>
        <v>25.633333333333333</v>
      </c>
      <c r="H294" s="267"/>
    </row>
    <row r="295" spans="1:8" ht="39" customHeight="1">
      <c r="A295" s="104">
        <v>756</v>
      </c>
      <c r="B295" s="105"/>
      <c r="C295" s="419" t="s">
        <v>317</v>
      </c>
      <c r="D295" s="444">
        <f>D296+D301</f>
        <v>41620642</v>
      </c>
      <c r="E295" s="97">
        <f>E296+E301</f>
        <v>42920642</v>
      </c>
      <c r="F295" s="97">
        <f>F296+F301</f>
        <v>43898847</v>
      </c>
      <c r="G295" s="98">
        <f t="shared" si="6"/>
        <v>1.0227910151017778</v>
      </c>
      <c r="H295" s="246"/>
    </row>
    <row r="296" spans="1:9" s="307" customFormat="1" ht="25.5" customHeight="1">
      <c r="A296" s="186"/>
      <c r="B296" s="187">
        <v>75618</v>
      </c>
      <c r="C296" s="502" t="s">
        <v>469</v>
      </c>
      <c r="D296" s="461">
        <f>SUM(D297:D300)</f>
        <v>6250000</v>
      </c>
      <c r="E296" s="188">
        <f>SUM(E297:E300)</f>
        <v>7550000</v>
      </c>
      <c r="F296" s="188">
        <f>SUM(F297:F300)</f>
        <v>9009579</v>
      </c>
      <c r="G296" s="664">
        <f aca="true" t="shared" si="10" ref="G296:G364">F296/E296</f>
        <v>1.1933217218543046</v>
      </c>
      <c r="H296" s="286"/>
      <c r="I296" s="306"/>
    </row>
    <row r="297" spans="1:9" s="307" customFormat="1" ht="25.5" customHeight="1">
      <c r="A297" s="189"/>
      <c r="B297" s="685"/>
      <c r="C297" s="686" t="s">
        <v>490</v>
      </c>
      <c r="D297" s="687">
        <v>6200000</v>
      </c>
      <c r="E297" s="688">
        <v>7500000</v>
      </c>
      <c r="F297" s="688">
        <v>8802400</v>
      </c>
      <c r="G297" s="689">
        <f t="shared" si="10"/>
        <v>1.1736533333333334</v>
      </c>
      <c r="H297" s="286"/>
      <c r="I297" s="306"/>
    </row>
    <row r="298" spans="1:9" s="307" customFormat="1" ht="39" customHeight="1">
      <c r="A298" s="665"/>
      <c r="B298" s="191"/>
      <c r="C298" s="434" t="s">
        <v>947</v>
      </c>
      <c r="D298" s="50">
        <v>10000</v>
      </c>
      <c r="E298" s="12">
        <v>10000</v>
      </c>
      <c r="F298" s="12">
        <v>149642</v>
      </c>
      <c r="G298" s="67">
        <f t="shared" si="10"/>
        <v>14.9642</v>
      </c>
      <c r="H298" s="286"/>
      <c r="I298" s="306"/>
    </row>
    <row r="299" spans="1:9" s="307" customFormat="1" ht="19.5" customHeight="1">
      <c r="A299" s="189"/>
      <c r="B299" s="190"/>
      <c r="C299" s="480" t="s">
        <v>937</v>
      </c>
      <c r="D299" s="122">
        <v>15000</v>
      </c>
      <c r="E299" s="4">
        <v>15000</v>
      </c>
      <c r="F299" s="4">
        <v>33737</v>
      </c>
      <c r="G299" s="137">
        <f t="shared" si="10"/>
        <v>2.2491333333333334</v>
      </c>
      <c r="H299" s="286"/>
      <c r="I299" s="306"/>
    </row>
    <row r="300" spans="1:9" s="307" customFormat="1" ht="19.5" customHeight="1">
      <c r="A300" s="189"/>
      <c r="B300" s="191"/>
      <c r="C300" s="482" t="s">
        <v>895</v>
      </c>
      <c r="D300" s="154">
        <v>25000</v>
      </c>
      <c r="E300" s="73">
        <v>25000</v>
      </c>
      <c r="F300" s="73">
        <v>23800</v>
      </c>
      <c r="G300" s="145">
        <f t="shared" si="10"/>
        <v>0.952</v>
      </c>
      <c r="H300" s="286"/>
      <c r="I300" s="306"/>
    </row>
    <row r="301" spans="1:8" ht="19.5" customHeight="1">
      <c r="A301" s="110"/>
      <c r="B301" s="32">
        <v>75622</v>
      </c>
      <c r="C301" s="39" t="s">
        <v>368</v>
      </c>
      <c r="D301" s="408">
        <f>SUM(D302:D303)</f>
        <v>35370642</v>
      </c>
      <c r="E301" s="48">
        <f>SUM(E302:E303)</f>
        <v>35370642</v>
      </c>
      <c r="F301" s="48">
        <f>SUM(F302:F303)</f>
        <v>34889268</v>
      </c>
      <c r="G301" s="184">
        <f t="shared" si="10"/>
        <v>0.9863905778130915</v>
      </c>
      <c r="H301" s="285"/>
    </row>
    <row r="302" spans="1:8" ht="19.5" customHeight="1">
      <c r="A302" s="8"/>
      <c r="B302" s="59"/>
      <c r="C302" s="435" t="s">
        <v>938</v>
      </c>
      <c r="D302" s="69">
        <v>32870642</v>
      </c>
      <c r="E302" s="571">
        <v>32870642</v>
      </c>
      <c r="F302" s="571">
        <v>32100971</v>
      </c>
      <c r="G302" s="399">
        <f t="shared" si="10"/>
        <v>0.9765848503962898</v>
      </c>
      <c r="H302" s="268"/>
    </row>
    <row r="303" spans="1:8" ht="19.5" customHeight="1">
      <c r="A303" s="10"/>
      <c r="B303" s="58"/>
      <c r="C303" s="434" t="s">
        <v>508</v>
      </c>
      <c r="D303" s="150">
        <v>2500000</v>
      </c>
      <c r="E303" s="149">
        <v>2500000</v>
      </c>
      <c r="F303" s="149">
        <v>2788297</v>
      </c>
      <c r="G303" s="185">
        <f t="shared" si="10"/>
        <v>1.1153188</v>
      </c>
      <c r="H303" s="268"/>
    </row>
    <row r="304" spans="1:8" ht="19.5" customHeight="1">
      <c r="A304" s="133">
        <v>801</v>
      </c>
      <c r="B304" s="134"/>
      <c r="C304" s="183" t="s">
        <v>347</v>
      </c>
      <c r="D304" s="445">
        <f>D305+D308+D311+D315+D318+D323+D327+D330+D332+D336</f>
        <v>77950</v>
      </c>
      <c r="E304" s="135">
        <f>E305+E308+E311+E315+E318+E323+E327+E330+E332+E336</f>
        <v>25257</v>
      </c>
      <c r="F304" s="135">
        <f>F305+F308+F311+F315+F318+F321+F323+F327+F330+F332+F336</f>
        <v>120895</v>
      </c>
      <c r="G304" s="140">
        <f t="shared" si="10"/>
        <v>4.78659381557588</v>
      </c>
      <c r="H304" s="259"/>
    </row>
    <row r="305" spans="1:8" ht="19.5" customHeight="1">
      <c r="A305" s="110"/>
      <c r="B305" s="32">
        <v>80102</v>
      </c>
      <c r="C305" s="477" t="s">
        <v>400</v>
      </c>
      <c r="D305" s="139">
        <f>D306+D307</f>
        <v>1800</v>
      </c>
      <c r="E305" s="64">
        <f>E306+E307</f>
        <v>1624</v>
      </c>
      <c r="F305" s="64">
        <f>F306+F307</f>
        <v>1216</v>
      </c>
      <c r="G305" s="108">
        <f t="shared" si="10"/>
        <v>0.7487684729064039</v>
      </c>
      <c r="H305" s="249"/>
    </row>
    <row r="306" spans="1:8" ht="19.5" customHeight="1">
      <c r="A306" s="8"/>
      <c r="B306" s="9"/>
      <c r="C306" s="435" t="s">
        <v>438</v>
      </c>
      <c r="D306" s="130">
        <v>300</v>
      </c>
      <c r="E306" s="130">
        <v>124</v>
      </c>
      <c r="F306" s="130">
        <v>129</v>
      </c>
      <c r="G306" s="333">
        <f t="shared" si="10"/>
        <v>1.0403225806451613</v>
      </c>
      <c r="H306" s="65"/>
    </row>
    <row r="307" spans="1:8" ht="38.25" customHeight="1">
      <c r="A307" s="8"/>
      <c r="B307" s="58"/>
      <c r="C307" s="486" t="s">
        <v>865</v>
      </c>
      <c r="D307" s="50">
        <v>1500</v>
      </c>
      <c r="E307" s="50">
        <v>1500</v>
      </c>
      <c r="F307" s="50">
        <v>1087</v>
      </c>
      <c r="G307" s="337">
        <f t="shared" si="10"/>
        <v>0.7246666666666667</v>
      </c>
      <c r="H307" s="237"/>
    </row>
    <row r="308" spans="1:8" ht="19.5" customHeight="1">
      <c r="A308" s="110"/>
      <c r="B308" s="32">
        <v>80111</v>
      </c>
      <c r="C308" s="477" t="s">
        <v>401</v>
      </c>
      <c r="D308" s="139">
        <f>D309+D310</f>
        <v>2500</v>
      </c>
      <c r="E308" s="64">
        <f>E309+E310</f>
        <v>560</v>
      </c>
      <c r="F308" s="64">
        <f>F309+F310</f>
        <v>661</v>
      </c>
      <c r="G308" s="108">
        <f t="shared" si="10"/>
        <v>1.1803571428571429</v>
      </c>
      <c r="H308" s="249"/>
    </row>
    <row r="309" spans="1:8" ht="19.5" customHeight="1">
      <c r="A309" s="8"/>
      <c r="B309" s="9"/>
      <c r="C309" s="435" t="s">
        <v>438</v>
      </c>
      <c r="D309" s="130">
        <v>2000</v>
      </c>
      <c r="E309" s="130">
        <v>60</v>
      </c>
      <c r="F309" s="130">
        <v>61</v>
      </c>
      <c r="G309" s="333">
        <f t="shared" si="10"/>
        <v>1.0166666666666666</v>
      </c>
      <c r="H309" s="257"/>
    </row>
    <row r="310" spans="1:8" ht="40.5" customHeight="1">
      <c r="A310" s="8"/>
      <c r="B310" s="58"/>
      <c r="C310" s="486" t="s">
        <v>865</v>
      </c>
      <c r="D310" s="109">
        <v>500</v>
      </c>
      <c r="E310" s="109">
        <v>500</v>
      </c>
      <c r="F310" s="109">
        <v>600</v>
      </c>
      <c r="G310" s="325">
        <f t="shared" si="10"/>
        <v>1.2</v>
      </c>
      <c r="H310" s="65"/>
    </row>
    <row r="311" spans="1:8" ht="19.5" customHeight="1">
      <c r="A311" s="110"/>
      <c r="B311" s="32">
        <v>80120</v>
      </c>
      <c r="C311" s="477" t="s">
        <v>359</v>
      </c>
      <c r="D311" s="139">
        <f>D312+D313</f>
        <v>21000</v>
      </c>
      <c r="E311" s="64">
        <f>E312+E313</f>
        <v>7124</v>
      </c>
      <c r="F311" s="64">
        <f>F312+F313+F314</f>
        <v>31114</v>
      </c>
      <c r="G311" s="108">
        <f t="shared" si="10"/>
        <v>4.367490174059517</v>
      </c>
      <c r="H311" s="249"/>
    </row>
    <row r="312" spans="1:8" ht="19.5" customHeight="1">
      <c r="A312" s="110"/>
      <c r="B312" s="30"/>
      <c r="C312" s="435" t="s">
        <v>438</v>
      </c>
      <c r="D312" s="130">
        <v>15000</v>
      </c>
      <c r="E312" s="130">
        <v>1124</v>
      </c>
      <c r="F312" s="130">
        <v>1195</v>
      </c>
      <c r="G312" s="333">
        <f t="shared" si="10"/>
        <v>1.063167259786477</v>
      </c>
      <c r="H312" s="287"/>
    </row>
    <row r="313" spans="1:8" ht="40.5" customHeight="1">
      <c r="A313" s="8"/>
      <c r="B313" s="59"/>
      <c r="C313" s="427" t="s">
        <v>865</v>
      </c>
      <c r="D313" s="122">
        <v>6000</v>
      </c>
      <c r="E313" s="122">
        <v>6000</v>
      </c>
      <c r="F313" s="122">
        <v>6607</v>
      </c>
      <c r="G313" s="330">
        <f t="shared" si="10"/>
        <v>1.1011666666666666</v>
      </c>
      <c r="H313" s="255"/>
    </row>
    <row r="314" spans="1:8" ht="19.5" customHeight="1">
      <c r="A314" s="8"/>
      <c r="B314" s="59"/>
      <c r="C314" s="486" t="s">
        <v>891</v>
      </c>
      <c r="D314" s="50"/>
      <c r="E314" s="50"/>
      <c r="F314" s="50">
        <f>180+23132</f>
        <v>23312</v>
      </c>
      <c r="G314" s="337"/>
      <c r="H314" s="238"/>
    </row>
    <row r="315" spans="1:8" ht="19.5" customHeight="1">
      <c r="A315" s="110"/>
      <c r="B315" s="141">
        <v>80121</v>
      </c>
      <c r="C315" s="128" t="s">
        <v>402</v>
      </c>
      <c r="D315" s="448">
        <f>D316+D317</f>
        <v>550</v>
      </c>
      <c r="E315" s="157">
        <f>E316+E317</f>
        <v>355</v>
      </c>
      <c r="F315" s="157">
        <f>F316+F317</f>
        <v>331</v>
      </c>
      <c r="G315" s="142">
        <f t="shared" si="10"/>
        <v>0.9323943661971831</v>
      </c>
      <c r="H315" s="247"/>
    </row>
    <row r="316" spans="1:8" ht="19.5" customHeight="1">
      <c r="A316" s="8"/>
      <c r="B316" s="9"/>
      <c r="C316" s="435" t="s">
        <v>438</v>
      </c>
      <c r="D316" s="111">
        <v>250</v>
      </c>
      <c r="E316" s="111">
        <v>55</v>
      </c>
      <c r="F316" s="111">
        <v>55</v>
      </c>
      <c r="G316" s="326">
        <f t="shared" si="10"/>
        <v>1</v>
      </c>
      <c r="H316" s="238"/>
    </row>
    <row r="317" spans="1:8" ht="39" customHeight="1">
      <c r="A317" s="8"/>
      <c r="B317" s="58"/>
      <c r="C317" s="486" t="s">
        <v>865</v>
      </c>
      <c r="D317" s="50">
        <v>300</v>
      </c>
      <c r="E317" s="50">
        <v>300</v>
      </c>
      <c r="F317" s="50">
        <v>276</v>
      </c>
      <c r="G317" s="337">
        <f t="shared" si="10"/>
        <v>0.92</v>
      </c>
      <c r="H317" s="236"/>
    </row>
    <row r="318" spans="1:8" ht="19.5" customHeight="1">
      <c r="A318" s="110"/>
      <c r="B318" s="32">
        <v>80123</v>
      </c>
      <c r="C318" s="477" t="s">
        <v>390</v>
      </c>
      <c r="D318" s="100">
        <f>D319+D320</f>
        <v>1100</v>
      </c>
      <c r="E318" s="7">
        <f>E319+E320</f>
        <v>837</v>
      </c>
      <c r="F318" s="7">
        <f>F319+F320</f>
        <v>1136</v>
      </c>
      <c r="G318" s="102">
        <f t="shared" si="10"/>
        <v>1.3572281959378734</v>
      </c>
      <c r="H318" s="247"/>
    </row>
    <row r="319" spans="1:8" ht="19.5" customHeight="1">
      <c r="A319" s="10"/>
      <c r="B319" s="38"/>
      <c r="C319" s="493" t="s">
        <v>438</v>
      </c>
      <c r="D319" s="51">
        <v>400</v>
      </c>
      <c r="E319" s="51">
        <v>137</v>
      </c>
      <c r="F319" s="51">
        <v>145</v>
      </c>
      <c r="G319" s="349">
        <f t="shared" si="10"/>
        <v>1.0583941605839415</v>
      </c>
      <c r="H319" s="236"/>
    </row>
    <row r="320" spans="1:8" ht="40.5" customHeight="1">
      <c r="A320" s="8"/>
      <c r="B320" s="58"/>
      <c r="C320" s="486" t="s">
        <v>865</v>
      </c>
      <c r="D320" s="50">
        <v>700</v>
      </c>
      <c r="E320" s="12">
        <v>700</v>
      </c>
      <c r="F320" s="50">
        <v>991</v>
      </c>
      <c r="G320" s="337">
        <f t="shared" si="10"/>
        <v>1.4157142857142857</v>
      </c>
      <c r="H320" s="237"/>
    </row>
    <row r="321" spans="1:16" s="517" customFormat="1" ht="19.5" customHeight="1">
      <c r="A321" s="110"/>
      <c r="B321" s="99">
        <v>80124</v>
      </c>
      <c r="C321" s="39" t="s">
        <v>340</v>
      </c>
      <c r="D321" s="100"/>
      <c r="E321" s="7"/>
      <c r="F321" s="100">
        <f>F322</f>
        <v>61</v>
      </c>
      <c r="G321" s="323"/>
      <c r="H321" s="247"/>
      <c r="I321" s="303"/>
      <c r="J321" s="80"/>
      <c r="K321" s="80"/>
      <c r="L321" s="80"/>
      <c r="M321" s="80"/>
      <c r="N321" s="80"/>
      <c r="O321" s="80"/>
      <c r="P321" s="80"/>
    </row>
    <row r="322" spans="1:8" ht="39" customHeight="1">
      <c r="A322" s="8"/>
      <c r="B322" s="58"/>
      <c r="C322" s="486" t="s">
        <v>865</v>
      </c>
      <c r="D322" s="50"/>
      <c r="E322" s="12"/>
      <c r="F322" s="50">
        <v>61</v>
      </c>
      <c r="G322" s="337"/>
      <c r="H322" s="236"/>
    </row>
    <row r="323" spans="1:8" ht="19.5" customHeight="1">
      <c r="A323" s="110"/>
      <c r="B323" s="32">
        <v>80130</v>
      </c>
      <c r="C323" s="477" t="s">
        <v>360</v>
      </c>
      <c r="D323" s="139">
        <f>D324+D325+D326</f>
        <v>39500</v>
      </c>
      <c r="E323" s="64">
        <f>E324+E325+E326</f>
        <v>11118</v>
      </c>
      <c r="F323" s="64">
        <f>F324+F325+F326</f>
        <v>66989</v>
      </c>
      <c r="G323" s="108">
        <f t="shared" si="10"/>
        <v>6.025274329915453</v>
      </c>
      <c r="H323" s="247"/>
    </row>
    <row r="324" spans="1:8" ht="19.5" customHeight="1">
      <c r="A324" s="23"/>
      <c r="B324" s="8"/>
      <c r="C324" s="435" t="s">
        <v>438</v>
      </c>
      <c r="D324" s="130">
        <v>31000</v>
      </c>
      <c r="E324" s="74">
        <v>2618</v>
      </c>
      <c r="F324" s="74">
        <v>2629</v>
      </c>
      <c r="G324" s="34">
        <f t="shared" si="10"/>
        <v>1.004201680672269</v>
      </c>
      <c r="H324" s="236"/>
    </row>
    <row r="325" spans="1:8" ht="39" customHeight="1">
      <c r="A325" s="8"/>
      <c r="B325" s="11"/>
      <c r="C325" s="427" t="s">
        <v>865</v>
      </c>
      <c r="D325" s="120">
        <v>8500</v>
      </c>
      <c r="E325" s="120">
        <v>8500</v>
      </c>
      <c r="F325" s="120">
        <v>6713</v>
      </c>
      <c r="G325" s="329">
        <f t="shared" si="10"/>
        <v>0.7897647058823529</v>
      </c>
      <c r="H325" s="238"/>
    </row>
    <row r="326" spans="1:8" ht="19.5" customHeight="1">
      <c r="A326" s="8"/>
      <c r="B326" s="58"/>
      <c r="C326" s="434" t="s">
        <v>891</v>
      </c>
      <c r="D326" s="50"/>
      <c r="E326" s="50"/>
      <c r="F326" s="50">
        <f>4666+52981</f>
        <v>57647</v>
      </c>
      <c r="G326" s="337"/>
      <c r="H326" s="236"/>
    </row>
    <row r="327" spans="1:8" ht="19.5" customHeight="1">
      <c r="A327" s="110"/>
      <c r="B327" s="32">
        <v>80132</v>
      </c>
      <c r="C327" s="39" t="s">
        <v>363</v>
      </c>
      <c r="D327" s="139">
        <f>D328+D329</f>
        <v>2200</v>
      </c>
      <c r="E327" s="64">
        <f>E328+E329</f>
        <v>951</v>
      </c>
      <c r="F327" s="64">
        <f>F328+F329</f>
        <v>867</v>
      </c>
      <c r="G327" s="108">
        <f t="shared" si="10"/>
        <v>0.9116719242902208</v>
      </c>
      <c r="H327" s="285"/>
    </row>
    <row r="328" spans="1:8" ht="19.5" customHeight="1">
      <c r="A328" s="110"/>
      <c r="B328" s="33"/>
      <c r="C328" s="416" t="s">
        <v>438</v>
      </c>
      <c r="D328" s="130">
        <v>1500</v>
      </c>
      <c r="E328" s="130">
        <v>251</v>
      </c>
      <c r="F328" s="130">
        <v>251</v>
      </c>
      <c r="G328" s="333">
        <f t="shared" si="10"/>
        <v>1</v>
      </c>
      <c r="H328" s="285"/>
    </row>
    <row r="329" spans="1:8" ht="39.75" customHeight="1">
      <c r="A329" s="8"/>
      <c r="B329" s="58"/>
      <c r="C329" s="486" t="s">
        <v>865</v>
      </c>
      <c r="D329" s="50">
        <v>700</v>
      </c>
      <c r="E329" s="50">
        <v>700</v>
      </c>
      <c r="F329" s="50">
        <v>616</v>
      </c>
      <c r="G329" s="337">
        <f t="shared" si="10"/>
        <v>0.88</v>
      </c>
      <c r="H329" s="265"/>
    </row>
    <row r="330" spans="1:8" ht="19.5" customHeight="1">
      <c r="A330" s="8"/>
      <c r="B330" s="141">
        <v>80134</v>
      </c>
      <c r="C330" s="128" t="s">
        <v>362</v>
      </c>
      <c r="D330" s="129">
        <f>D331</f>
        <v>800</v>
      </c>
      <c r="E330" s="2">
        <f>E331</f>
        <v>800</v>
      </c>
      <c r="F330" s="2">
        <f>SUM(F331:F331)</f>
        <v>678</v>
      </c>
      <c r="G330" s="101">
        <f t="shared" si="10"/>
        <v>0.8475</v>
      </c>
      <c r="H330" s="236"/>
    </row>
    <row r="331" spans="1:8" ht="40.5" customHeight="1">
      <c r="A331" s="8"/>
      <c r="B331" s="58"/>
      <c r="C331" s="486" t="s">
        <v>865</v>
      </c>
      <c r="D331" s="50">
        <v>800</v>
      </c>
      <c r="E331" s="50">
        <v>800</v>
      </c>
      <c r="F331" s="50">
        <v>678</v>
      </c>
      <c r="G331" s="337">
        <f t="shared" si="10"/>
        <v>0.8475</v>
      </c>
      <c r="H331" s="237"/>
    </row>
    <row r="332" spans="1:8" ht="25.5" customHeight="1">
      <c r="A332" s="8"/>
      <c r="B332" s="193">
        <v>80140</v>
      </c>
      <c r="C332" s="477" t="s">
        <v>403</v>
      </c>
      <c r="D332" s="139">
        <f>D333+D334</f>
        <v>8500</v>
      </c>
      <c r="E332" s="64">
        <f>E333+E334</f>
        <v>1888</v>
      </c>
      <c r="F332" s="64">
        <f>F333+F334+F335</f>
        <v>7363</v>
      </c>
      <c r="G332" s="108">
        <f t="shared" si="10"/>
        <v>3.8998940677966103</v>
      </c>
      <c r="H332" s="236"/>
    </row>
    <row r="333" spans="1:8" ht="19.5" customHeight="1">
      <c r="A333" s="8"/>
      <c r="B333" s="409"/>
      <c r="C333" s="480" t="s">
        <v>438</v>
      </c>
      <c r="D333" s="120">
        <v>7000</v>
      </c>
      <c r="E333" s="120">
        <v>388</v>
      </c>
      <c r="F333" s="120">
        <v>391</v>
      </c>
      <c r="G333" s="329">
        <f t="shared" si="10"/>
        <v>1.0077319587628866</v>
      </c>
      <c r="H333" s="236"/>
    </row>
    <row r="334" spans="1:8" ht="39" customHeight="1">
      <c r="A334" s="8"/>
      <c r="B334" s="59"/>
      <c r="C334" s="427" t="s">
        <v>865</v>
      </c>
      <c r="D334" s="410">
        <v>1500</v>
      </c>
      <c r="E334" s="410">
        <v>1500</v>
      </c>
      <c r="F334" s="410">
        <v>1404</v>
      </c>
      <c r="G334" s="606">
        <f t="shared" si="10"/>
        <v>0.936</v>
      </c>
      <c r="H334" s="236"/>
    </row>
    <row r="335" spans="1:8" ht="19.5" customHeight="1">
      <c r="A335" s="8"/>
      <c r="B335" s="58"/>
      <c r="C335" s="486" t="s">
        <v>891</v>
      </c>
      <c r="D335" s="50"/>
      <c r="E335" s="50"/>
      <c r="F335" s="50">
        <f>5000+568</f>
        <v>5568</v>
      </c>
      <c r="G335" s="337"/>
      <c r="H335" s="236"/>
    </row>
    <row r="336" spans="1:9" s="80" customFormat="1" ht="19.5" customHeight="1">
      <c r="A336" s="110"/>
      <c r="B336" s="99">
        <v>80197</v>
      </c>
      <c r="C336" s="39" t="s">
        <v>473</v>
      </c>
      <c r="D336" s="100"/>
      <c r="E336" s="100"/>
      <c r="F336" s="100">
        <f>F337</f>
        <v>10479</v>
      </c>
      <c r="G336" s="323"/>
      <c r="H336" s="247"/>
      <c r="I336" s="303"/>
    </row>
    <row r="337" spans="1:8" ht="19.5" customHeight="1">
      <c r="A337" s="8"/>
      <c r="B337" s="59"/>
      <c r="C337" s="489" t="s">
        <v>515</v>
      </c>
      <c r="D337" s="77"/>
      <c r="E337" s="77"/>
      <c r="F337" s="77">
        <v>10479</v>
      </c>
      <c r="G337" s="320"/>
      <c r="H337" s="236"/>
    </row>
    <row r="338" spans="1:8" ht="19.5" customHeight="1">
      <c r="A338" s="649"/>
      <c r="B338" s="650"/>
      <c r="C338" s="655"/>
      <c r="D338" s="656"/>
      <c r="E338" s="656"/>
      <c r="F338" s="656"/>
      <c r="G338" s="654"/>
      <c r="H338" s="657"/>
    </row>
    <row r="339" spans="2:8" ht="19.5" customHeight="1">
      <c r="B339" s="381"/>
      <c r="C339" s="663"/>
      <c r="D339" s="624"/>
      <c r="E339" s="624"/>
      <c r="F339" s="624"/>
      <c r="G339" s="556"/>
      <c r="H339" s="657"/>
    </row>
    <row r="340" spans="1:8" ht="19.5" customHeight="1">
      <c r="A340" s="123">
        <v>852</v>
      </c>
      <c r="B340" s="96"/>
      <c r="C340" s="96" t="s">
        <v>463</v>
      </c>
      <c r="D340" s="447">
        <f>D341+D346+D352+D354+D357</f>
        <v>3020700</v>
      </c>
      <c r="E340" s="155">
        <f>E341+E346+E352+E354+E357</f>
        <v>3023795</v>
      </c>
      <c r="F340" s="155">
        <f>F341+F346+F352+F354+F357</f>
        <v>2950429</v>
      </c>
      <c r="G340" s="344">
        <f t="shared" si="10"/>
        <v>0.9757371118081748</v>
      </c>
      <c r="H340" s="256"/>
    </row>
    <row r="341" spans="1:8" ht="19.5" customHeight="1">
      <c r="A341" s="110"/>
      <c r="B341" s="32">
        <v>85201</v>
      </c>
      <c r="C341" s="32" t="s">
        <v>392</v>
      </c>
      <c r="D341" s="100">
        <f>D342+D343+D344+D345</f>
        <v>22100</v>
      </c>
      <c r="E341" s="7">
        <f>E342+E343+E344+E345</f>
        <v>19519</v>
      </c>
      <c r="F341" s="7">
        <f>F342+F343+F344+F345</f>
        <v>12620</v>
      </c>
      <c r="G341" s="102">
        <f t="shared" si="10"/>
        <v>0.6465495158563451</v>
      </c>
      <c r="H341" s="247"/>
    </row>
    <row r="342" spans="1:17" s="84" customFormat="1" ht="19.5" customHeight="1">
      <c r="A342" s="8"/>
      <c r="B342" s="31"/>
      <c r="C342" s="435" t="s">
        <v>509</v>
      </c>
      <c r="D342" s="130">
        <v>18000</v>
      </c>
      <c r="E342" s="130">
        <v>18000</v>
      </c>
      <c r="F342" s="130">
        <v>10393</v>
      </c>
      <c r="G342" s="333">
        <f t="shared" si="10"/>
        <v>0.5773888888888888</v>
      </c>
      <c r="H342" s="267"/>
      <c r="I342" s="37"/>
      <c r="J342" s="28"/>
      <c r="K342" s="28"/>
      <c r="L342" s="28"/>
      <c r="M342" s="28"/>
      <c r="N342" s="28"/>
      <c r="O342" s="28"/>
      <c r="P342" s="28"/>
      <c r="Q342" s="28"/>
    </row>
    <row r="343" spans="1:9" s="84" customFormat="1" ht="19.5" customHeight="1">
      <c r="A343" s="8"/>
      <c r="B343" s="59"/>
      <c r="C343" s="480" t="s">
        <v>438</v>
      </c>
      <c r="D343" s="120">
        <v>3000</v>
      </c>
      <c r="E343" s="120">
        <v>419</v>
      </c>
      <c r="F343" s="120">
        <v>419</v>
      </c>
      <c r="G343" s="329">
        <f t="shared" si="10"/>
        <v>1</v>
      </c>
      <c r="H343" s="288"/>
      <c r="I343" s="118"/>
    </row>
    <row r="344" spans="1:9" s="84" customFormat="1" ht="38.25" customHeight="1">
      <c r="A344" s="8"/>
      <c r="B344" s="59"/>
      <c r="C344" s="481" t="s">
        <v>865</v>
      </c>
      <c r="D344" s="120">
        <v>1100</v>
      </c>
      <c r="E344" s="120">
        <v>1100</v>
      </c>
      <c r="F344" s="120">
        <v>995</v>
      </c>
      <c r="G344" s="329">
        <f t="shared" si="10"/>
        <v>0.9045454545454545</v>
      </c>
      <c r="H344" s="289"/>
      <c r="I344" s="118"/>
    </row>
    <row r="345" spans="1:9" s="84" customFormat="1" ht="19.5" customHeight="1">
      <c r="A345" s="8"/>
      <c r="B345" s="58"/>
      <c r="C345" s="434" t="s">
        <v>440</v>
      </c>
      <c r="D345" s="109"/>
      <c r="E345" s="109"/>
      <c r="F345" s="109">
        <f>49+764</f>
        <v>813</v>
      </c>
      <c r="G345" s="325"/>
      <c r="H345" s="267"/>
      <c r="I345" s="118"/>
    </row>
    <row r="346" spans="1:9" s="84" customFormat="1" ht="19.5" customHeight="1">
      <c r="A346" s="110"/>
      <c r="B346" s="32">
        <v>85202</v>
      </c>
      <c r="C346" s="32" t="s">
        <v>352</v>
      </c>
      <c r="D346" s="100">
        <f>SUM(D347:D351)</f>
        <v>2978100</v>
      </c>
      <c r="E346" s="7">
        <f>SUM(E347:E351)</f>
        <v>2984158</v>
      </c>
      <c r="F346" s="7">
        <f>SUM(F347:F351)</f>
        <v>2906312</v>
      </c>
      <c r="G346" s="102">
        <f t="shared" si="10"/>
        <v>0.9739135796429009</v>
      </c>
      <c r="H346" s="285"/>
      <c r="I346" s="118"/>
    </row>
    <row r="347" spans="1:9" s="84" customFormat="1" ht="19.5" customHeight="1">
      <c r="A347" s="8"/>
      <c r="B347" s="31"/>
      <c r="C347" s="435" t="s">
        <v>365</v>
      </c>
      <c r="D347" s="130">
        <v>2950000</v>
      </c>
      <c r="E347" s="74">
        <v>2950000</v>
      </c>
      <c r="F347" s="74">
        <v>2863044</v>
      </c>
      <c r="G347" s="34">
        <f t="shared" si="10"/>
        <v>0.9705233898305085</v>
      </c>
      <c r="H347" s="290"/>
      <c r="I347" s="118"/>
    </row>
    <row r="348" spans="1:9" s="84" customFormat="1" ht="19.5" customHeight="1">
      <c r="A348" s="8"/>
      <c r="B348" s="59"/>
      <c r="C348" s="479" t="s">
        <v>438</v>
      </c>
      <c r="D348" s="113">
        <v>18000</v>
      </c>
      <c r="E348" s="113">
        <v>1548</v>
      </c>
      <c r="F348" s="113">
        <v>1728</v>
      </c>
      <c r="G348" s="327">
        <f t="shared" si="10"/>
        <v>1.1162790697674418</v>
      </c>
      <c r="H348" s="268"/>
      <c r="I348" s="118"/>
    </row>
    <row r="349" spans="1:9" s="84" customFormat="1" ht="38.25" customHeight="1">
      <c r="A349" s="8"/>
      <c r="B349" s="59"/>
      <c r="C349" s="427" t="s">
        <v>865</v>
      </c>
      <c r="D349" s="120">
        <v>1800</v>
      </c>
      <c r="E349" s="120">
        <v>1800</v>
      </c>
      <c r="F349" s="120">
        <v>1552</v>
      </c>
      <c r="G349" s="329">
        <f t="shared" si="10"/>
        <v>0.8622222222222222</v>
      </c>
      <c r="H349" s="288"/>
      <c r="I349" s="118"/>
    </row>
    <row r="350" spans="1:9" s="84" customFormat="1" ht="25.5" customHeight="1">
      <c r="A350" s="8"/>
      <c r="B350" s="59"/>
      <c r="C350" s="481" t="s">
        <v>481</v>
      </c>
      <c r="D350" s="113"/>
      <c r="E350" s="113">
        <v>22510</v>
      </c>
      <c r="F350" s="113">
        <v>20047</v>
      </c>
      <c r="G350" s="327">
        <f t="shared" si="10"/>
        <v>0.8905819635717459</v>
      </c>
      <c r="H350" s="267"/>
      <c r="I350" s="118"/>
    </row>
    <row r="351" spans="1:9" s="84" customFormat="1" ht="19.5" customHeight="1">
      <c r="A351" s="8"/>
      <c r="B351" s="58"/>
      <c r="C351" s="434" t="s">
        <v>440</v>
      </c>
      <c r="D351" s="109">
        <v>8300</v>
      </c>
      <c r="E351" s="109">
        <v>8300</v>
      </c>
      <c r="F351" s="109">
        <f>10515+533+8893</f>
        <v>19941</v>
      </c>
      <c r="G351" s="325">
        <f t="shared" si="10"/>
        <v>2.4025301204819276</v>
      </c>
      <c r="H351" s="268"/>
      <c r="I351" s="118"/>
    </row>
    <row r="352" spans="1:9" s="80" customFormat="1" ht="19.5" customHeight="1">
      <c r="A352" s="110"/>
      <c r="B352" s="99">
        <v>85203</v>
      </c>
      <c r="C352" s="141" t="s">
        <v>414</v>
      </c>
      <c r="D352" s="467">
        <f>D353</f>
        <v>2000</v>
      </c>
      <c r="E352" s="43">
        <f>E353</f>
        <v>2000</v>
      </c>
      <c r="F352" s="43">
        <f>F353</f>
        <v>4367</v>
      </c>
      <c r="G352" s="192">
        <f t="shared" si="10"/>
        <v>2.1835</v>
      </c>
      <c r="H352" s="291"/>
      <c r="I352" s="303"/>
    </row>
    <row r="353" spans="1:9" s="84" customFormat="1" ht="25.5" customHeight="1">
      <c r="A353" s="8"/>
      <c r="B353" s="55"/>
      <c r="C353" s="476" t="s">
        <v>948</v>
      </c>
      <c r="D353" s="640">
        <v>2000</v>
      </c>
      <c r="E353" s="640">
        <v>2000</v>
      </c>
      <c r="F353" s="640">
        <v>4367</v>
      </c>
      <c r="G353" s="612">
        <f t="shared" si="10"/>
        <v>2.1835</v>
      </c>
      <c r="H353" s="268"/>
      <c r="I353" s="118"/>
    </row>
    <row r="354" spans="1:9" s="80" customFormat="1" ht="19.5" customHeight="1">
      <c r="A354" s="110"/>
      <c r="B354" s="99">
        <v>85204</v>
      </c>
      <c r="C354" s="32" t="s">
        <v>422</v>
      </c>
      <c r="D354" s="408">
        <f>D355</f>
        <v>18000</v>
      </c>
      <c r="E354" s="48">
        <f>E355</f>
        <v>18000</v>
      </c>
      <c r="F354" s="48">
        <f>F355+F356</f>
        <v>27078</v>
      </c>
      <c r="G354" s="184">
        <f t="shared" si="10"/>
        <v>1.5043333333333333</v>
      </c>
      <c r="H354" s="291"/>
      <c r="I354" s="303"/>
    </row>
    <row r="355" spans="1:9" s="84" customFormat="1" ht="19.5" customHeight="1">
      <c r="A355" s="8"/>
      <c r="B355" s="31"/>
      <c r="C355" s="488" t="s">
        <v>939</v>
      </c>
      <c r="D355" s="69">
        <v>18000</v>
      </c>
      <c r="E355" s="69">
        <v>18000</v>
      </c>
      <c r="F355" s="69">
        <v>12846</v>
      </c>
      <c r="G355" s="399">
        <f t="shared" si="10"/>
        <v>0.7136666666666667</v>
      </c>
      <c r="H355" s="268"/>
      <c r="I355" s="118"/>
    </row>
    <row r="356" spans="1:9" s="84" customFormat="1" ht="19.5" customHeight="1">
      <c r="A356" s="8"/>
      <c r="B356" s="58"/>
      <c r="C356" s="6" t="s">
        <v>891</v>
      </c>
      <c r="D356" s="150"/>
      <c r="E356" s="150"/>
      <c r="F356" s="150">
        <v>14232</v>
      </c>
      <c r="G356" s="340"/>
      <c r="H356" s="268"/>
      <c r="I356" s="118"/>
    </row>
    <row r="357" spans="1:9" s="84" customFormat="1" ht="19.5" customHeight="1">
      <c r="A357" s="110"/>
      <c r="B357" s="32">
        <v>85226</v>
      </c>
      <c r="C357" s="477" t="s">
        <v>399</v>
      </c>
      <c r="D357" s="139">
        <f>SUM(D358:D359)</f>
        <v>500</v>
      </c>
      <c r="E357" s="64">
        <f>SUM(E358:E359)</f>
        <v>118</v>
      </c>
      <c r="F357" s="64">
        <f>SUM(F358:F359)</f>
        <v>52</v>
      </c>
      <c r="G357" s="108">
        <f t="shared" si="10"/>
        <v>0.4406779661016949</v>
      </c>
      <c r="H357" s="285"/>
      <c r="I357" s="118"/>
    </row>
    <row r="358" spans="1:256" s="84" customFormat="1" ht="19.5" customHeight="1">
      <c r="A358" s="110"/>
      <c r="B358" s="33"/>
      <c r="C358" s="435" t="s">
        <v>438</v>
      </c>
      <c r="D358" s="130">
        <v>400</v>
      </c>
      <c r="E358" s="130">
        <v>18</v>
      </c>
      <c r="F358" s="130">
        <v>18</v>
      </c>
      <c r="G358" s="333">
        <f t="shared" si="10"/>
        <v>1</v>
      </c>
      <c r="H358" s="292"/>
      <c r="I358" s="118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  <c r="CJ358" s="83"/>
      <c r="CK358" s="83"/>
      <c r="CL358" s="83"/>
      <c r="CM358" s="83"/>
      <c r="CN358" s="83"/>
      <c r="CO358" s="83"/>
      <c r="CP358" s="83"/>
      <c r="CQ358" s="83"/>
      <c r="CR358" s="83"/>
      <c r="CS358" s="83"/>
      <c r="CT358" s="83"/>
      <c r="CU358" s="83"/>
      <c r="CV358" s="83"/>
      <c r="CW358" s="83"/>
      <c r="CX358" s="83"/>
      <c r="CY358" s="83"/>
      <c r="CZ358" s="83"/>
      <c r="DA358" s="83"/>
      <c r="DB358" s="83"/>
      <c r="DC358" s="83"/>
      <c r="DD358" s="83"/>
      <c r="DE358" s="83"/>
      <c r="DF358" s="83"/>
      <c r="DG358" s="83"/>
      <c r="DH358" s="83"/>
      <c r="DI358" s="83"/>
      <c r="DJ358" s="83"/>
      <c r="DK358" s="83"/>
      <c r="DL358" s="83"/>
      <c r="DM358" s="83"/>
      <c r="DN358" s="83"/>
      <c r="DO358" s="83"/>
      <c r="DP358" s="83"/>
      <c r="DQ358" s="83"/>
      <c r="DR358" s="83"/>
      <c r="DS358" s="83"/>
      <c r="DT358" s="83"/>
      <c r="DU358" s="83"/>
      <c r="DV358" s="83"/>
      <c r="DW358" s="83"/>
      <c r="DX358" s="83"/>
      <c r="DY358" s="83"/>
      <c r="DZ358" s="83"/>
      <c r="EA358" s="83"/>
      <c r="EB358" s="83"/>
      <c r="EC358" s="83"/>
      <c r="ED358" s="83"/>
      <c r="EE358" s="83"/>
      <c r="EF358" s="83"/>
      <c r="EG358" s="83"/>
      <c r="EH358" s="83"/>
      <c r="EI358" s="83"/>
      <c r="EJ358" s="83"/>
      <c r="EK358" s="83"/>
      <c r="EL358" s="83"/>
      <c r="EM358" s="83"/>
      <c r="EN358" s="83"/>
      <c r="EO358" s="83"/>
      <c r="EP358" s="83"/>
      <c r="EQ358" s="83"/>
      <c r="ER358" s="83"/>
      <c r="ES358" s="83"/>
      <c r="ET358" s="83"/>
      <c r="EU358" s="83"/>
      <c r="EV358" s="83"/>
      <c r="EW358" s="83"/>
      <c r="EX358" s="83"/>
      <c r="EY358" s="83"/>
      <c r="EZ358" s="83"/>
      <c r="FA358" s="83"/>
      <c r="FB358" s="83"/>
      <c r="FC358" s="83"/>
      <c r="FD358" s="83"/>
      <c r="FE358" s="83"/>
      <c r="FF358" s="83"/>
      <c r="FG358" s="83"/>
      <c r="FH358" s="83"/>
      <c r="FI358" s="83"/>
      <c r="FJ358" s="83"/>
      <c r="FK358" s="83"/>
      <c r="FL358" s="83"/>
      <c r="FM358" s="83"/>
      <c r="FN358" s="83"/>
      <c r="FO358" s="83"/>
      <c r="FP358" s="83"/>
      <c r="FQ358" s="83"/>
      <c r="FR358" s="83"/>
      <c r="FS358" s="83"/>
      <c r="FT358" s="83"/>
      <c r="FU358" s="83"/>
      <c r="FV358" s="83"/>
      <c r="FW358" s="83"/>
      <c r="FX358" s="83"/>
      <c r="FY358" s="83"/>
      <c r="FZ358" s="83"/>
      <c r="GA358" s="83"/>
      <c r="GB358" s="83"/>
      <c r="GC358" s="83"/>
      <c r="GD358" s="83"/>
      <c r="GE358" s="83"/>
      <c r="GF358" s="83"/>
      <c r="GG358" s="83"/>
      <c r="GH358" s="83"/>
      <c r="GI358" s="83"/>
      <c r="GJ358" s="83"/>
      <c r="GK358" s="83"/>
      <c r="GL358" s="83"/>
      <c r="GM358" s="83"/>
      <c r="GN358" s="83"/>
      <c r="GO358" s="83"/>
      <c r="GP358" s="83"/>
      <c r="GQ358" s="83"/>
      <c r="GR358" s="83"/>
      <c r="GS358" s="83"/>
      <c r="GT358" s="83"/>
      <c r="GU358" s="83"/>
      <c r="GV358" s="83"/>
      <c r="GW358" s="83"/>
      <c r="GX358" s="83"/>
      <c r="GY358" s="83"/>
      <c r="GZ358" s="83"/>
      <c r="HA358" s="83"/>
      <c r="HB358" s="83"/>
      <c r="HC358" s="83"/>
      <c r="HD358" s="83"/>
      <c r="HE358" s="83"/>
      <c r="HF358" s="83"/>
      <c r="HG358" s="83"/>
      <c r="HH358" s="83"/>
      <c r="HI358" s="83"/>
      <c r="HJ358" s="83"/>
      <c r="HK358" s="83"/>
      <c r="HL358" s="83"/>
      <c r="HM358" s="83"/>
      <c r="HN358" s="83"/>
      <c r="HO358" s="83"/>
      <c r="HP358" s="83"/>
      <c r="HQ358" s="83"/>
      <c r="HR358" s="83"/>
      <c r="HS358" s="83"/>
      <c r="HT358" s="83"/>
      <c r="HU358" s="83"/>
      <c r="HV358" s="83"/>
      <c r="HW358" s="83"/>
      <c r="HX358" s="83"/>
      <c r="HY358" s="83"/>
      <c r="HZ358" s="83"/>
      <c r="IA358" s="83"/>
      <c r="IB358" s="83"/>
      <c r="IC358" s="83"/>
      <c r="ID358" s="83"/>
      <c r="IE358" s="83"/>
      <c r="IF358" s="83"/>
      <c r="IG358" s="83"/>
      <c r="IH358" s="83"/>
      <c r="II358" s="83"/>
      <c r="IJ358" s="83"/>
      <c r="IK358" s="83"/>
      <c r="IL358" s="83"/>
      <c r="IM358" s="83"/>
      <c r="IN358" s="83"/>
      <c r="IO358" s="83"/>
      <c r="IP358" s="83"/>
      <c r="IQ358" s="83"/>
      <c r="IR358" s="83"/>
      <c r="IS358" s="83"/>
      <c r="IT358" s="83"/>
      <c r="IU358" s="83"/>
      <c r="IV358" s="83"/>
    </row>
    <row r="359" spans="1:256" s="84" customFormat="1" ht="39" customHeight="1">
      <c r="A359" s="10"/>
      <c r="B359" s="58"/>
      <c r="C359" s="486" t="s">
        <v>865</v>
      </c>
      <c r="D359" s="50">
        <v>100</v>
      </c>
      <c r="E359" s="50">
        <v>100</v>
      </c>
      <c r="F359" s="50">
        <v>34</v>
      </c>
      <c r="G359" s="337">
        <f t="shared" si="10"/>
        <v>0.34</v>
      </c>
      <c r="H359" s="238"/>
      <c r="I359" s="118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  <c r="CJ359" s="83"/>
      <c r="CK359" s="83"/>
      <c r="CL359" s="83"/>
      <c r="CM359" s="83"/>
      <c r="CN359" s="83"/>
      <c r="CO359" s="83"/>
      <c r="CP359" s="83"/>
      <c r="CQ359" s="83"/>
      <c r="CR359" s="83"/>
      <c r="CS359" s="83"/>
      <c r="CT359" s="83"/>
      <c r="CU359" s="83"/>
      <c r="CV359" s="83"/>
      <c r="CW359" s="83"/>
      <c r="CX359" s="83"/>
      <c r="CY359" s="83"/>
      <c r="CZ359" s="83"/>
      <c r="DA359" s="83"/>
      <c r="DB359" s="83"/>
      <c r="DC359" s="83"/>
      <c r="DD359" s="83"/>
      <c r="DE359" s="83"/>
      <c r="DF359" s="83"/>
      <c r="DG359" s="83"/>
      <c r="DH359" s="83"/>
      <c r="DI359" s="83"/>
      <c r="DJ359" s="83"/>
      <c r="DK359" s="83"/>
      <c r="DL359" s="83"/>
      <c r="DM359" s="83"/>
      <c r="DN359" s="83"/>
      <c r="DO359" s="83"/>
      <c r="DP359" s="83"/>
      <c r="DQ359" s="83"/>
      <c r="DR359" s="83"/>
      <c r="DS359" s="83"/>
      <c r="DT359" s="83"/>
      <c r="DU359" s="83"/>
      <c r="DV359" s="83"/>
      <c r="DW359" s="83"/>
      <c r="DX359" s="83"/>
      <c r="DY359" s="83"/>
      <c r="DZ359" s="83"/>
      <c r="EA359" s="83"/>
      <c r="EB359" s="83"/>
      <c r="EC359" s="83"/>
      <c r="ED359" s="83"/>
      <c r="EE359" s="83"/>
      <c r="EF359" s="83"/>
      <c r="EG359" s="83"/>
      <c r="EH359" s="83"/>
      <c r="EI359" s="83"/>
      <c r="EJ359" s="83"/>
      <c r="EK359" s="83"/>
      <c r="EL359" s="83"/>
      <c r="EM359" s="83"/>
      <c r="EN359" s="83"/>
      <c r="EO359" s="83"/>
      <c r="EP359" s="83"/>
      <c r="EQ359" s="83"/>
      <c r="ER359" s="83"/>
      <c r="ES359" s="83"/>
      <c r="ET359" s="83"/>
      <c r="EU359" s="83"/>
      <c r="EV359" s="83"/>
      <c r="EW359" s="83"/>
      <c r="EX359" s="83"/>
      <c r="EY359" s="83"/>
      <c r="EZ359" s="83"/>
      <c r="FA359" s="83"/>
      <c r="FB359" s="83"/>
      <c r="FC359" s="83"/>
      <c r="FD359" s="83"/>
      <c r="FE359" s="83"/>
      <c r="FF359" s="83"/>
      <c r="FG359" s="83"/>
      <c r="FH359" s="83"/>
      <c r="FI359" s="83"/>
      <c r="FJ359" s="83"/>
      <c r="FK359" s="83"/>
      <c r="FL359" s="83"/>
      <c r="FM359" s="83"/>
      <c r="FN359" s="83"/>
      <c r="FO359" s="83"/>
      <c r="FP359" s="83"/>
      <c r="FQ359" s="83"/>
      <c r="FR359" s="83"/>
      <c r="FS359" s="83"/>
      <c r="FT359" s="83"/>
      <c r="FU359" s="83"/>
      <c r="FV359" s="83"/>
      <c r="FW359" s="83"/>
      <c r="FX359" s="83"/>
      <c r="FY359" s="83"/>
      <c r="FZ359" s="83"/>
      <c r="GA359" s="83"/>
      <c r="GB359" s="83"/>
      <c r="GC359" s="83"/>
      <c r="GD359" s="83"/>
      <c r="GE359" s="83"/>
      <c r="GF359" s="83"/>
      <c r="GG359" s="83"/>
      <c r="GH359" s="83"/>
      <c r="GI359" s="83"/>
      <c r="GJ359" s="83"/>
      <c r="GK359" s="83"/>
      <c r="GL359" s="83"/>
      <c r="GM359" s="83"/>
      <c r="GN359" s="83"/>
      <c r="GO359" s="83"/>
      <c r="GP359" s="83"/>
      <c r="GQ359" s="83"/>
      <c r="GR359" s="83"/>
      <c r="GS359" s="83"/>
      <c r="GT359" s="83"/>
      <c r="GU359" s="83"/>
      <c r="GV359" s="83"/>
      <c r="GW359" s="83"/>
      <c r="GX359" s="83"/>
      <c r="GY359" s="83"/>
      <c r="GZ359" s="83"/>
      <c r="HA359" s="83"/>
      <c r="HB359" s="83"/>
      <c r="HC359" s="83"/>
      <c r="HD359" s="83"/>
      <c r="HE359" s="83"/>
      <c r="HF359" s="83"/>
      <c r="HG359" s="83"/>
      <c r="HH359" s="83"/>
      <c r="HI359" s="83"/>
      <c r="HJ359" s="83"/>
      <c r="HK359" s="83"/>
      <c r="HL359" s="83"/>
      <c r="HM359" s="83"/>
      <c r="HN359" s="83"/>
      <c r="HO359" s="83"/>
      <c r="HP359" s="83"/>
      <c r="HQ359" s="83"/>
      <c r="HR359" s="83"/>
      <c r="HS359" s="83"/>
      <c r="HT359" s="83"/>
      <c r="HU359" s="83"/>
      <c r="HV359" s="83"/>
      <c r="HW359" s="83"/>
      <c r="HX359" s="83"/>
      <c r="HY359" s="83"/>
      <c r="HZ359" s="83"/>
      <c r="IA359" s="83"/>
      <c r="IB359" s="83"/>
      <c r="IC359" s="83"/>
      <c r="ID359" s="83"/>
      <c r="IE359" s="83"/>
      <c r="IF359" s="83"/>
      <c r="IG359" s="83"/>
      <c r="IH359" s="83"/>
      <c r="II359" s="83"/>
      <c r="IJ359" s="83"/>
      <c r="IK359" s="83"/>
      <c r="IL359" s="83"/>
      <c r="IM359" s="83"/>
      <c r="IN359" s="83"/>
      <c r="IO359" s="83"/>
      <c r="IP359" s="83"/>
      <c r="IQ359" s="83"/>
      <c r="IR359" s="83"/>
      <c r="IS359" s="83"/>
      <c r="IT359" s="83"/>
      <c r="IU359" s="83"/>
      <c r="IV359" s="83"/>
    </row>
    <row r="360" spans="1:256" s="84" customFormat="1" ht="39" customHeight="1">
      <c r="A360" s="649"/>
      <c r="B360" s="650"/>
      <c r="C360" s="655"/>
      <c r="D360" s="656"/>
      <c r="E360" s="656"/>
      <c r="F360" s="656"/>
      <c r="G360" s="654"/>
      <c r="H360" s="556"/>
      <c r="I360" s="118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  <c r="DD360" s="83"/>
      <c r="DE360" s="83"/>
      <c r="DF360" s="83"/>
      <c r="DG360" s="83"/>
      <c r="DH360" s="83"/>
      <c r="DI360" s="83"/>
      <c r="DJ360" s="83"/>
      <c r="DK360" s="83"/>
      <c r="DL360" s="83"/>
      <c r="DM360" s="83"/>
      <c r="DN360" s="83"/>
      <c r="DO360" s="83"/>
      <c r="DP360" s="83"/>
      <c r="DQ360" s="83"/>
      <c r="DR360" s="83"/>
      <c r="DS360" s="83"/>
      <c r="DT360" s="83"/>
      <c r="DU360" s="83"/>
      <c r="DV360" s="83"/>
      <c r="DW360" s="83"/>
      <c r="DX360" s="83"/>
      <c r="DY360" s="83"/>
      <c r="DZ360" s="83"/>
      <c r="EA360" s="83"/>
      <c r="EB360" s="83"/>
      <c r="EC360" s="83"/>
      <c r="ED360" s="83"/>
      <c r="EE360" s="83"/>
      <c r="EF360" s="83"/>
      <c r="EG360" s="83"/>
      <c r="EH360" s="83"/>
      <c r="EI360" s="83"/>
      <c r="EJ360" s="83"/>
      <c r="EK360" s="83"/>
      <c r="EL360" s="83"/>
      <c r="EM360" s="83"/>
      <c r="EN360" s="83"/>
      <c r="EO360" s="83"/>
      <c r="EP360" s="83"/>
      <c r="EQ360" s="83"/>
      <c r="ER360" s="83"/>
      <c r="ES360" s="83"/>
      <c r="ET360" s="83"/>
      <c r="EU360" s="83"/>
      <c r="EV360" s="83"/>
      <c r="EW360" s="83"/>
      <c r="EX360" s="83"/>
      <c r="EY360" s="83"/>
      <c r="EZ360" s="83"/>
      <c r="FA360" s="83"/>
      <c r="FB360" s="83"/>
      <c r="FC360" s="83"/>
      <c r="FD360" s="83"/>
      <c r="FE360" s="83"/>
      <c r="FF360" s="83"/>
      <c r="FG360" s="83"/>
      <c r="FH360" s="83"/>
      <c r="FI360" s="83"/>
      <c r="FJ360" s="83"/>
      <c r="FK360" s="83"/>
      <c r="FL360" s="83"/>
      <c r="FM360" s="83"/>
      <c r="FN360" s="83"/>
      <c r="FO360" s="83"/>
      <c r="FP360" s="83"/>
      <c r="FQ360" s="83"/>
      <c r="FR360" s="83"/>
      <c r="FS360" s="83"/>
      <c r="FT360" s="83"/>
      <c r="FU360" s="83"/>
      <c r="FV360" s="83"/>
      <c r="FW360" s="83"/>
      <c r="FX360" s="83"/>
      <c r="FY360" s="83"/>
      <c r="FZ360" s="83"/>
      <c r="GA360" s="83"/>
      <c r="GB360" s="83"/>
      <c r="GC360" s="83"/>
      <c r="GD360" s="83"/>
      <c r="GE360" s="83"/>
      <c r="GF360" s="83"/>
      <c r="GG360" s="83"/>
      <c r="GH360" s="83"/>
      <c r="GI360" s="83"/>
      <c r="GJ360" s="83"/>
      <c r="GK360" s="83"/>
      <c r="GL360" s="83"/>
      <c r="GM360" s="83"/>
      <c r="GN360" s="83"/>
      <c r="GO360" s="83"/>
      <c r="GP360" s="83"/>
      <c r="GQ360" s="83"/>
      <c r="GR360" s="83"/>
      <c r="GS360" s="83"/>
      <c r="GT360" s="83"/>
      <c r="GU360" s="83"/>
      <c r="GV360" s="83"/>
      <c r="GW360" s="83"/>
      <c r="GX360" s="83"/>
      <c r="GY360" s="83"/>
      <c r="GZ360" s="83"/>
      <c r="HA360" s="83"/>
      <c r="HB360" s="83"/>
      <c r="HC360" s="83"/>
      <c r="HD360" s="83"/>
      <c r="HE360" s="83"/>
      <c r="HF360" s="83"/>
      <c r="HG360" s="83"/>
      <c r="HH360" s="83"/>
      <c r="HI360" s="83"/>
      <c r="HJ360" s="83"/>
      <c r="HK360" s="83"/>
      <c r="HL360" s="83"/>
      <c r="HM360" s="83"/>
      <c r="HN360" s="83"/>
      <c r="HO360" s="83"/>
      <c r="HP360" s="83"/>
      <c r="HQ360" s="83"/>
      <c r="HR360" s="83"/>
      <c r="HS360" s="83"/>
      <c r="HT360" s="83"/>
      <c r="HU360" s="83"/>
      <c r="HV360" s="83"/>
      <c r="HW360" s="83"/>
      <c r="HX360" s="83"/>
      <c r="HY360" s="83"/>
      <c r="HZ360" s="83"/>
      <c r="IA360" s="83"/>
      <c r="IB360" s="83"/>
      <c r="IC360" s="83"/>
      <c r="ID360" s="83"/>
      <c r="IE360" s="83"/>
      <c r="IF360" s="83"/>
      <c r="IG360" s="83"/>
      <c r="IH360" s="83"/>
      <c r="II360" s="83"/>
      <c r="IJ360" s="83"/>
      <c r="IK360" s="83"/>
      <c r="IL360" s="83"/>
      <c r="IM360" s="83"/>
      <c r="IN360" s="83"/>
      <c r="IO360" s="83"/>
      <c r="IP360" s="83"/>
      <c r="IQ360" s="83"/>
      <c r="IR360" s="83"/>
      <c r="IS360" s="83"/>
      <c r="IT360" s="83"/>
      <c r="IU360" s="83"/>
      <c r="IV360" s="83"/>
    </row>
    <row r="361" spans="1:8" ht="19.5" customHeight="1">
      <c r="A361" s="104">
        <v>853</v>
      </c>
      <c r="B361" s="105"/>
      <c r="C361" s="419" t="s">
        <v>464</v>
      </c>
      <c r="D361" s="444">
        <f>D362</f>
        <v>1300</v>
      </c>
      <c r="E361" s="97">
        <f>E362</f>
        <v>568</v>
      </c>
      <c r="F361" s="97">
        <f>F362</f>
        <v>452</v>
      </c>
      <c r="G361" s="98">
        <f t="shared" si="10"/>
        <v>0.795774647887324</v>
      </c>
      <c r="H361" s="246"/>
    </row>
    <row r="362" spans="1:256" s="84" customFormat="1" ht="19.5" customHeight="1">
      <c r="A362" s="110"/>
      <c r="B362" s="32">
        <v>85333</v>
      </c>
      <c r="C362" s="477" t="s">
        <v>423</v>
      </c>
      <c r="D362" s="139">
        <f>SUM(D363:D364)</f>
        <v>1300</v>
      </c>
      <c r="E362" s="64">
        <f>SUM(E363:E364)</f>
        <v>568</v>
      </c>
      <c r="F362" s="64">
        <f>SUM(F363:F364)</f>
        <v>452</v>
      </c>
      <c r="G362" s="108">
        <f t="shared" si="10"/>
        <v>0.795774647887324</v>
      </c>
      <c r="H362" s="249"/>
      <c r="I362" s="118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  <c r="CJ362" s="83"/>
      <c r="CK362" s="83"/>
      <c r="CL362" s="83"/>
      <c r="CM362" s="83"/>
      <c r="CN362" s="83"/>
      <c r="CO362" s="83"/>
      <c r="CP362" s="83"/>
      <c r="CQ362" s="83"/>
      <c r="CR362" s="83"/>
      <c r="CS362" s="83"/>
      <c r="CT362" s="83"/>
      <c r="CU362" s="83"/>
      <c r="CV362" s="83"/>
      <c r="CW362" s="83"/>
      <c r="CX362" s="83"/>
      <c r="CY362" s="83"/>
      <c r="CZ362" s="83"/>
      <c r="DA362" s="83"/>
      <c r="DB362" s="83"/>
      <c r="DC362" s="83"/>
      <c r="DD362" s="83"/>
      <c r="DE362" s="83"/>
      <c r="DF362" s="83"/>
      <c r="DG362" s="83"/>
      <c r="DH362" s="83"/>
      <c r="DI362" s="83"/>
      <c r="DJ362" s="83"/>
      <c r="DK362" s="83"/>
      <c r="DL362" s="83"/>
      <c r="DM362" s="83"/>
      <c r="DN362" s="83"/>
      <c r="DO362" s="83"/>
      <c r="DP362" s="83"/>
      <c r="DQ362" s="83"/>
      <c r="DR362" s="83"/>
      <c r="DS362" s="83"/>
      <c r="DT362" s="83"/>
      <c r="DU362" s="83"/>
      <c r="DV362" s="83"/>
      <c r="DW362" s="83"/>
      <c r="DX362" s="83"/>
      <c r="DY362" s="83"/>
      <c r="DZ362" s="83"/>
      <c r="EA362" s="83"/>
      <c r="EB362" s="83"/>
      <c r="EC362" s="83"/>
      <c r="ED362" s="83"/>
      <c r="EE362" s="83"/>
      <c r="EF362" s="83"/>
      <c r="EG362" s="83"/>
      <c r="EH362" s="83"/>
      <c r="EI362" s="83"/>
      <c r="EJ362" s="83"/>
      <c r="EK362" s="83"/>
      <c r="EL362" s="83"/>
      <c r="EM362" s="83"/>
      <c r="EN362" s="83"/>
      <c r="EO362" s="83"/>
      <c r="EP362" s="83"/>
      <c r="EQ362" s="83"/>
      <c r="ER362" s="83"/>
      <c r="ES362" s="83"/>
      <c r="ET362" s="83"/>
      <c r="EU362" s="83"/>
      <c r="EV362" s="83"/>
      <c r="EW362" s="83"/>
      <c r="EX362" s="83"/>
      <c r="EY362" s="83"/>
      <c r="EZ362" s="83"/>
      <c r="FA362" s="83"/>
      <c r="FB362" s="83"/>
      <c r="FC362" s="83"/>
      <c r="FD362" s="83"/>
      <c r="FE362" s="83"/>
      <c r="FF362" s="83"/>
      <c r="FG362" s="83"/>
      <c r="FH362" s="83"/>
      <c r="FI362" s="83"/>
      <c r="FJ362" s="83"/>
      <c r="FK362" s="83"/>
      <c r="FL362" s="83"/>
      <c r="FM362" s="83"/>
      <c r="FN362" s="83"/>
      <c r="FO362" s="83"/>
      <c r="FP362" s="83"/>
      <c r="FQ362" s="83"/>
      <c r="FR362" s="83"/>
      <c r="FS362" s="83"/>
      <c r="FT362" s="83"/>
      <c r="FU362" s="83"/>
      <c r="FV362" s="83"/>
      <c r="FW362" s="83"/>
      <c r="FX362" s="83"/>
      <c r="FY362" s="83"/>
      <c r="FZ362" s="83"/>
      <c r="GA362" s="83"/>
      <c r="GB362" s="83"/>
      <c r="GC362" s="83"/>
      <c r="GD362" s="83"/>
      <c r="GE362" s="83"/>
      <c r="GF362" s="83"/>
      <c r="GG362" s="83"/>
      <c r="GH362" s="83"/>
      <c r="GI362" s="83"/>
      <c r="GJ362" s="83"/>
      <c r="GK362" s="83"/>
      <c r="GL362" s="83"/>
      <c r="GM362" s="83"/>
      <c r="GN362" s="83"/>
      <c r="GO362" s="83"/>
      <c r="GP362" s="83"/>
      <c r="GQ362" s="83"/>
      <c r="GR362" s="83"/>
      <c r="GS362" s="83"/>
      <c r="GT362" s="83"/>
      <c r="GU362" s="83"/>
      <c r="GV362" s="83"/>
      <c r="GW362" s="83"/>
      <c r="GX362" s="83"/>
      <c r="GY362" s="83"/>
      <c r="GZ362" s="83"/>
      <c r="HA362" s="83"/>
      <c r="HB362" s="83"/>
      <c r="HC362" s="83"/>
      <c r="HD362" s="83"/>
      <c r="HE362" s="83"/>
      <c r="HF362" s="83"/>
      <c r="HG362" s="83"/>
      <c r="HH362" s="83"/>
      <c r="HI362" s="83"/>
      <c r="HJ362" s="83"/>
      <c r="HK362" s="83"/>
      <c r="HL362" s="83"/>
      <c r="HM362" s="83"/>
      <c r="HN362" s="83"/>
      <c r="HO362" s="83"/>
      <c r="HP362" s="83"/>
      <c r="HQ362" s="83"/>
      <c r="HR362" s="83"/>
      <c r="HS362" s="83"/>
      <c r="HT362" s="83"/>
      <c r="HU362" s="83"/>
      <c r="HV362" s="83"/>
      <c r="HW362" s="83"/>
      <c r="HX362" s="83"/>
      <c r="HY362" s="83"/>
      <c r="HZ362" s="83"/>
      <c r="IA362" s="83"/>
      <c r="IB362" s="83"/>
      <c r="IC362" s="83"/>
      <c r="ID362" s="83"/>
      <c r="IE362" s="83"/>
      <c r="IF362" s="83"/>
      <c r="IG362" s="83"/>
      <c r="IH362" s="83"/>
      <c r="II362" s="83"/>
      <c r="IJ362" s="83"/>
      <c r="IK362" s="83"/>
      <c r="IL362" s="83"/>
      <c r="IM362" s="83"/>
      <c r="IN362" s="83"/>
      <c r="IO362" s="83"/>
      <c r="IP362" s="83"/>
      <c r="IQ362" s="83"/>
      <c r="IR362" s="83"/>
      <c r="IS362" s="83"/>
      <c r="IT362" s="83"/>
      <c r="IU362" s="83"/>
      <c r="IV362" s="83"/>
    </row>
    <row r="363" spans="1:8" ht="19.5" customHeight="1">
      <c r="A363" s="110"/>
      <c r="B363" s="33"/>
      <c r="C363" s="435" t="s">
        <v>438</v>
      </c>
      <c r="D363" s="130">
        <v>800</v>
      </c>
      <c r="E363" s="130">
        <v>68</v>
      </c>
      <c r="F363" s="130">
        <v>68</v>
      </c>
      <c r="G363" s="333">
        <f t="shared" si="10"/>
        <v>1</v>
      </c>
      <c r="H363" s="249"/>
    </row>
    <row r="364" spans="1:8" ht="39" customHeight="1">
      <c r="A364" s="10"/>
      <c r="B364" s="58"/>
      <c r="C364" s="486" t="s">
        <v>865</v>
      </c>
      <c r="D364" s="150">
        <v>500</v>
      </c>
      <c r="E364" s="150">
        <v>500</v>
      </c>
      <c r="F364" s="150">
        <v>384</v>
      </c>
      <c r="G364" s="340">
        <f t="shared" si="10"/>
        <v>0.768</v>
      </c>
      <c r="H364" s="268"/>
    </row>
    <row r="365" spans="1:8" ht="19.5" customHeight="1">
      <c r="A365" s="104">
        <v>854</v>
      </c>
      <c r="B365" s="105"/>
      <c r="C365" s="419" t="s">
        <v>396</v>
      </c>
      <c r="D365" s="444">
        <f>D366+D371+D374+D378+D382+D386+D389</f>
        <v>940660</v>
      </c>
      <c r="E365" s="97">
        <f>E366+E371+E374+E378+E382+E386+E389</f>
        <v>926021</v>
      </c>
      <c r="F365" s="97">
        <f>F366+F371+F374+F378+F382+F386+F389</f>
        <v>836917</v>
      </c>
      <c r="G365" s="98">
        <f aca="true" t="shared" si="11" ref="G365:G426">F365/E365</f>
        <v>0.9037775601201269</v>
      </c>
      <c r="H365" s="246"/>
    </row>
    <row r="366" spans="1:8" ht="19.5" customHeight="1">
      <c r="A366" s="107"/>
      <c r="B366" s="141">
        <v>85403</v>
      </c>
      <c r="C366" s="40" t="s">
        <v>404</v>
      </c>
      <c r="D366" s="129">
        <f>SUM(D367:D369)</f>
        <v>298550</v>
      </c>
      <c r="E366" s="2">
        <f>SUM(E367:E369)</f>
        <v>292177</v>
      </c>
      <c r="F366" s="2">
        <f>SUM(F367:F370)</f>
        <v>289245</v>
      </c>
      <c r="G366" s="350">
        <f t="shared" si="11"/>
        <v>0.9899649869770721</v>
      </c>
      <c r="H366" s="249"/>
    </row>
    <row r="367" spans="1:8" ht="19.5" customHeight="1">
      <c r="A367" s="116"/>
      <c r="B367" s="59"/>
      <c r="C367" s="416" t="s">
        <v>510</v>
      </c>
      <c r="D367" s="69">
        <v>290000</v>
      </c>
      <c r="E367" s="69">
        <v>290000</v>
      </c>
      <c r="F367" s="69">
        <v>286475</v>
      </c>
      <c r="G367" s="358">
        <f t="shared" si="11"/>
        <v>0.9878448275862068</v>
      </c>
      <c r="H367" s="253"/>
    </row>
    <row r="368" spans="1:8" ht="19.5" customHeight="1">
      <c r="A368" s="116"/>
      <c r="B368" s="59"/>
      <c r="C368" s="427" t="s">
        <v>438</v>
      </c>
      <c r="D368" s="148">
        <v>7000</v>
      </c>
      <c r="E368" s="148">
        <v>627</v>
      </c>
      <c r="F368" s="148">
        <v>627</v>
      </c>
      <c r="G368" s="339">
        <f t="shared" si="11"/>
        <v>1</v>
      </c>
      <c r="H368" s="293"/>
    </row>
    <row r="369" spans="1:8" ht="39" customHeight="1">
      <c r="A369" s="116"/>
      <c r="B369" s="59"/>
      <c r="C369" s="427" t="s">
        <v>865</v>
      </c>
      <c r="D369" s="309">
        <v>1550</v>
      </c>
      <c r="E369" s="309">
        <v>1550</v>
      </c>
      <c r="F369" s="309">
        <v>1279</v>
      </c>
      <c r="G369" s="357">
        <f t="shared" si="11"/>
        <v>0.8251612903225807</v>
      </c>
      <c r="H369" s="257"/>
    </row>
    <row r="370" spans="1:8" ht="19.5" customHeight="1">
      <c r="A370" s="116"/>
      <c r="B370" s="58"/>
      <c r="C370" s="486" t="s">
        <v>891</v>
      </c>
      <c r="D370" s="152"/>
      <c r="E370" s="152"/>
      <c r="F370" s="152">
        <v>864</v>
      </c>
      <c r="G370" s="359"/>
      <c r="H370" s="257"/>
    </row>
    <row r="371" spans="1:8" ht="25.5" customHeight="1">
      <c r="A371" s="107"/>
      <c r="B371" s="32">
        <v>85406</v>
      </c>
      <c r="C371" s="39" t="s">
        <v>519</v>
      </c>
      <c r="D371" s="139">
        <f>D372+D373</f>
        <v>2620</v>
      </c>
      <c r="E371" s="64">
        <f>E372+E373</f>
        <v>965</v>
      </c>
      <c r="F371" s="64">
        <f>F372+F373</f>
        <v>1167</v>
      </c>
      <c r="G371" s="108">
        <f t="shared" si="11"/>
        <v>1.2093264248704663</v>
      </c>
      <c r="H371" s="249"/>
    </row>
    <row r="372" spans="1:8" ht="19.5" customHeight="1">
      <c r="A372" s="107"/>
      <c r="B372" s="33"/>
      <c r="C372" s="416" t="s">
        <v>438</v>
      </c>
      <c r="D372" s="130">
        <v>2000</v>
      </c>
      <c r="E372" s="130">
        <v>345</v>
      </c>
      <c r="F372" s="130">
        <v>345</v>
      </c>
      <c r="G372" s="333">
        <f t="shared" si="11"/>
        <v>1</v>
      </c>
      <c r="H372" s="287"/>
    </row>
    <row r="373" spans="1:8" ht="39.75" customHeight="1">
      <c r="A373" s="107"/>
      <c r="B373" s="58"/>
      <c r="C373" s="486" t="s">
        <v>865</v>
      </c>
      <c r="D373" s="150">
        <v>620</v>
      </c>
      <c r="E373" s="150">
        <v>620</v>
      </c>
      <c r="F373" s="150">
        <v>822</v>
      </c>
      <c r="G373" s="340">
        <f t="shared" si="11"/>
        <v>1.3258064516129033</v>
      </c>
      <c r="H373" s="424"/>
    </row>
    <row r="374" spans="1:8" ht="19.5" customHeight="1">
      <c r="A374" s="110"/>
      <c r="B374" s="32">
        <v>85407</v>
      </c>
      <c r="C374" s="39" t="s">
        <v>364</v>
      </c>
      <c r="D374" s="139">
        <f>D375+D376</f>
        <v>1560</v>
      </c>
      <c r="E374" s="64">
        <f>E375+E376</f>
        <v>511</v>
      </c>
      <c r="F374" s="64">
        <f>F375+F376+F377</f>
        <v>763</v>
      </c>
      <c r="G374" s="108">
        <f t="shared" si="11"/>
        <v>1.4931506849315068</v>
      </c>
      <c r="H374" s="285"/>
    </row>
    <row r="375" spans="1:8" ht="19.5" customHeight="1">
      <c r="A375" s="8"/>
      <c r="B375" s="9"/>
      <c r="C375" s="416" t="s">
        <v>438</v>
      </c>
      <c r="D375" s="425">
        <v>1200</v>
      </c>
      <c r="E375" s="425">
        <v>151</v>
      </c>
      <c r="F375" s="425">
        <v>151</v>
      </c>
      <c r="G375" s="426">
        <f t="shared" si="11"/>
        <v>1</v>
      </c>
      <c r="H375" s="267"/>
    </row>
    <row r="376" spans="1:8" ht="38.25" customHeight="1">
      <c r="A376" s="110"/>
      <c r="B376" s="59"/>
      <c r="C376" s="427" t="s">
        <v>865</v>
      </c>
      <c r="D376" s="148">
        <v>360</v>
      </c>
      <c r="E376" s="146">
        <v>360</v>
      </c>
      <c r="F376" s="146">
        <v>335</v>
      </c>
      <c r="G376" s="194">
        <f t="shared" si="11"/>
        <v>0.9305555555555556</v>
      </c>
      <c r="H376" s="439"/>
    </row>
    <row r="377" spans="1:8" ht="19.5" customHeight="1">
      <c r="A377" s="110"/>
      <c r="B377" s="58"/>
      <c r="C377" s="486" t="s">
        <v>891</v>
      </c>
      <c r="D377" s="150"/>
      <c r="E377" s="150"/>
      <c r="F377" s="150">
        <v>277</v>
      </c>
      <c r="G377" s="340"/>
      <c r="H377" s="267"/>
    </row>
    <row r="378" spans="1:8" ht="19.5" customHeight="1">
      <c r="A378" s="110"/>
      <c r="B378" s="32">
        <v>85410</v>
      </c>
      <c r="C378" s="39" t="s">
        <v>405</v>
      </c>
      <c r="D378" s="139">
        <f>SUM(D379:D381)</f>
        <v>486300</v>
      </c>
      <c r="E378" s="64">
        <f>SUM(E379:E381)</f>
        <v>481670</v>
      </c>
      <c r="F378" s="64">
        <f>SUM(F379:F381)</f>
        <v>400919</v>
      </c>
      <c r="G378" s="108">
        <f t="shared" si="11"/>
        <v>0.8323520252455</v>
      </c>
      <c r="H378" s="285"/>
    </row>
    <row r="379" spans="1:8" ht="19.5" customHeight="1">
      <c r="A379" s="8"/>
      <c r="B379" s="31"/>
      <c r="C379" s="416" t="s">
        <v>511</v>
      </c>
      <c r="D379" s="69">
        <v>480000</v>
      </c>
      <c r="E379" s="69">
        <v>480000</v>
      </c>
      <c r="F379" s="69">
        <v>399277</v>
      </c>
      <c r="G379" s="358">
        <f t="shared" si="11"/>
        <v>0.8318270833333333</v>
      </c>
      <c r="H379" s="290"/>
    </row>
    <row r="380" spans="1:8" ht="19.5" customHeight="1">
      <c r="A380" s="8"/>
      <c r="B380" s="59"/>
      <c r="C380" s="481" t="s">
        <v>438</v>
      </c>
      <c r="D380" s="147">
        <v>5400</v>
      </c>
      <c r="E380" s="147">
        <v>770</v>
      </c>
      <c r="F380" s="436">
        <v>810</v>
      </c>
      <c r="G380" s="338">
        <f t="shared" si="11"/>
        <v>1.051948051948052</v>
      </c>
      <c r="H380" s="281"/>
    </row>
    <row r="381" spans="1:8" ht="40.5" customHeight="1">
      <c r="A381" s="10"/>
      <c r="B381" s="58"/>
      <c r="C381" s="486" t="s">
        <v>865</v>
      </c>
      <c r="D381" s="152">
        <v>900</v>
      </c>
      <c r="E381" s="152">
        <v>900</v>
      </c>
      <c r="F381" s="152">
        <v>832</v>
      </c>
      <c r="G381" s="359">
        <f t="shared" si="11"/>
        <v>0.9244444444444444</v>
      </c>
      <c r="H381" s="267"/>
    </row>
    <row r="382" spans="1:8" ht="19.5" customHeight="1">
      <c r="A382" s="110"/>
      <c r="B382" s="32">
        <v>85417</v>
      </c>
      <c r="C382" s="39" t="s">
        <v>366</v>
      </c>
      <c r="D382" s="139">
        <f>D383+D384+D385</f>
        <v>150640</v>
      </c>
      <c r="E382" s="64">
        <f>E383+E384+E385</f>
        <v>150112</v>
      </c>
      <c r="F382" s="64">
        <f>F383+F384+F385</f>
        <v>144250</v>
      </c>
      <c r="G382" s="108">
        <f t="shared" si="11"/>
        <v>0.960949157962055</v>
      </c>
      <c r="H382" s="249"/>
    </row>
    <row r="383" spans="1:8" ht="19.5" customHeight="1">
      <c r="A383" s="8"/>
      <c r="B383" s="9"/>
      <c r="C383" s="435" t="s">
        <v>367</v>
      </c>
      <c r="D383" s="69">
        <v>150000</v>
      </c>
      <c r="E383" s="69">
        <v>150000</v>
      </c>
      <c r="F383" s="69">
        <v>144148</v>
      </c>
      <c r="G383" s="358">
        <f t="shared" si="11"/>
        <v>0.9609866666666667</v>
      </c>
      <c r="H383" s="283"/>
    </row>
    <row r="384" spans="1:8" ht="19.5" customHeight="1">
      <c r="A384" s="8"/>
      <c r="B384" s="11"/>
      <c r="C384" s="479" t="s">
        <v>438</v>
      </c>
      <c r="D384" s="148">
        <v>600</v>
      </c>
      <c r="E384" s="148">
        <v>72</v>
      </c>
      <c r="F384" s="148">
        <v>72</v>
      </c>
      <c r="G384" s="339">
        <f t="shared" si="11"/>
        <v>1</v>
      </c>
      <c r="H384" s="268"/>
    </row>
    <row r="385" spans="1:8" ht="37.5" customHeight="1">
      <c r="A385" s="8"/>
      <c r="B385" s="6"/>
      <c r="C385" s="486" t="s">
        <v>865</v>
      </c>
      <c r="D385" s="150">
        <v>40</v>
      </c>
      <c r="E385" s="150">
        <v>40</v>
      </c>
      <c r="F385" s="150">
        <v>30</v>
      </c>
      <c r="G385" s="340">
        <f t="shared" si="11"/>
        <v>0.75</v>
      </c>
      <c r="H385" s="268"/>
    </row>
    <row r="386" spans="1:8" ht="19.5" customHeight="1">
      <c r="A386" s="8"/>
      <c r="B386" s="32">
        <v>85421</v>
      </c>
      <c r="C386" s="477" t="s">
        <v>342</v>
      </c>
      <c r="D386" s="408">
        <f>D387+D388</f>
        <v>500</v>
      </c>
      <c r="E386" s="48">
        <f>E387+E388</f>
        <v>153</v>
      </c>
      <c r="F386" s="48">
        <f>F387+F388</f>
        <v>129</v>
      </c>
      <c r="G386" s="184">
        <f>F386/E386</f>
        <v>0.8431372549019608</v>
      </c>
      <c r="H386" s="267"/>
    </row>
    <row r="387" spans="1:8" ht="19.5" customHeight="1">
      <c r="A387" s="8"/>
      <c r="B387" s="11"/>
      <c r="C387" s="435" t="s">
        <v>438</v>
      </c>
      <c r="D387" s="69">
        <v>400</v>
      </c>
      <c r="E387" s="69">
        <v>53</v>
      </c>
      <c r="F387" s="69">
        <v>53</v>
      </c>
      <c r="G387" s="358">
        <f>F387/E387</f>
        <v>1</v>
      </c>
      <c r="H387" s="281"/>
    </row>
    <row r="388" spans="1:9" ht="40.5" customHeight="1">
      <c r="A388" s="438"/>
      <c r="B388" s="6"/>
      <c r="C388" s="486" t="s">
        <v>865</v>
      </c>
      <c r="D388" s="149">
        <v>100</v>
      </c>
      <c r="E388" s="149">
        <v>100</v>
      </c>
      <c r="F388" s="149">
        <v>76</v>
      </c>
      <c r="G388" s="185">
        <f>F388/E388</f>
        <v>0.76</v>
      </c>
      <c r="H388" s="562"/>
      <c r="I388" s="84"/>
    </row>
    <row r="389" spans="1:8" ht="19.5" customHeight="1">
      <c r="A389" s="8"/>
      <c r="B389" s="32">
        <v>85495</v>
      </c>
      <c r="C389" s="477" t="s">
        <v>966</v>
      </c>
      <c r="D389" s="408">
        <f>D390+D391</f>
        <v>490</v>
      </c>
      <c r="E389" s="48">
        <f>E390+E391</f>
        <v>433</v>
      </c>
      <c r="F389" s="48">
        <f>F390+F391</f>
        <v>444</v>
      </c>
      <c r="G389" s="184">
        <f t="shared" si="11"/>
        <v>1.0254041570438799</v>
      </c>
      <c r="H389" s="267"/>
    </row>
    <row r="390" spans="1:8" ht="19.5" customHeight="1">
      <c r="A390" s="8"/>
      <c r="B390" s="11"/>
      <c r="C390" s="435" t="s">
        <v>949</v>
      </c>
      <c r="D390" s="69">
        <v>150</v>
      </c>
      <c r="E390" s="69">
        <v>93</v>
      </c>
      <c r="F390" s="69">
        <v>93</v>
      </c>
      <c r="G390" s="358">
        <f t="shared" si="11"/>
        <v>1</v>
      </c>
      <c r="H390" s="281"/>
    </row>
    <row r="391" spans="1:9" ht="40.5" customHeight="1">
      <c r="A391" s="438"/>
      <c r="B391" s="11"/>
      <c r="C391" s="486" t="s">
        <v>865</v>
      </c>
      <c r="D391" s="149">
        <v>340</v>
      </c>
      <c r="E391" s="149">
        <v>340</v>
      </c>
      <c r="F391" s="149">
        <v>351</v>
      </c>
      <c r="G391" s="185">
        <f t="shared" si="11"/>
        <v>1.0323529411764707</v>
      </c>
      <c r="H391" s="562"/>
      <c r="I391" s="84"/>
    </row>
    <row r="392" spans="1:8" ht="5.25" customHeight="1" hidden="1">
      <c r="A392" s="8"/>
      <c r="B392" s="11"/>
      <c r="C392" s="489"/>
      <c r="D392" s="309"/>
      <c r="E392" s="309"/>
      <c r="F392" s="309"/>
      <c r="G392" s="357"/>
      <c r="H392" s="267"/>
    </row>
    <row r="393" spans="1:8" ht="18.75" customHeight="1" thickBot="1">
      <c r="A393" s="10"/>
      <c r="B393" s="6"/>
      <c r="C393" s="499" t="s">
        <v>419</v>
      </c>
      <c r="D393" s="463">
        <f>D394</f>
        <v>124644394</v>
      </c>
      <c r="E393" s="196">
        <f>E394</f>
        <v>127455601</v>
      </c>
      <c r="F393" s="196">
        <f>F394</f>
        <v>127455601</v>
      </c>
      <c r="G393" s="166">
        <f t="shared" si="11"/>
        <v>1</v>
      </c>
      <c r="H393" s="272"/>
    </row>
    <row r="394" spans="1:8" ht="19.5" customHeight="1" thickTop="1">
      <c r="A394" s="123">
        <v>758</v>
      </c>
      <c r="B394" s="96"/>
      <c r="C394" s="105" t="s">
        <v>358</v>
      </c>
      <c r="D394" s="444">
        <f>D395+D397</f>
        <v>124644394</v>
      </c>
      <c r="E394" s="97">
        <f>E395+E397</f>
        <v>127455601</v>
      </c>
      <c r="F394" s="97">
        <f>F395+F397</f>
        <v>127455601</v>
      </c>
      <c r="G394" s="98">
        <f t="shared" si="11"/>
        <v>1</v>
      </c>
      <c r="H394" s="246"/>
    </row>
    <row r="395" spans="1:8" ht="25.5" customHeight="1">
      <c r="A395" s="61"/>
      <c r="B395" s="141">
        <v>75801</v>
      </c>
      <c r="C395" s="39" t="s">
        <v>408</v>
      </c>
      <c r="D395" s="139">
        <f>D396</f>
        <v>124644394</v>
      </c>
      <c r="E395" s="64">
        <f>E396</f>
        <v>124214419</v>
      </c>
      <c r="F395" s="64">
        <f>F396</f>
        <v>124214419</v>
      </c>
      <c r="G395" s="108">
        <f t="shared" si="11"/>
        <v>1</v>
      </c>
      <c r="H395" s="249"/>
    </row>
    <row r="396" spans="1:8" ht="19.5" customHeight="1">
      <c r="A396" s="8"/>
      <c r="B396" s="38"/>
      <c r="C396" s="476" t="s">
        <v>447</v>
      </c>
      <c r="D396" s="103">
        <v>124644394</v>
      </c>
      <c r="E396" s="103">
        <v>124214419</v>
      </c>
      <c r="F396" s="103">
        <v>124214419</v>
      </c>
      <c r="G396" s="324">
        <f t="shared" si="11"/>
        <v>1</v>
      </c>
      <c r="H396" s="261"/>
    </row>
    <row r="397" spans="1:8" ht="18" customHeight="1">
      <c r="A397" s="110"/>
      <c r="B397" s="32">
        <v>75802</v>
      </c>
      <c r="C397" s="39" t="s">
        <v>343</v>
      </c>
      <c r="D397" s="139"/>
      <c r="E397" s="64">
        <f>SUM(E398:E399)</f>
        <v>3241182</v>
      </c>
      <c r="F397" s="64">
        <f>SUM(F398:F399)</f>
        <v>3241182</v>
      </c>
      <c r="G397" s="108">
        <f t="shared" si="11"/>
        <v>1</v>
      </c>
      <c r="H397" s="258"/>
    </row>
    <row r="398" spans="1:8" ht="19.5" customHeight="1">
      <c r="A398" s="8"/>
      <c r="B398" s="9"/>
      <c r="C398" s="481" t="s">
        <v>344</v>
      </c>
      <c r="D398" s="120"/>
      <c r="E398" s="120">
        <v>3000000</v>
      </c>
      <c r="F398" s="120">
        <v>3000000</v>
      </c>
      <c r="G398" s="329">
        <f t="shared" si="11"/>
        <v>1</v>
      </c>
      <c r="H398" s="236"/>
    </row>
    <row r="399" spans="1:8" ht="19.5" customHeight="1">
      <c r="A399" s="8"/>
      <c r="B399" s="11"/>
      <c r="C399" s="486" t="s">
        <v>325</v>
      </c>
      <c r="D399" s="109"/>
      <c r="E399" s="109">
        <v>241182</v>
      </c>
      <c r="F399" s="109">
        <v>241182</v>
      </c>
      <c r="G399" s="325">
        <f t="shared" si="11"/>
        <v>1</v>
      </c>
      <c r="H399" s="261"/>
    </row>
    <row r="400" spans="1:8" ht="21" customHeight="1" thickBot="1">
      <c r="A400" s="7"/>
      <c r="B400" s="48"/>
      <c r="C400" s="503" t="s">
        <v>410</v>
      </c>
      <c r="D400" s="464">
        <f>D401+D405+D410+D417+D422</f>
        <v>15400000</v>
      </c>
      <c r="E400" s="197">
        <f>E401+E405+E410+E417+E422</f>
        <v>21049762</v>
      </c>
      <c r="F400" s="197">
        <f>F401+F405+F410+F417+F422</f>
        <v>20831298</v>
      </c>
      <c r="G400" s="198">
        <f t="shared" si="11"/>
        <v>0.9896215453647409</v>
      </c>
      <c r="H400" s="199"/>
    </row>
    <row r="401" spans="1:16" s="597" customFormat="1" ht="19.5" customHeight="1" thickTop="1">
      <c r="A401" s="515">
        <v>600</v>
      </c>
      <c r="B401" s="598"/>
      <c r="C401" s="599" t="s">
        <v>522</v>
      </c>
      <c r="D401" s="599"/>
      <c r="E401" s="599">
        <f>E402</f>
        <v>3545873</v>
      </c>
      <c r="F401" s="599">
        <f>F402</f>
        <v>3545873</v>
      </c>
      <c r="G401" s="600">
        <f t="shared" si="11"/>
        <v>1</v>
      </c>
      <c r="H401" s="594"/>
      <c r="I401" s="595"/>
      <c r="J401" s="596"/>
      <c r="K401" s="596"/>
      <c r="L401" s="596"/>
      <c r="M401" s="596"/>
      <c r="N401" s="596"/>
      <c r="O401" s="596"/>
      <c r="P401" s="596"/>
    </row>
    <row r="402" spans="1:16" s="517" customFormat="1" ht="19.5" customHeight="1">
      <c r="A402" s="421"/>
      <c r="B402" s="240">
        <v>60015</v>
      </c>
      <c r="C402" s="46" t="s">
        <v>523</v>
      </c>
      <c r="D402" s="46"/>
      <c r="E402" s="46">
        <f>E403</f>
        <v>3545873</v>
      </c>
      <c r="F402" s="46">
        <f>F403</f>
        <v>3545873</v>
      </c>
      <c r="G402" s="174">
        <f t="shared" si="11"/>
        <v>1</v>
      </c>
      <c r="H402" s="516"/>
      <c r="I402" s="303"/>
      <c r="J402" s="80"/>
      <c r="K402" s="80"/>
      <c r="L402" s="80"/>
      <c r="M402" s="80"/>
      <c r="N402" s="80"/>
      <c r="O402" s="80"/>
      <c r="P402" s="80"/>
    </row>
    <row r="403" spans="1:8" ht="25.5" customHeight="1">
      <c r="A403" s="524"/>
      <c r="B403" s="41"/>
      <c r="C403" s="42" t="s">
        <v>326</v>
      </c>
      <c r="D403" s="42"/>
      <c r="E403" s="42">
        <v>3545873</v>
      </c>
      <c r="F403" s="42">
        <v>3545873</v>
      </c>
      <c r="G403" s="171">
        <f t="shared" si="11"/>
        <v>1</v>
      </c>
      <c r="H403" s="514"/>
    </row>
    <row r="404" spans="1:8" ht="25.5" customHeight="1">
      <c r="A404" s="690"/>
      <c r="B404" s="667"/>
      <c r="C404" s="661"/>
      <c r="D404" s="661"/>
      <c r="E404" s="661"/>
      <c r="F404" s="661"/>
      <c r="G404" s="662"/>
      <c r="H404" s="514"/>
    </row>
    <row r="405" spans="1:8" ht="19.5" customHeight="1">
      <c r="A405" s="155">
        <v>801</v>
      </c>
      <c r="B405" s="200"/>
      <c r="C405" s="432" t="s">
        <v>347</v>
      </c>
      <c r="D405" s="444"/>
      <c r="E405" s="97">
        <f>E406+E408</f>
        <v>17760</v>
      </c>
      <c r="F405" s="97">
        <f>F406+F408</f>
        <v>16660</v>
      </c>
      <c r="G405" s="98">
        <f t="shared" si="11"/>
        <v>0.9380630630630631</v>
      </c>
      <c r="H405" s="201"/>
    </row>
    <row r="406" spans="1:9" s="82" customFormat="1" ht="25.5" customHeight="1">
      <c r="A406" s="57"/>
      <c r="B406" s="213">
        <v>80140</v>
      </c>
      <c r="C406" s="504" t="s">
        <v>403</v>
      </c>
      <c r="D406" s="139"/>
      <c r="E406" s="64">
        <f>E407</f>
        <v>5160</v>
      </c>
      <c r="F406" s="64">
        <f>F407</f>
        <v>4060</v>
      </c>
      <c r="G406" s="101">
        <f t="shared" si="11"/>
        <v>0.7868217054263565</v>
      </c>
      <c r="H406" s="388"/>
      <c r="I406" s="13"/>
    </row>
    <row r="407" spans="1:9" s="82" customFormat="1" ht="25.5" customHeight="1">
      <c r="A407" s="76"/>
      <c r="B407" s="411"/>
      <c r="C407" s="505" t="s">
        <v>487</v>
      </c>
      <c r="D407" s="109"/>
      <c r="E407" s="29">
        <v>5160</v>
      </c>
      <c r="F407" s="29">
        <v>4060</v>
      </c>
      <c r="G407" s="413">
        <f t="shared" si="11"/>
        <v>0.7868217054263565</v>
      </c>
      <c r="H407" s="412"/>
      <c r="I407" s="13"/>
    </row>
    <row r="408" spans="1:8" ht="19.5" customHeight="1">
      <c r="A408" s="17"/>
      <c r="B408" s="206">
        <v>80195</v>
      </c>
      <c r="C408" s="48" t="s">
        <v>966</v>
      </c>
      <c r="D408" s="172"/>
      <c r="E408" s="207">
        <f>E409</f>
        <v>12600</v>
      </c>
      <c r="F408" s="207">
        <f>F409</f>
        <v>12600</v>
      </c>
      <c r="G408" s="195">
        <f t="shared" si="11"/>
        <v>1</v>
      </c>
      <c r="H408" s="212"/>
    </row>
    <row r="409" spans="1:8" ht="25.5" customHeight="1">
      <c r="A409" s="18"/>
      <c r="B409" s="16"/>
      <c r="C409" s="25" t="s">
        <v>472</v>
      </c>
      <c r="D409" s="54"/>
      <c r="E409" s="25">
        <v>12600</v>
      </c>
      <c r="F409" s="25">
        <v>12600</v>
      </c>
      <c r="G409" s="406">
        <f t="shared" si="11"/>
        <v>1</v>
      </c>
      <c r="H409" s="212"/>
    </row>
    <row r="410" spans="1:8" ht="19.5" customHeight="1">
      <c r="A410" s="155">
        <v>852</v>
      </c>
      <c r="B410" s="200"/>
      <c r="C410" s="209" t="s">
        <v>463</v>
      </c>
      <c r="D410" s="466">
        <f>D411+D414</f>
        <v>15400000</v>
      </c>
      <c r="E410" s="466">
        <f>E411+E414</f>
        <v>16682952</v>
      </c>
      <c r="F410" s="466">
        <f>F411+F414</f>
        <v>16432099</v>
      </c>
      <c r="G410" s="156">
        <f t="shared" si="11"/>
        <v>0.9849635124527122</v>
      </c>
      <c r="H410" s="208"/>
    </row>
    <row r="411" spans="1:8" ht="19.5" customHeight="1">
      <c r="A411" s="210"/>
      <c r="B411" s="211">
        <v>85201</v>
      </c>
      <c r="C411" s="43" t="s">
        <v>392</v>
      </c>
      <c r="D411" s="467">
        <f>SUM(D412:D413)</f>
        <v>7805000</v>
      </c>
      <c r="E411" s="43">
        <f>SUM(E412:E413)</f>
        <v>8622952</v>
      </c>
      <c r="F411" s="43">
        <f>SUM(F412:F413)</f>
        <v>8412099</v>
      </c>
      <c r="G411" s="192">
        <f t="shared" si="11"/>
        <v>0.9755474691265822</v>
      </c>
      <c r="H411" s="202"/>
    </row>
    <row r="412" spans="1:8" ht="25.5" customHeight="1">
      <c r="A412" s="17"/>
      <c r="B412" s="14"/>
      <c r="C412" s="15" t="s">
        <v>420</v>
      </c>
      <c r="D412" s="52">
        <v>7805000</v>
      </c>
      <c r="E412" s="15">
        <v>8390099</v>
      </c>
      <c r="F412" s="15">
        <v>8390099</v>
      </c>
      <c r="G412" s="417">
        <f t="shared" si="11"/>
        <v>1</v>
      </c>
      <c r="H412" s="212"/>
    </row>
    <row r="413" spans="1:8" ht="25.5" customHeight="1">
      <c r="A413" s="17"/>
      <c r="B413" s="16"/>
      <c r="C413" s="25" t="s">
        <v>950</v>
      </c>
      <c r="D413" s="54"/>
      <c r="E413" s="25">
        <v>232853</v>
      </c>
      <c r="F413" s="25">
        <v>22000</v>
      </c>
      <c r="G413" s="406">
        <f t="shared" si="11"/>
        <v>0.09448020854358759</v>
      </c>
      <c r="H413" s="212"/>
    </row>
    <row r="414" spans="1:8" ht="19.5" customHeight="1">
      <c r="A414" s="57"/>
      <c r="B414" s="213">
        <v>85202</v>
      </c>
      <c r="C414" s="48" t="s">
        <v>352</v>
      </c>
      <c r="D414" s="408">
        <f>SUM(D415:D416)</f>
        <v>7595000</v>
      </c>
      <c r="E414" s="48">
        <f>SUM(E415:E416)</f>
        <v>8060000</v>
      </c>
      <c r="F414" s="48">
        <f>SUM(F415:F416)</f>
        <v>8020000</v>
      </c>
      <c r="G414" s="184">
        <f t="shared" si="11"/>
        <v>0.9950372208436724</v>
      </c>
      <c r="H414" s="202"/>
    </row>
    <row r="415" spans="1:8" ht="19.5" customHeight="1">
      <c r="A415" s="17"/>
      <c r="B415" s="14"/>
      <c r="C415" s="15" t="s">
        <v>421</v>
      </c>
      <c r="D415" s="52">
        <v>7595000</v>
      </c>
      <c r="E415" s="15">
        <v>7960000</v>
      </c>
      <c r="F415" s="15">
        <v>7960000</v>
      </c>
      <c r="G415" s="417">
        <f t="shared" si="11"/>
        <v>1</v>
      </c>
      <c r="H415" s="214"/>
    </row>
    <row r="416" spans="1:8" ht="25.5" customHeight="1">
      <c r="A416" s="18"/>
      <c r="B416" s="16"/>
      <c r="C416" s="25" t="s">
        <v>491</v>
      </c>
      <c r="D416" s="54"/>
      <c r="E416" s="25">
        <v>100000</v>
      </c>
      <c r="F416" s="25">
        <v>60000</v>
      </c>
      <c r="G416" s="406">
        <f>F416/E416</f>
        <v>0.6</v>
      </c>
      <c r="H416" s="217"/>
    </row>
    <row r="417" spans="1:8" ht="19.5" customHeight="1">
      <c r="A417" s="155">
        <v>853</v>
      </c>
      <c r="B417" s="200"/>
      <c r="C417" s="209" t="s">
        <v>464</v>
      </c>
      <c r="D417" s="466"/>
      <c r="E417" s="209">
        <f>E418+E420</f>
        <v>228363</v>
      </c>
      <c r="F417" s="209">
        <f>F418+F420</f>
        <v>267670</v>
      </c>
      <c r="G417" s="156">
        <f>F417/E417</f>
        <v>1.1721250815587463</v>
      </c>
      <c r="H417" s="208"/>
    </row>
    <row r="418" spans="1:9" s="80" customFormat="1" ht="19.5" customHeight="1">
      <c r="A418" s="205"/>
      <c r="B418" s="206">
        <v>85324</v>
      </c>
      <c r="C418" s="207" t="s">
        <v>520</v>
      </c>
      <c r="D418" s="100"/>
      <c r="E418" s="7">
        <f>E419</f>
        <v>150000</v>
      </c>
      <c r="F418" s="7">
        <f>F419</f>
        <v>189307</v>
      </c>
      <c r="G418" s="102">
        <f>F418/E418</f>
        <v>1.2620466666666668</v>
      </c>
      <c r="H418" s="216"/>
      <c r="I418" s="303"/>
    </row>
    <row r="419" spans="1:8" ht="25.5" customHeight="1">
      <c r="A419" s="17"/>
      <c r="B419" s="422"/>
      <c r="C419" s="310" t="s">
        <v>951</v>
      </c>
      <c r="D419" s="77"/>
      <c r="E419" s="76">
        <v>150000</v>
      </c>
      <c r="F419" s="76">
        <v>189307</v>
      </c>
      <c r="G419" s="316">
        <f>F419/E419</f>
        <v>1.2620466666666668</v>
      </c>
      <c r="H419" s="217"/>
    </row>
    <row r="420" spans="1:8" ht="18.75" customHeight="1">
      <c r="A420" s="57"/>
      <c r="B420" s="211">
        <v>85333</v>
      </c>
      <c r="C420" s="43" t="s">
        <v>423</v>
      </c>
      <c r="D420" s="467"/>
      <c r="E420" s="43">
        <f>E421</f>
        <v>78363</v>
      </c>
      <c r="F420" s="43">
        <f>F421</f>
        <v>78363</v>
      </c>
      <c r="G420" s="192">
        <f t="shared" si="11"/>
        <v>1</v>
      </c>
      <c r="H420" s="202"/>
    </row>
    <row r="421" spans="1:8" ht="25.5" customHeight="1">
      <c r="A421" s="17"/>
      <c r="B421" s="16"/>
      <c r="C421" s="42" t="s">
        <v>866</v>
      </c>
      <c r="D421" s="468"/>
      <c r="E421" s="44">
        <v>78363</v>
      </c>
      <c r="F421" s="44">
        <v>78363</v>
      </c>
      <c r="G421" s="360">
        <f t="shared" si="11"/>
        <v>1</v>
      </c>
      <c r="H421" s="212"/>
    </row>
    <row r="422" spans="1:8" ht="19.5" customHeight="1">
      <c r="A422" s="241">
        <v>854</v>
      </c>
      <c r="B422" s="428"/>
      <c r="C422" s="431" t="s">
        <v>933</v>
      </c>
      <c r="D422" s="462"/>
      <c r="E422" s="431">
        <f>E423+E425</f>
        <v>574814</v>
      </c>
      <c r="F422" s="431">
        <f>F423+F425</f>
        <v>568996</v>
      </c>
      <c r="G422" s="156">
        <f t="shared" si="11"/>
        <v>0.9898784650339066</v>
      </c>
      <c r="H422" s="440"/>
    </row>
    <row r="423" spans="1:8" ht="19.5" customHeight="1">
      <c r="A423" s="205"/>
      <c r="B423" s="206">
        <v>85403</v>
      </c>
      <c r="C423" s="169" t="s">
        <v>404</v>
      </c>
      <c r="D423" s="451"/>
      <c r="E423" s="169">
        <f>E424</f>
        <v>26900</v>
      </c>
      <c r="F423" s="169">
        <f>F424</f>
        <v>21082</v>
      </c>
      <c r="G423" s="170">
        <f>F423/E423</f>
        <v>0.7837174721189591</v>
      </c>
      <c r="H423" s="218"/>
    </row>
    <row r="424" spans="1:8" ht="25.5" customHeight="1">
      <c r="A424" s="17"/>
      <c r="B424" s="41"/>
      <c r="C424" s="42" t="s">
        <v>487</v>
      </c>
      <c r="D424" s="45"/>
      <c r="E424" s="42">
        <v>26900</v>
      </c>
      <c r="F424" s="42">
        <v>21082</v>
      </c>
      <c r="G424" s="171">
        <f>F424/E424</f>
        <v>0.7837174721189591</v>
      </c>
      <c r="H424" s="215"/>
    </row>
    <row r="425" spans="1:8" ht="19.5" customHeight="1">
      <c r="A425" s="205"/>
      <c r="B425" s="206">
        <v>85415</v>
      </c>
      <c r="C425" s="169" t="s">
        <v>424</v>
      </c>
      <c r="D425" s="451"/>
      <c r="E425" s="169">
        <f>E426</f>
        <v>547914</v>
      </c>
      <c r="F425" s="169">
        <f>F426</f>
        <v>547914</v>
      </c>
      <c r="G425" s="170">
        <f t="shared" si="11"/>
        <v>1</v>
      </c>
      <c r="H425" s="218"/>
    </row>
    <row r="426" spans="1:8" ht="19.5" customHeight="1">
      <c r="A426" s="17"/>
      <c r="B426" s="14"/>
      <c r="C426" s="311" t="s">
        <v>896</v>
      </c>
      <c r="D426" s="313"/>
      <c r="E426" s="311">
        <v>547914</v>
      </c>
      <c r="F426" s="311">
        <v>547914</v>
      </c>
      <c r="G426" s="404">
        <f t="shared" si="11"/>
        <v>1</v>
      </c>
      <c r="H426" s="215"/>
    </row>
    <row r="427" spans="1:8" ht="19.5" customHeight="1">
      <c r="A427" s="666"/>
      <c r="B427" s="667"/>
      <c r="C427" s="661"/>
      <c r="D427" s="661"/>
      <c r="E427" s="661"/>
      <c r="F427" s="661"/>
      <c r="G427" s="662"/>
      <c r="H427" s="592"/>
    </row>
    <row r="428" spans="1:8" ht="24.75" customHeight="1" thickBot="1">
      <c r="A428" s="19"/>
      <c r="B428" s="20"/>
      <c r="C428" s="507" t="s">
        <v>892</v>
      </c>
      <c r="D428" s="470">
        <f>D429+D432+D435+D442+D446</f>
        <v>20000</v>
      </c>
      <c r="E428" s="222">
        <f>E429+E432+E435+E442+E446</f>
        <v>456257</v>
      </c>
      <c r="F428" s="222">
        <f>F429+F432+F435+F442+F446</f>
        <v>448106</v>
      </c>
      <c r="G428" s="223">
        <f aca="true" t="shared" si="12" ref="G428:G489">F428/E428</f>
        <v>0.982135068612646</v>
      </c>
      <c r="H428" s="216"/>
    </row>
    <row r="429" spans="1:8" ht="19.5" customHeight="1" thickTop="1">
      <c r="A429" s="123">
        <v>754</v>
      </c>
      <c r="B429" s="400"/>
      <c r="C429" s="401" t="s">
        <v>394</v>
      </c>
      <c r="D429" s="469"/>
      <c r="E429" s="392">
        <f>E430</f>
        <v>32500</v>
      </c>
      <c r="F429" s="392">
        <f>F430</f>
        <v>26500</v>
      </c>
      <c r="G429" s="402">
        <f t="shared" si="12"/>
        <v>0.8153846153846154</v>
      </c>
      <c r="H429" s="216"/>
    </row>
    <row r="430" spans="1:8" ht="19.5" customHeight="1">
      <c r="A430" s="228"/>
      <c r="B430" s="47">
        <v>75411</v>
      </c>
      <c r="C430" s="387" t="s">
        <v>432</v>
      </c>
      <c r="D430" s="456"/>
      <c r="E430" s="46">
        <f>E431</f>
        <v>32500</v>
      </c>
      <c r="F430" s="46">
        <f>F431</f>
        <v>26500</v>
      </c>
      <c r="G430" s="174">
        <f t="shared" si="12"/>
        <v>0.8153846153846154</v>
      </c>
      <c r="H430" s="216"/>
    </row>
    <row r="431" spans="1:8" ht="25.5" customHeight="1">
      <c r="A431" s="19"/>
      <c r="B431" s="20"/>
      <c r="C431" s="414" t="s">
        <v>952</v>
      </c>
      <c r="D431" s="45"/>
      <c r="E431" s="42">
        <v>32500</v>
      </c>
      <c r="F431" s="42">
        <v>26500</v>
      </c>
      <c r="G431" s="171">
        <f t="shared" si="12"/>
        <v>0.8153846153846154</v>
      </c>
      <c r="H431" s="217"/>
    </row>
    <row r="432" spans="1:8" ht="19.5" customHeight="1">
      <c r="A432" s="219" t="s">
        <v>940</v>
      </c>
      <c r="B432" s="219"/>
      <c r="C432" s="105" t="s">
        <v>347</v>
      </c>
      <c r="D432" s="457"/>
      <c r="E432" s="220">
        <f>E433</f>
        <v>60000</v>
      </c>
      <c r="F432" s="220">
        <f>F433</f>
        <v>60000</v>
      </c>
      <c r="G432" s="178">
        <f t="shared" si="12"/>
        <v>1</v>
      </c>
      <c r="H432" s="294">
        <f>H433</f>
        <v>0</v>
      </c>
    </row>
    <row r="433" spans="1:8" ht="19.5" customHeight="1">
      <c r="A433" s="21"/>
      <c r="B433" s="221" t="s">
        <v>345</v>
      </c>
      <c r="C433" s="506" t="s">
        <v>966</v>
      </c>
      <c r="D433" s="100"/>
      <c r="E433" s="7">
        <f>E434</f>
        <v>60000</v>
      </c>
      <c r="F433" s="7">
        <f>F434</f>
        <v>60000</v>
      </c>
      <c r="G433" s="102">
        <f t="shared" si="12"/>
        <v>1</v>
      </c>
      <c r="H433" s="203"/>
    </row>
    <row r="434" spans="1:8" ht="25.5" customHeight="1">
      <c r="A434" s="21"/>
      <c r="B434" s="312"/>
      <c r="C434" s="498" t="s">
        <v>953</v>
      </c>
      <c r="D434" s="313"/>
      <c r="E434" s="465">
        <v>60000</v>
      </c>
      <c r="F434" s="465">
        <v>60000</v>
      </c>
      <c r="G434" s="525">
        <f t="shared" si="12"/>
        <v>1</v>
      </c>
      <c r="H434" s="204"/>
    </row>
    <row r="435" spans="1:16" s="517" customFormat="1" ht="18.75" customHeight="1">
      <c r="A435" s="224" t="s">
        <v>867</v>
      </c>
      <c r="B435" s="526"/>
      <c r="C435" s="183" t="s">
        <v>463</v>
      </c>
      <c r="D435" s="225"/>
      <c r="E435" s="225">
        <f>E436+E438+E440</f>
        <v>66000</v>
      </c>
      <c r="F435" s="225">
        <f>F436+F438+F440</f>
        <v>68480</v>
      </c>
      <c r="G435" s="226">
        <f t="shared" si="12"/>
        <v>1.0375757575757576</v>
      </c>
      <c r="H435" s="216"/>
      <c r="I435" s="303"/>
      <c r="J435" s="80"/>
      <c r="K435" s="80"/>
      <c r="L435" s="80"/>
      <c r="M435" s="80"/>
      <c r="N435" s="80"/>
      <c r="O435" s="80"/>
      <c r="P435" s="80"/>
    </row>
    <row r="436" spans="1:16" s="517" customFormat="1" ht="18.75" customHeight="1">
      <c r="A436" s="527"/>
      <c r="B436" s="528" t="s">
        <v>868</v>
      </c>
      <c r="C436" s="387" t="s">
        <v>422</v>
      </c>
      <c r="D436" s="46"/>
      <c r="E436" s="46">
        <f>E437</f>
        <v>36000</v>
      </c>
      <c r="F436" s="46">
        <f>F437</f>
        <v>35492</v>
      </c>
      <c r="G436" s="174">
        <f t="shared" si="12"/>
        <v>0.9858888888888889</v>
      </c>
      <c r="H436" s="216"/>
      <c r="I436" s="303"/>
      <c r="J436" s="80"/>
      <c r="K436" s="80"/>
      <c r="L436" s="80"/>
      <c r="M436" s="80"/>
      <c r="N436" s="80"/>
      <c r="O436" s="80"/>
      <c r="P436" s="80"/>
    </row>
    <row r="437" spans="1:8" s="84" customFormat="1" ht="25.5" customHeight="1">
      <c r="A437" s="21"/>
      <c r="B437" s="312"/>
      <c r="C437" s="494" t="s">
        <v>955</v>
      </c>
      <c r="D437" s="15"/>
      <c r="E437" s="15">
        <v>36000</v>
      </c>
      <c r="F437" s="15">
        <v>35492</v>
      </c>
      <c r="G437" s="417">
        <f t="shared" si="12"/>
        <v>0.9858888888888889</v>
      </c>
      <c r="H437" s="592"/>
    </row>
    <row r="438" spans="1:16" s="517" customFormat="1" ht="19.5" customHeight="1">
      <c r="A438" s="527"/>
      <c r="B438" s="528" t="s">
        <v>959</v>
      </c>
      <c r="C438" s="387" t="s">
        <v>399</v>
      </c>
      <c r="D438" s="46"/>
      <c r="E438" s="46"/>
      <c r="F438" s="46">
        <f>F439</f>
        <v>2988</v>
      </c>
      <c r="G438" s="174"/>
      <c r="H438" s="216"/>
      <c r="I438" s="303"/>
      <c r="J438" s="80"/>
      <c r="K438" s="80"/>
      <c r="L438" s="80"/>
      <c r="M438" s="80"/>
      <c r="N438" s="80"/>
      <c r="O438" s="80"/>
      <c r="P438" s="80"/>
    </row>
    <row r="439" spans="1:8" s="84" customFormat="1" ht="19.5" customHeight="1">
      <c r="A439" s="21"/>
      <c r="B439" s="312"/>
      <c r="C439" s="494" t="s">
        <v>960</v>
      </c>
      <c r="D439" s="15"/>
      <c r="E439" s="15"/>
      <c r="F439" s="15">
        <v>2988</v>
      </c>
      <c r="G439" s="417"/>
      <c r="H439" s="592"/>
    </row>
    <row r="440" spans="1:16" s="517" customFormat="1" ht="19.5" customHeight="1">
      <c r="A440" s="527"/>
      <c r="B440" s="528" t="s">
        <v>869</v>
      </c>
      <c r="C440" s="387" t="s">
        <v>966</v>
      </c>
      <c r="D440" s="46"/>
      <c r="E440" s="46">
        <f>E441</f>
        <v>30000</v>
      </c>
      <c r="F440" s="46">
        <f>F441</f>
        <v>30000</v>
      </c>
      <c r="G440" s="174">
        <f t="shared" si="12"/>
        <v>1</v>
      </c>
      <c r="H440" s="216"/>
      <c r="I440" s="303"/>
      <c r="J440" s="80"/>
      <c r="K440" s="80"/>
      <c r="L440" s="80"/>
      <c r="M440" s="80"/>
      <c r="N440" s="80"/>
      <c r="O440" s="80"/>
      <c r="P440" s="80"/>
    </row>
    <row r="441" spans="1:8" s="84" customFormat="1" ht="25.5" customHeight="1">
      <c r="A441" s="21"/>
      <c r="B441" s="312"/>
      <c r="C441" s="494" t="s">
        <v>870</v>
      </c>
      <c r="D441" s="15"/>
      <c r="E441" s="15">
        <v>30000</v>
      </c>
      <c r="F441" s="15">
        <v>30000</v>
      </c>
      <c r="G441" s="417">
        <f t="shared" si="12"/>
        <v>1</v>
      </c>
      <c r="H441" s="592"/>
    </row>
    <row r="442" spans="1:16" s="517" customFormat="1" ht="18.75" customHeight="1">
      <c r="A442" s="224" t="s">
        <v>871</v>
      </c>
      <c r="B442" s="526"/>
      <c r="C442" s="183" t="s">
        <v>933</v>
      </c>
      <c r="D442" s="225"/>
      <c r="E442" s="225">
        <f>E443</f>
        <v>201855</v>
      </c>
      <c r="F442" s="225">
        <f>F443</f>
        <v>197224</v>
      </c>
      <c r="G442" s="226">
        <f t="shared" si="12"/>
        <v>0.9770577890069604</v>
      </c>
      <c r="H442" s="216"/>
      <c r="I442" s="303"/>
      <c r="J442" s="80"/>
      <c r="K442" s="80"/>
      <c r="L442" s="80"/>
      <c r="M442" s="80"/>
      <c r="N442" s="80"/>
      <c r="O442" s="80"/>
      <c r="P442" s="80"/>
    </row>
    <row r="443" spans="1:16" s="517" customFormat="1" ht="18.75" customHeight="1">
      <c r="A443" s="527"/>
      <c r="B443" s="528" t="s">
        <v>872</v>
      </c>
      <c r="C443" s="387" t="s">
        <v>424</v>
      </c>
      <c r="D443" s="46"/>
      <c r="E443" s="46">
        <f>E444</f>
        <v>201855</v>
      </c>
      <c r="F443" s="46">
        <f>SUM(F444:F445)</f>
        <v>197224</v>
      </c>
      <c r="G443" s="174">
        <f t="shared" si="12"/>
        <v>0.9770577890069604</v>
      </c>
      <c r="H443" s="216"/>
      <c r="I443" s="303"/>
      <c r="J443" s="80"/>
      <c r="K443" s="80"/>
      <c r="L443" s="80"/>
      <c r="M443" s="80"/>
      <c r="N443" s="80"/>
      <c r="O443" s="80"/>
      <c r="P443" s="80"/>
    </row>
    <row r="444" spans="1:8" s="84" customFormat="1" ht="39" customHeight="1">
      <c r="A444" s="21"/>
      <c r="B444" s="312"/>
      <c r="C444" s="494" t="s">
        <v>875</v>
      </c>
      <c r="D444" s="15"/>
      <c r="E444" s="15">
        <v>201855</v>
      </c>
      <c r="F444" s="15">
        <v>197192</v>
      </c>
      <c r="G444" s="417">
        <f t="shared" si="12"/>
        <v>0.9768992593693493</v>
      </c>
      <c r="H444" s="592"/>
    </row>
    <row r="445" spans="1:8" s="84" customFormat="1" ht="19.5" customHeight="1">
      <c r="A445" s="21"/>
      <c r="B445" s="533"/>
      <c r="C445" s="495" t="s">
        <v>314</v>
      </c>
      <c r="D445" s="25"/>
      <c r="E445" s="25"/>
      <c r="F445" s="25">
        <v>32</v>
      </c>
      <c r="G445" s="406"/>
      <c r="H445" s="592"/>
    </row>
    <row r="446" spans="1:16" s="517" customFormat="1" ht="19.5" customHeight="1">
      <c r="A446" s="224" t="s">
        <v>887</v>
      </c>
      <c r="B446" s="526"/>
      <c r="C446" s="183" t="s">
        <v>512</v>
      </c>
      <c r="D446" s="225">
        <f>D447+D449</f>
        <v>20000</v>
      </c>
      <c r="E446" s="225">
        <f>E447+E449</f>
        <v>95902</v>
      </c>
      <c r="F446" s="225">
        <f>F447+F449</f>
        <v>95902</v>
      </c>
      <c r="G446" s="226">
        <f t="shared" si="12"/>
        <v>1</v>
      </c>
      <c r="H446" s="216"/>
      <c r="I446" s="303"/>
      <c r="J446" s="80"/>
      <c r="K446" s="80"/>
      <c r="L446" s="80"/>
      <c r="M446" s="80"/>
      <c r="N446" s="80"/>
      <c r="O446" s="80"/>
      <c r="P446" s="80"/>
    </row>
    <row r="447" spans="1:16" s="517" customFormat="1" ht="19.5" customHeight="1">
      <c r="A447" s="527"/>
      <c r="B447" s="528" t="s">
        <v>513</v>
      </c>
      <c r="C447" s="387" t="s">
        <v>514</v>
      </c>
      <c r="D447" s="46">
        <f>D448</f>
        <v>20000</v>
      </c>
      <c r="E447" s="46">
        <f>E448</f>
        <v>20000</v>
      </c>
      <c r="F447" s="46">
        <f>F448</f>
        <v>20000</v>
      </c>
      <c r="G447" s="174">
        <f t="shared" si="12"/>
        <v>1</v>
      </c>
      <c r="H447" s="216"/>
      <c r="I447" s="303"/>
      <c r="J447" s="80"/>
      <c r="K447" s="80"/>
      <c r="L447" s="80"/>
      <c r="M447" s="80"/>
      <c r="N447" s="80"/>
      <c r="O447" s="80"/>
      <c r="P447" s="80"/>
    </row>
    <row r="448" spans="1:8" s="84" customFormat="1" ht="25.5" customHeight="1">
      <c r="A448" s="21"/>
      <c r="B448" s="312"/>
      <c r="C448" s="414" t="s">
        <v>346</v>
      </c>
      <c r="D448" s="42">
        <v>20000</v>
      </c>
      <c r="E448" s="42">
        <v>20000</v>
      </c>
      <c r="F448" s="42">
        <v>20000</v>
      </c>
      <c r="G448" s="171">
        <f t="shared" si="12"/>
        <v>1</v>
      </c>
      <c r="H448" s="592"/>
    </row>
    <row r="449" spans="1:16" s="517" customFormat="1" ht="19.5" customHeight="1">
      <c r="A449" s="527"/>
      <c r="B449" s="528" t="s">
        <v>876</v>
      </c>
      <c r="C449" s="387" t="s">
        <v>877</v>
      </c>
      <c r="D449" s="46"/>
      <c r="E449" s="46">
        <f>E450</f>
        <v>75902</v>
      </c>
      <c r="F449" s="46">
        <f>F450</f>
        <v>75902</v>
      </c>
      <c r="G449" s="174">
        <f t="shared" si="12"/>
        <v>1</v>
      </c>
      <c r="H449" s="216"/>
      <c r="I449" s="303"/>
      <c r="J449" s="80"/>
      <c r="K449" s="80"/>
      <c r="L449" s="80"/>
      <c r="M449" s="80"/>
      <c r="N449" s="80"/>
      <c r="O449" s="80"/>
      <c r="P449" s="80"/>
    </row>
    <row r="450" spans="1:8" s="84" customFormat="1" ht="25.5" customHeight="1">
      <c r="A450" s="588"/>
      <c r="B450" s="631"/>
      <c r="C450" s="414" t="s">
        <v>954</v>
      </c>
      <c r="D450" s="42"/>
      <c r="E450" s="42">
        <v>75902</v>
      </c>
      <c r="F450" s="42">
        <v>75902</v>
      </c>
      <c r="G450" s="171">
        <f t="shared" si="12"/>
        <v>1</v>
      </c>
      <c r="H450" s="592"/>
    </row>
    <row r="451" spans="1:8" ht="30" customHeight="1" thickBot="1">
      <c r="A451" s="19"/>
      <c r="B451" s="20"/>
      <c r="C451" s="507" t="s">
        <v>897</v>
      </c>
      <c r="D451" s="470">
        <f>D452+D455+D460+D465+D468+D474+D484</f>
        <v>19128905</v>
      </c>
      <c r="E451" s="222">
        <f>E452+E455+E460+E465+E468+E474+E484</f>
        <v>19729761</v>
      </c>
      <c r="F451" s="222">
        <f>F452+F455+F460+F465+F468+F474+F484</f>
        <v>19159801</v>
      </c>
      <c r="G451" s="223">
        <f t="shared" si="12"/>
        <v>0.9711116622243929</v>
      </c>
      <c r="H451" s="295"/>
    </row>
    <row r="452" spans="1:9" s="84" customFormat="1" ht="19.5" customHeight="1" thickTop="1">
      <c r="A452" s="133">
        <v>700</v>
      </c>
      <c r="B452" s="96"/>
      <c r="C452" s="105" t="s">
        <v>406</v>
      </c>
      <c r="D452" s="457">
        <f aca="true" t="shared" si="13" ref="D452:F453">D453</f>
        <v>338200</v>
      </c>
      <c r="E452" s="220">
        <f t="shared" si="13"/>
        <v>553982</v>
      </c>
      <c r="F452" s="220">
        <f t="shared" si="13"/>
        <v>553982</v>
      </c>
      <c r="G452" s="178">
        <f t="shared" si="12"/>
        <v>1</v>
      </c>
      <c r="H452" s="294"/>
      <c r="I452" s="118"/>
    </row>
    <row r="453" spans="1:17" s="84" customFormat="1" ht="19.5" customHeight="1">
      <c r="A453" s="22"/>
      <c r="B453" s="47">
        <v>70005</v>
      </c>
      <c r="C453" s="387" t="s">
        <v>425</v>
      </c>
      <c r="D453" s="456">
        <f t="shared" si="13"/>
        <v>338200</v>
      </c>
      <c r="E453" s="46">
        <f t="shared" si="13"/>
        <v>553982</v>
      </c>
      <c r="F453" s="46">
        <f t="shared" si="13"/>
        <v>553982</v>
      </c>
      <c r="G453" s="174">
        <f t="shared" si="12"/>
        <v>1</v>
      </c>
      <c r="H453" s="296" t="e">
        <f>H454+#REF!</f>
        <v>#REF!</v>
      </c>
      <c r="I453" s="216"/>
      <c r="J453" s="227"/>
      <c r="K453" s="227"/>
      <c r="L453" s="227"/>
      <c r="M453" s="227"/>
      <c r="N453" s="227"/>
      <c r="O453" s="227"/>
      <c r="P453" s="227"/>
      <c r="Q453" s="227"/>
    </row>
    <row r="454" spans="1:9" s="84" customFormat="1" ht="25.5" customHeight="1">
      <c r="A454" s="19"/>
      <c r="B454" s="20"/>
      <c r="C454" s="433" t="s">
        <v>956</v>
      </c>
      <c r="D454" s="45">
        <v>338200</v>
      </c>
      <c r="E454" s="42">
        <v>553982</v>
      </c>
      <c r="F454" s="42">
        <v>553982</v>
      </c>
      <c r="G454" s="171">
        <f t="shared" si="12"/>
        <v>1</v>
      </c>
      <c r="H454" s="215"/>
      <c r="I454" s="118"/>
    </row>
    <row r="455" spans="1:9" s="84" customFormat="1" ht="19.5" customHeight="1">
      <c r="A455" s="123">
        <v>710</v>
      </c>
      <c r="B455" s="96"/>
      <c r="C455" s="105" t="s">
        <v>393</v>
      </c>
      <c r="D455" s="457">
        <f>D456+D458</f>
        <v>438760</v>
      </c>
      <c r="E455" s="220">
        <f>E456+E458</f>
        <v>512006</v>
      </c>
      <c r="F455" s="220">
        <f>F456+F458</f>
        <v>512003</v>
      </c>
      <c r="G455" s="178">
        <v>0.9999</v>
      </c>
      <c r="H455" s="294"/>
      <c r="I455" s="118"/>
    </row>
    <row r="456" spans="1:9" s="84" customFormat="1" ht="19.5" customHeight="1">
      <c r="A456" s="22"/>
      <c r="B456" s="47">
        <v>71013</v>
      </c>
      <c r="C456" s="387" t="s">
        <v>426</v>
      </c>
      <c r="D456" s="456">
        <f>D457</f>
        <v>90000</v>
      </c>
      <c r="E456" s="46">
        <f>E457</f>
        <v>90000</v>
      </c>
      <c r="F456" s="46">
        <f>F457</f>
        <v>90000</v>
      </c>
      <c r="G456" s="174">
        <f t="shared" si="12"/>
        <v>1</v>
      </c>
      <c r="H456" s="296"/>
      <c r="I456" s="118"/>
    </row>
    <row r="457" spans="1:9" s="84" customFormat="1" ht="19.5" customHeight="1">
      <c r="A457" s="22"/>
      <c r="B457" s="23"/>
      <c r="C457" s="510" t="s">
        <v>427</v>
      </c>
      <c r="D457" s="52">
        <v>90000</v>
      </c>
      <c r="E457" s="313">
        <v>90000</v>
      </c>
      <c r="F457" s="313">
        <v>90000</v>
      </c>
      <c r="G457" s="362">
        <f t="shared" si="12"/>
        <v>1</v>
      </c>
      <c r="H457" s="214"/>
      <c r="I457" s="118"/>
    </row>
    <row r="458" spans="1:256" s="84" customFormat="1" ht="19.5" customHeight="1">
      <c r="A458" s="22"/>
      <c r="B458" s="47">
        <v>71015</v>
      </c>
      <c r="C458" s="387" t="s">
        <v>428</v>
      </c>
      <c r="D458" s="456">
        <f>SUM(D459:D459)</f>
        <v>348760</v>
      </c>
      <c r="E458" s="46">
        <f>SUM(E459:E459)</f>
        <v>422006</v>
      </c>
      <c r="F458" s="46">
        <f>F459</f>
        <v>422003</v>
      </c>
      <c r="G458" s="174">
        <v>0.9999</v>
      </c>
      <c r="H458" s="296"/>
      <c r="I458" s="118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  <c r="CF458" s="83"/>
      <c r="CG458" s="83"/>
      <c r="CH458" s="83"/>
      <c r="CI458" s="83"/>
      <c r="CJ458" s="83"/>
      <c r="CK458" s="83"/>
      <c r="CL458" s="83"/>
      <c r="CM458" s="83"/>
      <c r="CN458" s="83"/>
      <c r="CO458" s="83"/>
      <c r="CP458" s="83"/>
      <c r="CQ458" s="83"/>
      <c r="CR458" s="83"/>
      <c r="CS458" s="83"/>
      <c r="CT458" s="83"/>
      <c r="CU458" s="83"/>
      <c r="CV458" s="83"/>
      <c r="CW458" s="83"/>
      <c r="CX458" s="83"/>
      <c r="CY458" s="83"/>
      <c r="CZ458" s="83"/>
      <c r="DA458" s="83"/>
      <c r="DB458" s="83"/>
      <c r="DC458" s="83"/>
      <c r="DD458" s="83"/>
      <c r="DE458" s="83"/>
      <c r="DF458" s="83"/>
      <c r="DG458" s="83"/>
      <c r="DH458" s="83"/>
      <c r="DI458" s="83"/>
      <c r="DJ458" s="83"/>
      <c r="DK458" s="83"/>
      <c r="DL458" s="83"/>
      <c r="DM458" s="83"/>
      <c r="DN458" s="83"/>
      <c r="DO458" s="83"/>
      <c r="DP458" s="83"/>
      <c r="DQ458" s="83"/>
      <c r="DR458" s="83"/>
      <c r="DS458" s="83"/>
      <c r="DT458" s="83"/>
      <c r="DU458" s="83"/>
      <c r="DV458" s="83"/>
      <c r="DW458" s="83"/>
      <c r="DX458" s="83"/>
      <c r="DY458" s="83"/>
      <c r="DZ458" s="83"/>
      <c r="EA458" s="83"/>
      <c r="EB458" s="83"/>
      <c r="EC458" s="83"/>
      <c r="ED458" s="83"/>
      <c r="EE458" s="83"/>
      <c r="EF458" s="83"/>
      <c r="EG458" s="83"/>
      <c r="EH458" s="83"/>
      <c r="EI458" s="83"/>
      <c r="EJ458" s="83"/>
      <c r="EK458" s="83"/>
      <c r="EL458" s="83"/>
      <c r="EM458" s="83"/>
      <c r="EN458" s="83"/>
      <c r="EO458" s="83"/>
      <c r="EP458" s="83"/>
      <c r="EQ458" s="83"/>
      <c r="ER458" s="83"/>
      <c r="ES458" s="83"/>
      <c r="ET458" s="83"/>
      <c r="EU458" s="83"/>
      <c r="EV458" s="83"/>
      <c r="EW458" s="83"/>
      <c r="EX458" s="83"/>
      <c r="EY458" s="83"/>
      <c r="EZ458" s="83"/>
      <c r="FA458" s="83"/>
      <c r="FB458" s="83"/>
      <c r="FC458" s="83"/>
      <c r="FD458" s="83"/>
      <c r="FE458" s="83"/>
      <c r="FF458" s="83"/>
      <c r="FG458" s="83"/>
      <c r="FH458" s="83"/>
      <c r="FI458" s="83"/>
      <c r="FJ458" s="83"/>
      <c r="FK458" s="83"/>
      <c r="FL458" s="83"/>
      <c r="FM458" s="83"/>
      <c r="FN458" s="83"/>
      <c r="FO458" s="83"/>
      <c r="FP458" s="83"/>
      <c r="FQ458" s="83"/>
      <c r="FR458" s="83"/>
      <c r="FS458" s="83"/>
      <c r="FT458" s="83"/>
      <c r="FU458" s="83"/>
      <c r="FV458" s="83"/>
      <c r="FW458" s="83"/>
      <c r="FX458" s="83"/>
      <c r="FY458" s="83"/>
      <c r="FZ458" s="83"/>
      <c r="GA458" s="83"/>
      <c r="GB458" s="83"/>
      <c r="GC458" s="83"/>
      <c r="GD458" s="83"/>
      <c r="GE458" s="83"/>
      <c r="GF458" s="83"/>
      <c r="GG458" s="83"/>
      <c r="GH458" s="83"/>
      <c r="GI458" s="83"/>
      <c r="GJ458" s="83"/>
      <c r="GK458" s="83"/>
      <c r="GL458" s="83"/>
      <c r="GM458" s="83"/>
      <c r="GN458" s="83"/>
      <c r="GO458" s="83"/>
      <c r="GP458" s="83"/>
      <c r="GQ458" s="83"/>
      <c r="GR458" s="83"/>
      <c r="GS458" s="83"/>
      <c r="GT458" s="83"/>
      <c r="GU458" s="83"/>
      <c r="GV458" s="83"/>
      <c r="GW458" s="83"/>
      <c r="GX458" s="83"/>
      <c r="GY458" s="83"/>
      <c r="GZ458" s="83"/>
      <c r="HA458" s="83"/>
      <c r="HB458" s="83"/>
      <c r="HC458" s="83"/>
      <c r="HD458" s="83"/>
      <c r="HE458" s="83"/>
      <c r="HF458" s="83"/>
      <c r="HG458" s="83"/>
      <c r="HH458" s="83"/>
      <c r="HI458" s="83"/>
      <c r="HJ458" s="83"/>
      <c r="HK458" s="83"/>
      <c r="HL458" s="83"/>
      <c r="HM458" s="83"/>
      <c r="HN458" s="83"/>
      <c r="HO458" s="83"/>
      <c r="HP458" s="83"/>
      <c r="HQ458" s="83"/>
      <c r="HR458" s="83"/>
      <c r="HS458" s="83"/>
      <c r="HT458" s="83"/>
      <c r="HU458" s="83"/>
      <c r="HV458" s="83"/>
      <c r="HW458" s="83"/>
      <c r="HX458" s="83"/>
      <c r="HY458" s="83"/>
      <c r="HZ458" s="83"/>
      <c r="IA458" s="83"/>
      <c r="IB458" s="83"/>
      <c r="IC458" s="83"/>
      <c r="ID458" s="83"/>
      <c r="IE458" s="83"/>
      <c r="IF458" s="83"/>
      <c r="IG458" s="83"/>
      <c r="IH458" s="83"/>
      <c r="II458" s="83"/>
      <c r="IJ458" s="83"/>
      <c r="IK458" s="83"/>
      <c r="IL458" s="83"/>
      <c r="IM458" s="83"/>
      <c r="IN458" s="83"/>
      <c r="IO458" s="83"/>
      <c r="IP458" s="83"/>
      <c r="IQ458" s="83"/>
      <c r="IR458" s="83"/>
      <c r="IS458" s="83"/>
      <c r="IT458" s="83"/>
      <c r="IU458" s="83"/>
      <c r="IV458" s="83"/>
    </row>
    <row r="459" spans="1:256" s="84" customFormat="1" ht="25.5" customHeight="1">
      <c r="A459" s="19"/>
      <c r="B459" s="47"/>
      <c r="C459" s="433" t="s">
        <v>429</v>
      </c>
      <c r="D459" s="45">
        <v>348760</v>
      </c>
      <c r="E459" s="45">
        <v>422006</v>
      </c>
      <c r="F459" s="45">
        <v>422003</v>
      </c>
      <c r="G459" s="352">
        <v>0.9999</v>
      </c>
      <c r="H459" s="204"/>
      <c r="I459" s="118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  <c r="BV459" s="83"/>
      <c r="BW459" s="83"/>
      <c r="BX459" s="83"/>
      <c r="BY459" s="83"/>
      <c r="BZ459" s="83"/>
      <c r="CA459" s="83"/>
      <c r="CB459" s="83"/>
      <c r="CC459" s="83"/>
      <c r="CD459" s="83"/>
      <c r="CE459" s="83"/>
      <c r="CF459" s="83"/>
      <c r="CG459" s="83"/>
      <c r="CH459" s="83"/>
      <c r="CI459" s="83"/>
      <c r="CJ459" s="83"/>
      <c r="CK459" s="83"/>
      <c r="CL459" s="83"/>
      <c r="CM459" s="83"/>
      <c r="CN459" s="83"/>
      <c r="CO459" s="83"/>
      <c r="CP459" s="83"/>
      <c r="CQ459" s="83"/>
      <c r="CR459" s="83"/>
      <c r="CS459" s="83"/>
      <c r="CT459" s="83"/>
      <c r="CU459" s="83"/>
      <c r="CV459" s="83"/>
      <c r="CW459" s="83"/>
      <c r="CX459" s="83"/>
      <c r="CY459" s="83"/>
      <c r="CZ459" s="83"/>
      <c r="DA459" s="83"/>
      <c r="DB459" s="83"/>
      <c r="DC459" s="83"/>
      <c r="DD459" s="83"/>
      <c r="DE459" s="83"/>
      <c r="DF459" s="83"/>
      <c r="DG459" s="83"/>
      <c r="DH459" s="83"/>
      <c r="DI459" s="83"/>
      <c r="DJ459" s="83"/>
      <c r="DK459" s="83"/>
      <c r="DL459" s="83"/>
      <c r="DM459" s="83"/>
      <c r="DN459" s="83"/>
      <c r="DO459" s="83"/>
      <c r="DP459" s="83"/>
      <c r="DQ459" s="83"/>
      <c r="DR459" s="83"/>
      <c r="DS459" s="83"/>
      <c r="DT459" s="83"/>
      <c r="DU459" s="83"/>
      <c r="DV459" s="83"/>
      <c r="DW459" s="83"/>
      <c r="DX459" s="83"/>
      <c r="DY459" s="83"/>
      <c r="DZ459" s="83"/>
      <c r="EA459" s="83"/>
      <c r="EB459" s="83"/>
      <c r="EC459" s="83"/>
      <c r="ED459" s="83"/>
      <c r="EE459" s="83"/>
      <c r="EF459" s="83"/>
      <c r="EG459" s="83"/>
      <c r="EH459" s="83"/>
      <c r="EI459" s="83"/>
      <c r="EJ459" s="83"/>
      <c r="EK459" s="83"/>
      <c r="EL459" s="83"/>
      <c r="EM459" s="83"/>
      <c r="EN459" s="83"/>
      <c r="EO459" s="83"/>
      <c r="EP459" s="83"/>
      <c r="EQ459" s="83"/>
      <c r="ER459" s="83"/>
      <c r="ES459" s="83"/>
      <c r="ET459" s="83"/>
      <c r="EU459" s="83"/>
      <c r="EV459" s="83"/>
      <c r="EW459" s="83"/>
      <c r="EX459" s="83"/>
      <c r="EY459" s="83"/>
      <c r="EZ459" s="83"/>
      <c r="FA459" s="83"/>
      <c r="FB459" s="83"/>
      <c r="FC459" s="83"/>
      <c r="FD459" s="83"/>
      <c r="FE459" s="83"/>
      <c r="FF459" s="83"/>
      <c r="FG459" s="83"/>
      <c r="FH459" s="83"/>
      <c r="FI459" s="83"/>
      <c r="FJ459" s="83"/>
      <c r="FK459" s="83"/>
      <c r="FL459" s="83"/>
      <c r="FM459" s="83"/>
      <c r="FN459" s="83"/>
      <c r="FO459" s="83"/>
      <c r="FP459" s="83"/>
      <c r="FQ459" s="83"/>
      <c r="FR459" s="83"/>
      <c r="FS459" s="83"/>
      <c r="FT459" s="83"/>
      <c r="FU459" s="83"/>
      <c r="FV459" s="83"/>
      <c r="FW459" s="83"/>
      <c r="FX459" s="83"/>
      <c r="FY459" s="83"/>
      <c r="FZ459" s="83"/>
      <c r="GA459" s="83"/>
      <c r="GB459" s="83"/>
      <c r="GC459" s="83"/>
      <c r="GD459" s="83"/>
      <c r="GE459" s="83"/>
      <c r="GF459" s="83"/>
      <c r="GG459" s="83"/>
      <c r="GH459" s="83"/>
      <c r="GI459" s="83"/>
      <c r="GJ459" s="83"/>
      <c r="GK459" s="83"/>
      <c r="GL459" s="83"/>
      <c r="GM459" s="83"/>
      <c r="GN459" s="83"/>
      <c r="GO459" s="83"/>
      <c r="GP459" s="83"/>
      <c r="GQ459" s="83"/>
      <c r="GR459" s="83"/>
      <c r="GS459" s="83"/>
      <c r="GT459" s="83"/>
      <c r="GU459" s="83"/>
      <c r="GV459" s="83"/>
      <c r="GW459" s="83"/>
      <c r="GX459" s="83"/>
      <c r="GY459" s="83"/>
      <c r="GZ459" s="83"/>
      <c r="HA459" s="83"/>
      <c r="HB459" s="83"/>
      <c r="HC459" s="83"/>
      <c r="HD459" s="83"/>
      <c r="HE459" s="83"/>
      <c r="HF459" s="83"/>
      <c r="HG459" s="83"/>
      <c r="HH459" s="83"/>
      <c r="HI459" s="83"/>
      <c r="HJ459" s="83"/>
      <c r="HK459" s="83"/>
      <c r="HL459" s="83"/>
      <c r="HM459" s="83"/>
      <c r="HN459" s="83"/>
      <c r="HO459" s="83"/>
      <c r="HP459" s="83"/>
      <c r="HQ459" s="83"/>
      <c r="HR459" s="83"/>
      <c r="HS459" s="83"/>
      <c r="HT459" s="83"/>
      <c r="HU459" s="83"/>
      <c r="HV459" s="83"/>
      <c r="HW459" s="83"/>
      <c r="HX459" s="83"/>
      <c r="HY459" s="83"/>
      <c r="HZ459" s="83"/>
      <c r="IA459" s="83"/>
      <c r="IB459" s="83"/>
      <c r="IC459" s="83"/>
      <c r="ID459" s="83"/>
      <c r="IE459" s="83"/>
      <c r="IF459" s="83"/>
      <c r="IG459" s="83"/>
      <c r="IH459" s="83"/>
      <c r="II459" s="83"/>
      <c r="IJ459" s="83"/>
      <c r="IK459" s="83"/>
      <c r="IL459" s="83"/>
      <c r="IM459" s="83"/>
      <c r="IN459" s="83"/>
      <c r="IO459" s="83"/>
      <c r="IP459" s="83"/>
      <c r="IQ459" s="83"/>
      <c r="IR459" s="83"/>
      <c r="IS459" s="83"/>
      <c r="IT459" s="83"/>
      <c r="IU459" s="83"/>
      <c r="IV459" s="83"/>
    </row>
    <row r="460" spans="1:256" s="84" customFormat="1" ht="19.5" customHeight="1">
      <c r="A460" s="123">
        <v>750</v>
      </c>
      <c r="B460" s="96"/>
      <c r="C460" s="105" t="s">
        <v>391</v>
      </c>
      <c r="D460" s="457">
        <f>D461+D463</f>
        <v>926945</v>
      </c>
      <c r="E460" s="220">
        <f>E461+E463</f>
        <v>943865</v>
      </c>
      <c r="F460" s="220">
        <f>F461+F463</f>
        <v>943865</v>
      </c>
      <c r="G460" s="178">
        <f t="shared" si="12"/>
        <v>1</v>
      </c>
      <c r="H460" s="294"/>
      <c r="I460" s="118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  <c r="BV460" s="83"/>
      <c r="BW460" s="83"/>
      <c r="BX460" s="83"/>
      <c r="BY460" s="83"/>
      <c r="BZ460" s="83"/>
      <c r="CA460" s="83"/>
      <c r="CB460" s="83"/>
      <c r="CC460" s="83"/>
      <c r="CD460" s="83"/>
      <c r="CE460" s="83"/>
      <c r="CF460" s="83"/>
      <c r="CG460" s="83"/>
      <c r="CH460" s="83"/>
      <c r="CI460" s="83"/>
      <c r="CJ460" s="83"/>
      <c r="CK460" s="83"/>
      <c r="CL460" s="83"/>
      <c r="CM460" s="83"/>
      <c r="CN460" s="83"/>
      <c r="CO460" s="83"/>
      <c r="CP460" s="83"/>
      <c r="CQ460" s="83"/>
      <c r="CR460" s="83"/>
      <c r="CS460" s="83"/>
      <c r="CT460" s="83"/>
      <c r="CU460" s="83"/>
      <c r="CV460" s="83"/>
      <c r="CW460" s="83"/>
      <c r="CX460" s="83"/>
      <c r="CY460" s="83"/>
      <c r="CZ460" s="83"/>
      <c r="DA460" s="83"/>
      <c r="DB460" s="83"/>
      <c r="DC460" s="83"/>
      <c r="DD460" s="83"/>
      <c r="DE460" s="83"/>
      <c r="DF460" s="83"/>
      <c r="DG460" s="83"/>
      <c r="DH460" s="83"/>
      <c r="DI460" s="83"/>
      <c r="DJ460" s="83"/>
      <c r="DK460" s="83"/>
      <c r="DL460" s="83"/>
      <c r="DM460" s="83"/>
      <c r="DN460" s="83"/>
      <c r="DO460" s="83"/>
      <c r="DP460" s="83"/>
      <c r="DQ460" s="83"/>
      <c r="DR460" s="83"/>
      <c r="DS460" s="83"/>
      <c r="DT460" s="83"/>
      <c r="DU460" s="83"/>
      <c r="DV460" s="83"/>
      <c r="DW460" s="83"/>
      <c r="DX460" s="83"/>
      <c r="DY460" s="83"/>
      <c r="DZ460" s="83"/>
      <c r="EA460" s="83"/>
      <c r="EB460" s="83"/>
      <c r="EC460" s="83"/>
      <c r="ED460" s="83"/>
      <c r="EE460" s="83"/>
      <c r="EF460" s="83"/>
      <c r="EG460" s="83"/>
      <c r="EH460" s="83"/>
      <c r="EI460" s="83"/>
      <c r="EJ460" s="83"/>
      <c r="EK460" s="83"/>
      <c r="EL460" s="83"/>
      <c r="EM460" s="83"/>
      <c r="EN460" s="83"/>
      <c r="EO460" s="83"/>
      <c r="EP460" s="83"/>
      <c r="EQ460" s="83"/>
      <c r="ER460" s="83"/>
      <c r="ES460" s="83"/>
      <c r="ET460" s="83"/>
      <c r="EU460" s="83"/>
      <c r="EV460" s="83"/>
      <c r="EW460" s="83"/>
      <c r="EX460" s="83"/>
      <c r="EY460" s="83"/>
      <c r="EZ460" s="83"/>
      <c r="FA460" s="83"/>
      <c r="FB460" s="83"/>
      <c r="FC460" s="83"/>
      <c r="FD460" s="83"/>
      <c r="FE460" s="83"/>
      <c r="FF460" s="83"/>
      <c r="FG460" s="83"/>
      <c r="FH460" s="83"/>
      <c r="FI460" s="83"/>
      <c r="FJ460" s="83"/>
      <c r="FK460" s="83"/>
      <c r="FL460" s="83"/>
      <c r="FM460" s="83"/>
      <c r="FN460" s="83"/>
      <c r="FO460" s="83"/>
      <c r="FP460" s="83"/>
      <c r="FQ460" s="83"/>
      <c r="FR460" s="83"/>
      <c r="FS460" s="83"/>
      <c r="FT460" s="83"/>
      <c r="FU460" s="83"/>
      <c r="FV460" s="83"/>
      <c r="FW460" s="83"/>
      <c r="FX460" s="83"/>
      <c r="FY460" s="83"/>
      <c r="FZ460" s="83"/>
      <c r="GA460" s="83"/>
      <c r="GB460" s="83"/>
      <c r="GC460" s="83"/>
      <c r="GD460" s="83"/>
      <c r="GE460" s="83"/>
      <c r="GF460" s="83"/>
      <c r="GG460" s="83"/>
      <c r="GH460" s="83"/>
      <c r="GI460" s="83"/>
      <c r="GJ460" s="83"/>
      <c r="GK460" s="83"/>
      <c r="GL460" s="83"/>
      <c r="GM460" s="83"/>
      <c r="GN460" s="83"/>
      <c r="GO460" s="83"/>
      <c r="GP460" s="83"/>
      <c r="GQ460" s="83"/>
      <c r="GR460" s="83"/>
      <c r="GS460" s="83"/>
      <c r="GT460" s="83"/>
      <c r="GU460" s="83"/>
      <c r="GV460" s="83"/>
      <c r="GW460" s="83"/>
      <c r="GX460" s="83"/>
      <c r="GY460" s="83"/>
      <c r="GZ460" s="83"/>
      <c r="HA460" s="83"/>
      <c r="HB460" s="83"/>
      <c r="HC460" s="83"/>
      <c r="HD460" s="83"/>
      <c r="HE460" s="83"/>
      <c r="HF460" s="83"/>
      <c r="HG460" s="83"/>
      <c r="HH460" s="83"/>
      <c r="HI460" s="83"/>
      <c r="HJ460" s="83"/>
      <c r="HK460" s="83"/>
      <c r="HL460" s="83"/>
      <c r="HM460" s="83"/>
      <c r="HN460" s="83"/>
      <c r="HO460" s="83"/>
      <c r="HP460" s="83"/>
      <c r="HQ460" s="83"/>
      <c r="HR460" s="83"/>
      <c r="HS460" s="83"/>
      <c r="HT460" s="83"/>
      <c r="HU460" s="83"/>
      <c r="HV460" s="83"/>
      <c r="HW460" s="83"/>
      <c r="HX460" s="83"/>
      <c r="HY460" s="83"/>
      <c r="HZ460" s="83"/>
      <c r="IA460" s="83"/>
      <c r="IB460" s="83"/>
      <c r="IC460" s="83"/>
      <c r="ID460" s="83"/>
      <c r="IE460" s="83"/>
      <c r="IF460" s="83"/>
      <c r="IG460" s="83"/>
      <c r="IH460" s="83"/>
      <c r="II460" s="83"/>
      <c r="IJ460" s="83"/>
      <c r="IK460" s="83"/>
      <c r="IL460" s="83"/>
      <c r="IM460" s="83"/>
      <c r="IN460" s="83"/>
      <c r="IO460" s="83"/>
      <c r="IP460" s="83"/>
      <c r="IQ460" s="83"/>
      <c r="IR460" s="83"/>
      <c r="IS460" s="83"/>
      <c r="IT460" s="83"/>
      <c r="IU460" s="83"/>
      <c r="IV460" s="83"/>
    </row>
    <row r="461" spans="1:256" s="84" customFormat="1" ht="19.5" customHeight="1">
      <c r="A461" s="228"/>
      <c r="B461" s="47">
        <v>75011</v>
      </c>
      <c r="C461" s="387" t="s">
        <v>413</v>
      </c>
      <c r="D461" s="456">
        <f>D462</f>
        <v>809945</v>
      </c>
      <c r="E461" s="46">
        <f>E462</f>
        <v>826865</v>
      </c>
      <c r="F461" s="46">
        <f>F462</f>
        <v>826865</v>
      </c>
      <c r="G461" s="174">
        <f t="shared" si="12"/>
        <v>1</v>
      </c>
      <c r="H461" s="203"/>
      <c r="I461" s="118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  <c r="BV461" s="83"/>
      <c r="BW461" s="83"/>
      <c r="BX461" s="83"/>
      <c r="BY461" s="83"/>
      <c r="BZ461" s="83"/>
      <c r="CA461" s="83"/>
      <c r="CB461" s="83"/>
      <c r="CC461" s="83"/>
      <c r="CD461" s="83"/>
      <c r="CE461" s="83"/>
      <c r="CF461" s="83"/>
      <c r="CG461" s="83"/>
      <c r="CH461" s="83"/>
      <c r="CI461" s="83"/>
      <c r="CJ461" s="83"/>
      <c r="CK461" s="83"/>
      <c r="CL461" s="83"/>
      <c r="CM461" s="83"/>
      <c r="CN461" s="83"/>
      <c r="CO461" s="83"/>
      <c r="CP461" s="83"/>
      <c r="CQ461" s="83"/>
      <c r="CR461" s="83"/>
      <c r="CS461" s="83"/>
      <c r="CT461" s="83"/>
      <c r="CU461" s="83"/>
      <c r="CV461" s="83"/>
      <c r="CW461" s="83"/>
      <c r="CX461" s="83"/>
      <c r="CY461" s="83"/>
      <c r="CZ461" s="83"/>
      <c r="DA461" s="83"/>
      <c r="DB461" s="83"/>
      <c r="DC461" s="83"/>
      <c r="DD461" s="83"/>
      <c r="DE461" s="83"/>
      <c r="DF461" s="83"/>
      <c r="DG461" s="83"/>
      <c r="DH461" s="83"/>
      <c r="DI461" s="83"/>
      <c r="DJ461" s="83"/>
      <c r="DK461" s="83"/>
      <c r="DL461" s="83"/>
      <c r="DM461" s="83"/>
      <c r="DN461" s="83"/>
      <c r="DO461" s="83"/>
      <c r="DP461" s="83"/>
      <c r="DQ461" s="83"/>
      <c r="DR461" s="83"/>
      <c r="DS461" s="83"/>
      <c r="DT461" s="83"/>
      <c r="DU461" s="83"/>
      <c r="DV461" s="83"/>
      <c r="DW461" s="83"/>
      <c r="DX461" s="83"/>
      <c r="DY461" s="83"/>
      <c r="DZ461" s="83"/>
      <c r="EA461" s="83"/>
      <c r="EB461" s="83"/>
      <c r="EC461" s="83"/>
      <c r="ED461" s="83"/>
      <c r="EE461" s="83"/>
      <c r="EF461" s="83"/>
      <c r="EG461" s="83"/>
      <c r="EH461" s="83"/>
      <c r="EI461" s="83"/>
      <c r="EJ461" s="83"/>
      <c r="EK461" s="83"/>
      <c r="EL461" s="83"/>
      <c r="EM461" s="83"/>
      <c r="EN461" s="83"/>
      <c r="EO461" s="83"/>
      <c r="EP461" s="83"/>
      <c r="EQ461" s="83"/>
      <c r="ER461" s="83"/>
      <c r="ES461" s="83"/>
      <c r="ET461" s="83"/>
      <c r="EU461" s="83"/>
      <c r="EV461" s="83"/>
      <c r="EW461" s="83"/>
      <c r="EX461" s="83"/>
      <c r="EY461" s="83"/>
      <c r="EZ461" s="83"/>
      <c r="FA461" s="83"/>
      <c r="FB461" s="83"/>
      <c r="FC461" s="83"/>
      <c r="FD461" s="83"/>
      <c r="FE461" s="83"/>
      <c r="FF461" s="83"/>
      <c r="FG461" s="83"/>
      <c r="FH461" s="83"/>
      <c r="FI461" s="83"/>
      <c r="FJ461" s="83"/>
      <c r="FK461" s="83"/>
      <c r="FL461" s="83"/>
      <c r="FM461" s="83"/>
      <c r="FN461" s="83"/>
      <c r="FO461" s="83"/>
      <c r="FP461" s="83"/>
      <c r="FQ461" s="83"/>
      <c r="FR461" s="83"/>
      <c r="FS461" s="83"/>
      <c r="FT461" s="83"/>
      <c r="FU461" s="83"/>
      <c r="FV461" s="83"/>
      <c r="FW461" s="83"/>
      <c r="FX461" s="83"/>
      <c r="FY461" s="83"/>
      <c r="FZ461" s="83"/>
      <c r="GA461" s="83"/>
      <c r="GB461" s="83"/>
      <c r="GC461" s="83"/>
      <c r="GD461" s="83"/>
      <c r="GE461" s="83"/>
      <c r="GF461" s="83"/>
      <c r="GG461" s="83"/>
      <c r="GH461" s="83"/>
      <c r="GI461" s="83"/>
      <c r="GJ461" s="83"/>
      <c r="GK461" s="83"/>
      <c r="GL461" s="83"/>
      <c r="GM461" s="83"/>
      <c r="GN461" s="83"/>
      <c r="GO461" s="83"/>
      <c r="GP461" s="83"/>
      <c r="GQ461" s="83"/>
      <c r="GR461" s="83"/>
      <c r="GS461" s="83"/>
      <c r="GT461" s="83"/>
      <c r="GU461" s="83"/>
      <c r="GV461" s="83"/>
      <c r="GW461" s="83"/>
      <c r="GX461" s="83"/>
      <c r="GY461" s="83"/>
      <c r="GZ461" s="83"/>
      <c r="HA461" s="83"/>
      <c r="HB461" s="83"/>
      <c r="HC461" s="83"/>
      <c r="HD461" s="83"/>
      <c r="HE461" s="83"/>
      <c r="HF461" s="83"/>
      <c r="HG461" s="83"/>
      <c r="HH461" s="83"/>
      <c r="HI461" s="83"/>
      <c r="HJ461" s="83"/>
      <c r="HK461" s="83"/>
      <c r="HL461" s="83"/>
      <c r="HM461" s="83"/>
      <c r="HN461" s="83"/>
      <c r="HO461" s="83"/>
      <c r="HP461" s="83"/>
      <c r="HQ461" s="83"/>
      <c r="HR461" s="83"/>
      <c r="HS461" s="83"/>
      <c r="HT461" s="83"/>
      <c r="HU461" s="83"/>
      <c r="HV461" s="83"/>
      <c r="HW461" s="83"/>
      <c r="HX461" s="83"/>
      <c r="HY461" s="83"/>
      <c r="HZ461" s="83"/>
      <c r="IA461" s="83"/>
      <c r="IB461" s="83"/>
      <c r="IC461" s="83"/>
      <c r="ID461" s="83"/>
      <c r="IE461" s="83"/>
      <c r="IF461" s="83"/>
      <c r="IG461" s="83"/>
      <c r="IH461" s="83"/>
      <c r="II461" s="83"/>
      <c r="IJ461" s="83"/>
      <c r="IK461" s="83"/>
      <c r="IL461" s="83"/>
      <c r="IM461" s="83"/>
      <c r="IN461" s="83"/>
      <c r="IO461" s="83"/>
      <c r="IP461" s="83"/>
      <c r="IQ461" s="83"/>
      <c r="IR461" s="83"/>
      <c r="IS461" s="83"/>
      <c r="IT461" s="83"/>
      <c r="IU461" s="83"/>
      <c r="IV461" s="83"/>
    </row>
    <row r="462" spans="1:256" s="84" customFormat="1" ht="25.5" customHeight="1">
      <c r="A462" s="22"/>
      <c r="B462" s="20"/>
      <c r="C462" s="509" t="s">
        <v>500</v>
      </c>
      <c r="D462" s="54">
        <v>809945</v>
      </c>
      <c r="E462" s="54">
        <v>826865</v>
      </c>
      <c r="F462" s="54">
        <v>826865</v>
      </c>
      <c r="G462" s="361">
        <f t="shared" si="12"/>
        <v>1</v>
      </c>
      <c r="H462" s="214"/>
      <c r="I462" s="118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  <c r="BV462" s="83"/>
      <c r="BW462" s="83"/>
      <c r="BX462" s="83"/>
      <c r="BY462" s="83"/>
      <c r="BZ462" s="83"/>
      <c r="CA462" s="83"/>
      <c r="CB462" s="83"/>
      <c r="CC462" s="83"/>
      <c r="CD462" s="83"/>
      <c r="CE462" s="83"/>
      <c r="CF462" s="83"/>
      <c r="CG462" s="83"/>
      <c r="CH462" s="83"/>
      <c r="CI462" s="83"/>
      <c r="CJ462" s="83"/>
      <c r="CK462" s="83"/>
      <c r="CL462" s="83"/>
      <c r="CM462" s="83"/>
      <c r="CN462" s="83"/>
      <c r="CO462" s="83"/>
      <c r="CP462" s="83"/>
      <c r="CQ462" s="83"/>
      <c r="CR462" s="83"/>
      <c r="CS462" s="83"/>
      <c r="CT462" s="83"/>
      <c r="CU462" s="83"/>
      <c r="CV462" s="83"/>
      <c r="CW462" s="83"/>
      <c r="CX462" s="83"/>
      <c r="CY462" s="83"/>
      <c r="CZ462" s="83"/>
      <c r="DA462" s="83"/>
      <c r="DB462" s="83"/>
      <c r="DC462" s="83"/>
      <c r="DD462" s="83"/>
      <c r="DE462" s="83"/>
      <c r="DF462" s="83"/>
      <c r="DG462" s="83"/>
      <c r="DH462" s="83"/>
      <c r="DI462" s="83"/>
      <c r="DJ462" s="83"/>
      <c r="DK462" s="83"/>
      <c r="DL462" s="83"/>
      <c r="DM462" s="83"/>
      <c r="DN462" s="83"/>
      <c r="DO462" s="83"/>
      <c r="DP462" s="83"/>
      <c r="DQ462" s="83"/>
      <c r="DR462" s="83"/>
      <c r="DS462" s="83"/>
      <c r="DT462" s="83"/>
      <c r="DU462" s="83"/>
      <c r="DV462" s="83"/>
      <c r="DW462" s="83"/>
      <c r="DX462" s="83"/>
      <c r="DY462" s="83"/>
      <c r="DZ462" s="83"/>
      <c r="EA462" s="83"/>
      <c r="EB462" s="83"/>
      <c r="EC462" s="83"/>
      <c r="ED462" s="83"/>
      <c r="EE462" s="83"/>
      <c r="EF462" s="83"/>
      <c r="EG462" s="83"/>
      <c r="EH462" s="83"/>
      <c r="EI462" s="83"/>
      <c r="EJ462" s="83"/>
      <c r="EK462" s="83"/>
      <c r="EL462" s="83"/>
      <c r="EM462" s="83"/>
      <c r="EN462" s="83"/>
      <c r="EO462" s="83"/>
      <c r="EP462" s="83"/>
      <c r="EQ462" s="83"/>
      <c r="ER462" s="83"/>
      <c r="ES462" s="83"/>
      <c r="ET462" s="83"/>
      <c r="EU462" s="83"/>
      <c r="EV462" s="83"/>
      <c r="EW462" s="83"/>
      <c r="EX462" s="83"/>
      <c r="EY462" s="83"/>
      <c r="EZ462" s="83"/>
      <c r="FA462" s="83"/>
      <c r="FB462" s="83"/>
      <c r="FC462" s="83"/>
      <c r="FD462" s="83"/>
      <c r="FE462" s="83"/>
      <c r="FF462" s="83"/>
      <c r="FG462" s="83"/>
      <c r="FH462" s="83"/>
      <c r="FI462" s="83"/>
      <c r="FJ462" s="83"/>
      <c r="FK462" s="83"/>
      <c r="FL462" s="83"/>
      <c r="FM462" s="83"/>
      <c r="FN462" s="83"/>
      <c r="FO462" s="83"/>
      <c r="FP462" s="83"/>
      <c r="FQ462" s="83"/>
      <c r="FR462" s="83"/>
      <c r="FS462" s="83"/>
      <c r="FT462" s="83"/>
      <c r="FU462" s="83"/>
      <c r="FV462" s="83"/>
      <c r="FW462" s="83"/>
      <c r="FX462" s="83"/>
      <c r="FY462" s="83"/>
      <c r="FZ462" s="83"/>
      <c r="GA462" s="83"/>
      <c r="GB462" s="83"/>
      <c r="GC462" s="83"/>
      <c r="GD462" s="83"/>
      <c r="GE462" s="83"/>
      <c r="GF462" s="83"/>
      <c r="GG462" s="83"/>
      <c r="GH462" s="83"/>
      <c r="GI462" s="83"/>
      <c r="GJ462" s="83"/>
      <c r="GK462" s="83"/>
      <c r="GL462" s="83"/>
      <c r="GM462" s="83"/>
      <c r="GN462" s="83"/>
      <c r="GO462" s="83"/>
      <c r="GP462" s="83"/>
      <c r="GQ462" s="83"/>
      <c r="GR462" s="83"/>
      <c r="GS462" s="83"/>
      <c r="GT462" s="83"/>
      <c r="GU462" s="83"/>
      <c r="GV462" s="83"/>
      <c r="GW462" s="83"/>
      <c r="GX462" s="83"/>
      <c r="GY462" s="83"/>
      <c r="GZ462" s="83"/>
      <c r="HA462" s="83"/>
      <c r="HB462" s="83"/>
      <c r="HC462" s="83"/>
      <c r="HD462" s="83"/>
      <c r="HE462" s="83"/>
      <c r="HF462" s="83"/>
      <c r="HG462" s="83"/>
      <c r="HH462" s="83"/>
      <c r="HI462" s="83"/>
      <c r="HJ462" s="83"/>
      <c r="HK462" s="83"/>
      <c r="HL462" s="83"/>
      <c r="HM462" s="83"/>
      <c r="HN462" s="83"/>
      <c r="HO462" s="83"/>
      <c r="HP462" s="83"/>
      <c r="HQ462" s="83"/>
      <c r="HR462" s="83"/>
      <c r="HS462" s="83"/>
      <c r="HT462" s="83"/>
      <c r="HU462" s="83"/>
      <c r="HV462" s="83"/>
      <c r="HW462" s="83"/>
      <c r="HX462" s="83"/>
      <c r="HY462" s="83"/>
      <c r="HZ462" s="83"/>
      <c r="IA462" s="83"/>
      <c r="IB462" s="83"/>
      <c r="IC462" s="83"/>
      <c r="ID462" s="83"/>
      <c r="IE462" s="83"/>
      <c r="IF462" s="83"/>
      <c r="IG462" s="83"/>
      <c r="IH462" s="83"/>
      <c r="II462" s="83"/>
      <c r="IJ462" s="83"/>
      <c r="IK462" s="83"/>
      <c r="IL462" s="83"/>
      <c r="IM462" s="83"/>
      <c r="IN462" s="83"/>
      <c r="IO462" s="83"/>
      <c r="IP462" s="83"/>
      <c r="IQ462" s="83"/>
      <c r="IR462" s="83"/>
      <c r="IS462" s="83"/>
      <c r="IT462" s="83"/>
      <c r="IU462" s="83"/>
      <c r="IV462" s="83"/>
    </row>
    <row r="463" spans="1:256" s="84" customFormat="1" ht="19.5" customHeight="1">
      <c r="A463" s="22"/>
      <c r="B463" s="78">
        <v>75045</v>
      </c>
      <c r="C463" s="506" t="s">
        <v>430</v>
      </c>
      <c r="D463" s="172">
        <f>D464</f>
        <v>117000</v>
      </c>
      <c r="E463" s="207">
        <f>E464</f>
        <v>117000</v>
      </c>
      <c r="F463" s="207">
        <f>F464</f>
        <v>117000</v>
      </c>
      <c r="G463" s="195">
        <f t="shared" si="12"/>
        <v>1</v>
      </c>
      <c r="H463" s="296"/>
      <c r="I463" s="118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  <c r="BV463" s="83"/>
      <c r="BW463" s="83"/>
      <c r="BX463" s="83"/>
      <c r="BY463" s="83"/>
      <c r="BZ463" s="83"/>
      <c r="CA463" s="83"/>
      <c r="CB463" s="83"/>
      <c r="CC463" s="83"/>
      <c r="CD463" s="83"/>
      <c r="CE463" s="83"/>
      <c r="CF463" s="83"/>
      <c r="CG463" s="83"/>
      <c r="CH463" s="83"/>
      <c r="CI463" s="83"/>
      <c r="CJ463" s="83"/>
      <c r="CK463" s="83"/>
      <c r="CL463" s="83"/>
      <c r="CM463" s="83"/>
      <c r="CN463" s="83"/>
      <c r="CO463" s="83"/>
      <c r="CP463" s="83"/>
      <c r="CQ463" s="83"/>
      <c r="CR463" s="83"/>
      <c r="CS463" s="83"/>
      <c r="CT463" s="83"/>
      <c r="CU463" s="83"/>
      <c r="CV463" s="83"/>
      <c r="CW463" s="83"/>
      <c r="CX463" s="83"/>
      <c r="CY463" s="83"/>
      <c r="CZ463" s="83"/>
      <c r="DA463" s="83"/>
      <c r="DB463" s="83"/>
      <c r="DC463" s="83"/>
      <c r="DD463" s="83"/>
      <c r="DE463" s="83"/>
      <c r="DF463" s="83"/>
      <c r="DG463" s="83"/>
      <c r="DH463" s="83"/>
      <c r="DI463" s="83"/>
      <c r="DJ463" s="83"/>
      <c r="DK463" s="83"/>
      <c r="DL463" s="83"/>
      <c r="DM463" s="83"/>
      <c r="DN463" s="83"/>
      <c r="DO463" s="83"/>
      <c r="DP463" s="83"/>
      <c r="DQ463" s="83"/>
      <c r="DR463" s="83"/>
      <c r="DS463" s="83"/>
      <c r="DT463" s="83"/>
      <c r="DU463" s="83"/>
      <c r="DV463" s="83"/>
      <c r="DW463" s="83"/>
      <c r="DX463" s="83"/>
      <c r="DY463" s="83"/>
      <c r="DZ463" s="83"/>
      <c r="EA463" s="83"/>
      <c r="EB463" s="83"/>
      <c r="EC463" s="83"/>
      <c r="ED463" s="83"/>
      <c r="EE463" s="83"/>
      <c r="EF463" s="83"/>
      <c r="EG463" s="83"/>
      <c r="EH463" s="83"/>
      <c r="EI463" s="83"/>
      <c r="EJ463" s="83"/>
      <c r="EK463" s="83"/>
      <c r="EL463" s="83"/>
      <c r="EM463" s="83"/>
      <c r="EN463" s="83"/>
      <c r="EO463" s="83"/>
      <c r="EP463" s="83"/>
      <c r="EQ463" s="83"/>
      <c r="ER463" s="83"/>
      <c r="ES463" s="83"/>
      <c r="ET463" s="83"/>
      <c r="EU463" s="83"/>
      <c r="EV463" s="83"/>
      <c r="EW463" s="83"/>
      <c r="EX463" s="83"/>
      <c r="EY463" s="83"/>
      <c r="EZ463" s="83"/>
      <c r="FA463" s="83"/>
      <c r="FB463" s="83"/>
      <c r="FC463" s="83"/>
      <c r="FD463" s="83"/>
      <c r="FE463" s="83"/>
      <c r="FF463" s="83"/>
      <c r="FG463" s="83"/>
      <c r="FH463" s="83"/>
      <c r="FI463" s="83"/>
      <c r="FJ463" s="83"/>
      <c r="FK463" s="83"/>
      <c r="FL463" s="83"/>
      <c r="FM463" s="83"/>
      <c r="FN463" s="83"/>
      <c r="FO463" s="83"/>
      <c r="FP463" s="83"/>
      <c r="FQ463" s="83"/>
      <c r="FR463" s="83"/>
      <c r="FS463" s="83"/>
      <c r="FT463" s="83"/>
      <c r="FU463" s="83"/>
      <c r="FV463" s="83"/>
      <c r="FW463" s="83"/>
      <c r="FX463" s="83"/>
      <c r="FY463" s="83"/>
      <c r="FZ463" s="83"/>
      <c r="GA463" s="83"/>
      <c r="GB463" s="83"/>
      <c r="GC463" s="83"/>
      <c r="GD463" s="83"/>
      <c r="GE463" s="83"/>
      <c r="GF463" s="83"/>
      <c r="GG463" s="83"/>
      <c r="GH463" s="83"/>
      <c r="GI463" s="83"/>
      <c r="GJ463" s="83"/>
      <c r="GK463" s="83"/>
      <c r="GL463" s="83"/>
      <c r="GM463" s="83"/>
      <c r="GN463" s="83"/>
      <c r="GO463" s="83"/>
      <c r="GP463" s="83"/>
      <c r="GQ463" s="83"/>
      <c r="GR463" s="83"/>
      <c r="GS463" s="83"/>
      <c r="GT463" s="83"/>
      <c r="GU463" s="83"/>
      <c r="GV463" s="83"/>
      <c r="GW463" s="83"/>
      <c r="GX463" s="83"/>
      <c r="GY463" s="83"/>
      <c r="GZ463" s="83"/>
      <c r="HA463" s="83"/>
      <c r="HB463" s="83"/>
      <c r="HC463" s="83"/>
      <c r="HD463" s="83"/>
      <c r="HE463" s="83"/>
      <c r="HF463" s="83"/>
      <c r="HG463" s="83"/>
      <c r="HH463" s="83"/>
      <c r="HI463" s="83"/>
      <c r="HJ463" s="83"/>
      <c r="HK463" s="83"/>
      <c r="HL463" s="83"/>
      <c r="HM463" s="83"/>
      <c r="HN463" s="83"/>
      <c r="HO463" s="83"/>
      <c r="HP463" s="83"/>
      <c r="HQ463" s="83"/>
      <c r="HR463" s="83"/>
      <c r="HS463" s="83"/>
      <c r="HT463" s="83"/>
      <c r="HU463" s="83"/>
      <c r="HV463" s="83"/>
      <c r="HW463" s="83"/>
      <c r="HX463" s="83"/>
      <c r="HY463" s="83"/>
      <c r="HZ463" s="83"/>
      <c r="IA463" s="83"/>
      <c r="IB463" s="83"/>
      <c r="IC463" s="83"/>
      <c r="ID463" s="83"/>
      <c r="IE463" s="83"/>
      <c r="IF463" s="83"/>
      <c r="IG463" s="83"/>
      <c r="IH463" s="83"/>
      <c r="II463" s="83"/>
      <c r="IJ463" s="83"/>
      <c r="IK463" s="83"/>
      <c r="IL463" s="83"/>
      <c r="IM463" s="83"/>
      <c r="IN463" s="83"/>
      <c r="IO463" s="83"/>
      <c r="IP463" s="83"/>
      <c r="IQ463" s="83"/>
      <c r="IR463" s="83"/>
      <c r="IS463" s="83"/>
      <c r="IT463" s="83"/>
      <c r="IU463" s="83"/>
      <c r="IV463" s="83"/>
    </row>
    <row r="464" spans="1:8" ht="19.5" customHeight="1">
      <c r="A464" s="19"/>
      <c r="B464" s="20"/>
      <c r="C464" s="433" t="s">
        <v>431</v>
      </c>
      <c r="D464" s="45">
        <v>117000</v>
      </c>
      <c r="E464" s="45">
        <v>117000</v>
      </c>
      <c r="F464" s="45">
        <v>117000</v>
      </c>
      <c r="G464" s="352">
        <f t="shared" si="12"/>
        <v>1</v>
      </c>
      <c r="H464" s="204"/>
    </row>
    <row r="465" spans="1:8" ht="19.5" customHeight="1">
      <c r="A465" s="123">
        <v>754</v>
      </c>
      <c r="B465" s="96"/>
      <c r="C465" s="105" t="s">
        <v>394</v>
      </c>
      <c r="D465" s="457">
        <f aca="true" t="shared" si="14" ref="D465:F466">D466</f>
        <v>11746000</v>
      </c>
      <c r="E465" s="220">
        <f t="shared" si="14"/>
        <v>11938000</v>
      </c>
      <c r="F465" s="220">
        <f t="shared" si="14"/>
        <v>11938000</v>
      </c>
      <c r="G465" s="178">
        <f t="shared" si="12"/>
        <v>1</v>
      </c>
      <c r="H465" s="294"/>
    </row>
    <row r="466" spans="1:8" ht="19.5" customHeight="1">
      <c r="A466" s="22"/>
      <c r="B466" s="78">
        <v>75411</v>
      </c>
      <c r="C466" s="506" t="s">
        <v>432</v>
      </c>
      <c r="D466" s="172">
        <f t="shared" si="14"/>
        <v>11746000</v>
      </c>
      <c r="E466" s="207">
        <f t="shared" si="14"/>
        <v>11938000</v>
      </c>
      <c r="F466" s="207">
        <f t="shared" si="14"/>
        <v>11938000</v>
      </c>
      <c r="G466" s="195">
        <f t="shared" si="12"/>
        <v>1</v>
      </c>
      <c r="H466" s="203"/>
    </row>
    <row r="467" spans="1:8" ht="25.5" customHeight="1">
      <c r="A467" s="19"/>
      <c r="B467" s="47"/>
      <c r="C467" s="509" t="s">
        <v>488</v>
      </c>
      <c r="D467" s="45">
        <v>11746000</v>
      </c>
      <c r="E467" s="42">
        <v>11938000</v>
      </c>
      <c r="F467" s="45">
        <v>11938000</v>
      </c>
      <c r="G467" s="352">
        <f t="shared" si="12"/>
        <v>1</v>
      </c>
      <c r="H467" s="204"/>
    </row>
    <row r="468" spans="1:8" ht="19.5" customHeight="1">
      <c r="A468" s="123">
        <v>851</v>
      </c>
      <c r="B468" s="96"/>
      <c r="C468" s="105" t="s">
        <v>350</v>
      </c>
      <c r="D468" s="457">
        <f>D471</f>
        <v>2903000</v>
      </c>
      <c r="E468" s="220">
        <f>E469+E471</f>
        <v>3019064</v>
      </c>
      <c r="F468" s="220">
        <f>F469+F471</f>
        <v>2465683</v>
      </c>
      <c r="G468" s="178">
        <f t="shared" si="12"/>
        <v>0.8167044487960506</v>
      </c>
      <c r="H468" s="294"/>
    </row>
    <row r="469" spans="1:16" s="541" customFormat="1" ht="19.5" customHeight="1">
      <c r="A469" s="536"/>
      <c r="B469" s="158">
        <v>85141</v>
      </c>
      <c r="C469" s="545" t="s">
        <v>527</v>
      </c>
      <c r="D469" s="546"/>
      <c r="E469" s="547">
        <f>E470</f>
        <v>116064</v>
      </c>
      <c r="F469" s="547">
        <f>F470</f>
        <v>116064</v>
      </c>
      <c r="G469" s="548">
        <f t="shared" si="12"/>
        <v>1</v>
      </c>
      <c r="H469" s="549"/>
      <c r="I469" s="539"/>
      <c r="J469" s="540"/>
      <c r="K469" s="540"/>
      <c r="L469" s="540"/>
      <c r="M469" s="540"/>
      <c r="N469" s="540"/>
      <c r="O469" s="540"/>
      <c r="P469" s="540"/>
    </row>
    <row r="470" spans="1:16" s="541" customFormat="1" ht="25.5" customHeight="1">
      <c r="A470" s="542"/>
      <c r="B470" s="162"/>
      <c r="C470" s="550" t="s">
        <v>528</v>
      </c>
      <c r="D470" s="551"/>
      <c r="E470" s="552">
        <v>116064</v>
      </c>
      <c r="F470" s="552">
        <v>116064</v>
      </c>
      <c r="G470" s="553">
        <f t="shared" si="12"/>
        <v>1</v>
      </c>
      <c r="H470" s="554"/>
      <c r="I470" s="539"/>
      <c r="J470" s="540"/>
      <c r="K470" s="540"/>
      <c r="L470" s="540"/>
      <c r="M470" s="540"/>
      <c r="N470" s="540"/>
      <c r="O470" s="540"/>
      <c r="P470" s="540"/>
    </row>
    <row r="471" spans="1:8" ht="25.5" customHeight="1">
      <c r="A471" s="167"/>
      <c r="B471" s="78">
        <v>85156</v>
      </c>
      <c r="C471" s="506" t="s">
        <v>516</v>
      </c>
      <c r="D471" s="172">
        <f>SUM(D472:D473)</f>
        <v>2903000</v>
      </c>
      <c r="E471" s="207">
        <f>SUM(E472:E473)</f>
        <v>2903000</v>
      </c>
      <c r="F471" s="207">
        <f>SUM(F472:F473)</f>
        <v>2349619</v>
      </c>
      <c r="G471" s="195">
        <f t="shared" si="12"/>
        <v>0.8093761625904237</v>
      </c>
      <c r="H471" s="203"/>
    </row>
    <row r="472" spans="1:8" ht="25.5" customHeight="1">
      <c r="A472" s="22"/>
      <c r="B472" s="23"/>
      <c r="C472" s="510" t="s">
        <v>517</v>
      </c>
      <c r="D472" s="53">
        <v>118000</v>
      </c>
      <c r="E472" s="24">
        <v>118000</v>
      </c>
      <c r="F472" s="53">
        <v>109228</v>
      </c>
      <c r="G472" s="363">
        <f t="shared" si="12"/>
        <v>0.9256610169491526</v>
      </c>
      <c r="H472" s="297"/>
    </row>
    <row r="473" spans="1:9" s="84" customFormat="1" ht="25.5" customHeight="1">
      <c r="A473" s="19"/>
      <c r="B473" s="20"/>
      <c r="C473" s="495" t="s">
        <v>878</v>
      </c>
      <c r="D473" s="529">
        <v>2785000</v>
      </c>
      <c r="E473" s="530">
        <v>2785000</v>
      </c>
      <c r="F473" s="529">
        <v>2240391</v>
      </c>
      <c r="G473" s="531">
        <f t="shared" si="12"/>
        <v>0.8044491921005386</v>
      </c>
      <c r="H473" s="217"/>
      <c r="I473" s="118"/>
    </row>
    <row r="474" spans="1:8" ht="19.5" customHeight="1">
      <c r="A474" s="123">
        <v>852</v>
      </c>
      <c r="B474" s="96"/>
      <c r="C474" s="105" t="s">
        <v>463</v>
      </c>
      <c r="D474" s="457">
        <f>D475+D478+D480+D482</f>
        <v>2267000</v>
      </c>
      <c r="E474" s="220">
        <f>E475+E478+E480+E482</f>
        <v>2180434</v>
      </c>
      <c r="F474" s="220">
        <f>F475+F478+F480+F482</f>
        <v>2164506</v>
      </c>
      <c r="G474" s="178">
        <f t="shared" si="12"/>
        <v>0.9926950322733914</v>
      </c>
      <c r="H474" s="294"/>
    </row>
    <row r="475" spans="1:8" ht="19.5" customHeight="1">
      <c r="A475" s="22"/>
      <c r="B475" s="141">
        <v>85203</v>
      </c>
      <c r="C475" s="40" t="s">
        <v>433</v>
      </c>
      <c r="D475" s="467">
        <f>SUM(D476:D477)</f>
        <v>1967000</v>
      </c>
      <c r="E475" s="43">
        <f>SUM(E476:E477)</f>
        <v>2044000</v>
      </c>
      <c r="F475" s="43">
        <f>SUM(F476:F477)</f>
        <v>2044000</v>
      </c>
      <c r="G475" s="192">
        <f t="shared" si="12"/>
        <v>1</v>
      </c>
      <c r="H475" s="298"/>
    </row>
    <row r="476" spans="1:9" s="84" customFormat="1" ht="25.5" customHeight="1">
      <c r="A476" s="22"/>
      <c r="B476" s="9"/>
      <c r="C476" s="494" t="s">
        <v>886</v>
      </c>
      <c r="D476" s="52">
        <v>1967000</v>
      </c>
      <c r="E476" s="15">
        <v>1994000</v>
      </c>
      <c r="F476" s="52">
        <v>1994000</v>
      </c>
      <c r="G476" s="364">
        <f t="shared" si="12"/>
        <v>1</v>
      </c>
      <c r="H476" s="215"/>
      <c r="I476" s="118"/>
    </row>
    <row r="477" spans="1:9" s="84" customFormat="1" ht="25.5" customHeight="1">
      <c r="A477" s="22"/>
      <c r="B477" s="6"/>
      <c r="C477" s="495" t="s">
        <v>879</v>
      </c>
      <c r="D477" s="54"/>
      <c r="E477" s="25">
        <v>50000</v>
      </c>
      <c r="F477" s="54">
        <v>50000</v>
      </c>
      <c r="G477" s="361">
        <f t="shared" si="12"/>
        <v>1</v>
      </c>
      <c r="H477" s="217"/>
      <c r="I477" s="118"/>
    </row>
    <row r="478" spans="1:8" ht="25.5" customHeight="1">
      <c r="A478" s="22"/>
      <c r="B478" s="32">
        <v>85212</v>
      </c>
      <c r="C478" s="506" t="s">
        <v>946</v>
      </c>
      <c r="D478" s="172"/>
      <c r="E478" s="207">
        <f>SUM(E479:E479)</f>
        <v>32789</v>
      </c>
      <c r="F478" s="207">
        <f>F479</f>
        <v>18829</v>
      </c>
      <c r="G478" s="195">
        <f>F478/E478</f>
        <v>0.574247461038763</v>
      </c>
      <c r="H478" s="203"/>
    </row>
    <row r="479" spans="1:8" ht="19.5" customHeight="1">
      <c r="A479" s="22"/>
      <c r="B479" s="38"/>
      <c r="C479" s="433" t="s">
        <v>880</v>
      </c>
      <c r="D479" s="45"/>
      <c r="E479" s="42">
        <v>32789</v>
      </c>
      <c r="F479" s="45">
        <v>18829</v>
      </c>
      <c r="G479" s="352">
        <f>F479/E479</f>
        <v>0.574247461038763</v>
      </c>
      <c r="H479" s="297"/>
    </row>
    <row r="480" spans="1:8" ht="19.5" customHeight="1">
      <c r="A480" s="22"/>
      <c r="B480" s="141">
        <v>85216</v>
      </c>
      <c r="C480" s="387" t="s">
        <v>415</v>
      </c>
      <c r="D480" s="456">
        <f>SUM(D481:D481)</f>
        <v>44000</v>
      </c>
      <c r="E480" s="46">
        <f>SUM(E481:E481)</f>
        <v>11211</v>
      </c>
      <c r="F480" s="46">
        <f>F481</f>
        <v>11211</v>
      </c>
      <c r="G480" s="195">
        <f t="shared" si="12"/>
        <v>1</v>
      </c>
      <c r="H480" s="203"/>
    </row>
    <row r="481" spans="1:8" ht="19.5" customHeight="1">
      <c r="A481" s="22"/>
      <c r="B481" s="6"/>
      <c r="C481" s="509" t="s">
        <v>434</v>
      </c>
      <c r="D481" s="54">
        <v>44000</v>
      </c>
      <c r="E481" s="25">
        <v>11211</v>
      </c>
      <c r="F481" s="54">
        <v>11211</v>
      </c>
      <c r="G481" s="361">
        <f t="shared" si="12"/>
        <v>1</v>
      </c>
      <c r="H481" s="297"/>
    </row>
    <row r="482" spans="1:256" s="84" customFormat="1" ht="19.5" customHeight="1">
      <c r="A482" s="22"/>
      <c r="B482" s="78">
        <v>85231</v>
      </c>
      <c r="C482" s="506" t="s">
        <v>435</v>
      </c>
      <c r="D482" s="172">
        <f>D483</f>
        <v>256000</v>
      </c>
      <c r="E482" s="207">
        <f>E483</f>
        <v>92434</v>
      </c>
      <c r="F482" s="207">
        <f>F483</f>
        <v>90466</v>
      </c>
      <c r="G482" s="195">
        <f>F482/E482</f>
        <v>0.9787091330030075</v>
      </c>
      <c r="H482" s="212"/>
      <c r="I482" s="118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3"/>
      <c r="CA482" s="83"/>
      <c r="CB482" s="83"/>
      <c r="CC482" s="83"/>
      <c r="CD482" s="83"/>
      <c r="CE482" s="83"/>
      <c r="CF482" s="83"/>
      <c r="CG482" s="83"/>
      <c r="CH482" s="83"/>
      <c r="CI482" s="83"/>
      <c r="CJ482" s="83"/>
      <c r="CK482" s="83"/>
      <c r="CL482" s="83"/>
      <c r="CM482" s="83"/>
      <c r="CN482" s="83"/>
      <c r="CO482" s="83"/>
      <c r="CP482" s="83"/>
      <c r="CQ482" s="83"/>
      <c r="CR482" s="83"/>
      <c r="CS482" s="83"/>
      <c r="CT482" s="83"/>
      <c r="CU482" s="83"/>
      <c r="CV482" s="83"/>
      <c r="CW482" s="83"/>
      <c r="CX482" s="83"/>
      <c r="CY482" s="83"/>
      <c r="CZ482" s="83"/>
      <c r="DA482" s="83"/>
      <c r="DB482" s="83"/>
      <c r="DC482" s="83"/>
      <c r="DD482" s="83"/>
      <c r="DE482" s="83"/>
      <c r="DF482" s="83"/>
      <c r="DG482" s="83"/>
      <c r="DH482" s="83"/>
      <c r="DI482" s="83"/>
      <c r="DJ482" s="83"/>
      <c r="DK482" s="83"/>
      <c r="DL482" s="83"/>
      <c r="DM482" s="83"/>
      <c r="DN482" s="83"/>
      <c r="DO482" s="83"/>
      <c r="DP482" s="83"/>
      <c r="DQ482" s="83"/>
      <c r="DR482" s="83"/>
      <c r="DS482" s="83"/>
      <c r="DT482" s="83"/>
      <c r="DU482" s="83"/>
      <c r="DV482" s="83"/>
      <c r="DW482" s="83"/>
      <c r="DX482" s="83"/>
      <c r="DY482" s="83"/>
      <c r="DZ482" s="83"/>
      <c r="EA482" s="83"/>
      <c r="EB482" s="83"/>
      <c r="EC482" s="83"/>
      <c r="ED482" s="83"/>
      <c r="EE482" s="83"/>
      <c r="EF482" s="83"/>
      <c r="EG482" s="83"/>
      <c r="EH482" s="83"/>
      <c r="EI482" s="83"/>
      <c r="EJ482" s="83"/>
      <c r="EK482" s="83"/>
      <c r="EL482" s="83"/>
      <c r="EM482" s="83"/>
      <c r="EN482" s="83"/>
      <c r="EO482" s="83"/>
      <c r="EP482" s="83"/>
      <c r="EQ482" s="83"/>
      <c r="ER482" s="83"/>
      <c r="ES482" s="83"/>
      <c r="ET482" s="83"/>
      <c r="EU482" s="83"/>
      <c r="EV482" s="83"/>
      <c r="EW482" s="83"/>
      <c r="EX482" s="83"/>
      <c r="EY482" s="83"/>
      <c r="EZ482" s="83"/>
      <c r="FA482" s="83"/>
      <c r="FB482" s="83"/>
      <c r="FC482" s="83"/>
      <c r="FD482" s="83"/>
      <c r="FE482" s="83"/>
      <c r="FF482" s="83"/>
      <c r="FG482" s="83"/>
      <c r="FH482" s="83"/>
      <c r="FI482" s="83"/>
      <c r="FJ482" s="83"/>
      <c r="FK482" s="83"/>
      <c r="FL482" s="83"/>
      <c r="FM482" s="83"/>
      <c r="FN482" s="83"/>
      <c r="FO482" s="83"/>
      <c r="FP482" s="83"/>
      <c r="FQ482" s="83"/>
      <c r="FR482" s="83"/>
      <c r="FS482" s="83"/>
      <c r="FT482" s="83"/>
      <c r="FU482" s="83"/>
      <c r="FV482" s="83"/>
      <c r="FW482" s="83"/>
      <c r="FX482" s="83"/>
      <c r="FY482" s="83"/>
      <c r="FZ482" s="83"/>
      <c r="GA482" s="83"/>
      <c r="GB482" s="83"/>
      <c r="GC482" s="83"/>
      <c r="GD482" s="83"/>
      <c r="GE482" s="83"/>
      <c r="GF482" s="83"/>
      <c r="GG482" s="83"/>
      <c r="GH482" s="83"/>
      <c r="GI482" s="83"/>
      <c r="GJ482" s="83"/>
      <c r="GK482" s="83"/>
      <c r="GL482" s="83"/>
      <c r="GM482" s="83"/>
      <c r="GN482" s="83"/>
      <c r="GO482" s="83"/>
      <c r="GP482" s="83"/>
      <c r="GQ482" s="83"/>
      <c r="GR482" s="83"/>
      <c r="GS482" s="83"/>
      <c r="GT482" s="83"/>
      <c r="GU482" s="83"/>
      <c r="GV482" s="83"/>
      <c r="GW482" s="83"/>
      <c r="GX482" s="83"/>
      <c r="GY482" s="83"/>
      <c r="GZ482" s="83"/>
      <c r="HA482" s="83"/>
      <c r="HB482" s="83"/>
      <c r="HC482" s="83"/>
      <c r="HD482" s="83"/>
      <c r="HE482" s="83"/>
      <c r="HF482" s="83"/>
      <c r="HG482" s="83"/>
      <c r="HH482" s="83"/>
      <c r="HI482" s="83"/>
      <c r="HJ482" s="83"/>
      <c r="HK482" s="83"/>
      <c r="HL482" s="83"/>
      <c r="HM482" s="83"/>
      <c r="HN482" s="83"/>
      <c r="HO482" s="83"/>
      <c r="HP482" s="83"/>
      <c r="HQ482" s="83"/>
      <c r="HR482" s="83"/>
      <c r="HS482" s="83"/>
      <c r="HT482" s="83"/>
      <c r="HU482" s="83"/>
      <c r="HV482" s="83"/>
      <c r="HW482" s="83"/>
      <c r="HX482" s="83"/>
      <c r="HY482" s="83"/>
      <c r="HZ482" s="83"/>
      <c r="IA482" s="83"/>
      <c r="IB482" s="83"/>
      <c r="IC482" s="83"/>
      <c r="ID482" s="83"/>
      <c r="IE482" s="83"/>
      <c r="IF482" s="83"/>
      <c r="IG482" s="83"/>
      <c r="IH482" s="83"/>
      <c r="II482" s="83"/>
      <c r="IJ482" s="83"/>
      <c r="IK482" s="83"/>
      <c r="IL482" s="83"/>
      <c r="IM482" s="83"/>
      <c r="IN482" s="83"/>
      <c r="IO482" s="83"/>
      <c r="IP482" s="83"/>
      <c r="IQ482" s="83"/>
      <c r="IR482" s="83"/>
      <c r="IS482" s="83"/>
      <c r="IT482" s="83"/>
      <c r="IU482" s="83"/>
      <c r="IV482" s="83"/>
    </row>
    <row r="483" spans="1:256" s="84" customFormat="1" ht="25.5" customHeight="1">
      <c r="A483" s="19"/>
      <c r="B483" s="20"/>
      <c r="C483" s="509" t="s">
        <v>437</v>
      </c>
      <c r="D483" s="54">
        <v>256000</v>
      </c>
      <c r="E483" s="25">
        <v>92434</v>
      </c>
      <c r="F483" s="54">
        <v>90466</v>
      </c>
      <c r="G483" s="361">
        <f>F483/E483</f>
        <v>0.9787091330030075</v>
      </c>
      <c r="H483" s="217"/>
      <c r="I483" s="118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  <c r="BO483" s="83"/>
      <c r="BP483" s="83"/>
      <c r="BQ483" s="83"/>
      <c r="BR483" s="83"/>
      <c r="BS483" s="83"/>
      <c r="BT483" s="83"/>
      <c r="BU483" s="83"/>
      <c r="BV483" s="83"/>
      <c r="BW483" s="83"/>
      <c r="BX483" s="83"/>
      <c r="BY483" s="83"/>
      <c r="BZ483" s="83"/>
      <c r="CA483" s="83"/>
      <c r="CB483" s="83"/>
      <c r="CC483" s="83"/>
      <c r="CD483" s="83"/>
      <c r="CE483" s="83"/>
      <c r="CF483" s="83"/>
      <c r="CG483" s="83"/>
      <c r="CH483" s="83"/>
      <c r="CI483" s="83"/>
      <c r="CJ483" s="83"/>
      <c r="CK483" s="83"/>
      <c r="CL483" s="83"/>
      <c r="CM483" s="83"/>
      <c r="CN483" s="83"/>
      <c r="CO483" s="83"/>
      <c r="CP483" s="83"/>
      <c r="CQ483" s="83"/>
      <c r="CR483" s="83"/>
      <c r="CS483" s="83"/>
      <c r="CT483" s="83"/>
      <c r="CU483" s="83"/>
      <c r="CV483" s="83"/>
      <c r="CW483" s="83"/>
      <c r="CX483" s="83"/>
      <c r="CY483" s="83"/>
      <c r="CZ483" s="83"/>
      <c r="DA483" s="83"/>
      <c r="DB483" s="83"/>
      <c r="DC483" s="83"/>
      <c r="DD483" s="83"/>
      <c r="DE483" s="83"/>
      <c r="DF483" s="83"/>
      <c r="DG483" s="83"/>
      <c r="DH483" s="83"/>
      <c r="DI483" s="83"/>
      <c r="DJ483" s="83"/>
      <c r="DK483" s="83"/>
      <c r="DL483" s="83"/>
      <c r="DM483" s="83"/>
      <c r="DN483" s="83"/>
      <c r="DO483" s="83"/>
      <c r="DP483" s="83"/>
      <c r="DQ483" s="83"/>
      <c r="DR483" s="83"/>
      <c r="DS483" s="83"/>
      <c r="DT483" s="83"/>
      <c r="DU483" s="83"/>
      <c r="DV483" s="83"/>
      <c r="DW483" s="83"/>
      <c r="DX483" s="83"/>
      <c r="DY483" s="83"/>
      <c r="DZ483" s="83"/>
      <c r="EA483" s="83"/>
      <c r="EB483" s="83"/>
      <c r="EC483" s="83"/>
      <c r="ED483" s="83"/>
      <c r="EE483" s="83"/>
      <c r="EF483" s="83"/>
      <c r="EG483" s="83"/>
      <c r="EH483" s="83"/>
      <c r="EI483" s="83"/>
      <c r="EJ483" s="83"/>
      <c r="EK483" s="83"/>
      <c r="EL483" s="83"/>
      <c r="EM483" s="83"/>
      <c r="EN483" s="83"/>
      <c r="EO483" s="83"/>
      <c r="EP483" s="83"/>
      <c r="EQ483" s="83"/>
      <c r="ER483" s="83"/>
      <c r="ES483" s="83"/>
      <c r="ET483" s="83"/>
      <c r="EU483" s="83"/>
      <c r="EV483" s="83"/>
      <c r="EW483" s="83"/>
      <c r="EX483" s="83"/>
      <c r="EY483" s="83"/>
      <c r="EZ483" s="83"/>
      <c r="FA483" s="83"/>
      <c r="FB483" s="83"/>
      <c r="FC483" s="83"/>
      <c r="FD483" s="83"/>
      <c r="FE483" s="83"/>
      <c r="FF483" s="83"/>
      <c r="FG483" s="83"/>
      <c r="FH483" s="83"/>
      <c r="FI483" s="83"/>
      <c r="FJ483" s="83"/>
      <c r="FK483" s="83"/>
      <c r="FL483" s="83"/>
      <c r="FM483" s="83"/>
      <c r="FN483" s="83"/>
      <c r="FO483" s="83"/>
      <c r="FP483" s="83"/>
      <c r="FQ483" s="83"/>
      <c r="FR483" s="83"/>
      <c r="FS483" s="83"/>
      <c r="FT483" s="83"/>
      <c r="FU483" s="83"/>
      <c r="FV483" s="83"/>
      <c r="FW483" s="83"/>
      <c r="FX483" s="83"/>
      <c r="FY483" s="83"/>
      <c r="FZ483" s="83"/>
      <c r="GA483" s="83"/>
      <c r="GB483" s="83"/>
      <c r="GC483" s="83"/>
      <c r="GD483" s="83"/>
      <c r="GE483" s="83"/>
      <c r="GF483" s="83"/>
      <c r="GG483" s="83"/>
      <c r="GH483" s="83"/>
      <c r="GI483" s="83"/>
      <c r="GJ483" s="83"/>
      <c r="GK483" s="83"/>
      <c r="GL483" s="83"/>
      <c r="GM483" s="83"/>
      <c r="GN483" s="83"/>
      <c r="GO483" s="83"/>
      <c r="GP483" s="83"/>
      <c r="GQ483" s="83"/>
      <c r="GR483" s="83"/>
      <c r="GS483" s="83"/>
      <c r="GT483" s="83"/>
      <c r="GU483" s="83"/>
      <c r="GV483" s="83"/>
      <c r="GW483" s="83"/>
      <c r="GX483" s="83"/>
      <c r="GY483" s="83"/>
      <c r="GZ483" s="83"/>
      <c r="HA483" s="83"/>
      <c r="HB483" s="83"/>
      <c r="HC483" s="83"/>
      <c r="HD483" s="83"/>
      <c r="HE483" s="83"/>
      <c r="HF483" s="83"/>
      <c r="HG483" s="83"/>
      <c r="HH483" s="83"/>
      <c r="HI483" s="83"/>
      <c r="HJ483" s="83"/>
      <c r="HK483" s="83"/>
      <c r="HL483" s="83"/>
      <c r="HM483" s="83"/>
      <c r="HN483" s="83"/>
      <c r="HO483" s="83"/>
      <c r="HP483" s="83"/>
      <c r="HQ483" s="83"/>
      <c r="HR483" s="83"/>
      <c r="HS483" s="83"/>
      <c r="HT483" s="83"/>
      <c r="HU483" s="83"/>
      <c r="HV483" s="83"/>
      <c r="HW483" s="83"/>
      <c r="HX483" s="83"/>
      <c r="HY483" s="83"/>
      <c r="HZ483" s="83"/>
      <c r="IA483" s="83"/>
      <c r="IB483" s="83"/>
      <c r="IC483" s="83"/>
      <c r="ID483" s="83"/>
      <c r="IE483" s="83"/>
      <c r="IF483" s="83"/>
      <c r="IG483" s="83"/>
      <c r="IH483" s="83"/>
      <c r="II483" s="83"/>
      <c r="IJ483" s="83"/>
      <c r="IK483" s="83"/>
      <c r="IL483" s="83"/>
      <c r="IM483" s="83"/>
      <c r="IN483" s="83"/>
      <c r="IO483" s="83"/>
      <c r="IP483" s="83"/>
      <c r="IQ483" s="83"/>
      <c r="IR483" s="83"/>
      <c r="IS483" s="83"/>
      <c r="IT483" s="83"/>
      <c r="IU483" s="83"/>
      <c r="IV483" s="83"/>
    </row>
    <row r="484" spans="1:8" ht="19.5" customHeight="1">
      <c r="A484" s="123">
        <v>853</v>
      </c>
      <c r="B484" s="96"/>
      <c r="C484" s="105" t="s">
        <v>464</v>
      </c>
      <c r="D484" s="457">
        <f>D485+D488</f>
        <v>509000</v>
      </c>
      <c r="E484" s="220">
        <f>E485+E488</f>
        <v>582410</v>
      </c>
      <c r="F484" s="220">
        <f>F485+F488</f>
        <v>581762</v>
      </c>
      <c r="G484" s="178">
        <f>F484/E484</f>
        <v>0.9988873817413849</v>
      </c>
      <c r="H484" s="294"/>
    </row>
    <row r="485" spans="1:8" ht="19.5" customHeight="1">
      <c r="A485" s="22"/>
      <c r="B485" s="78">
        <v>85321</v>
      </c>
      <c r="C485" s="506" t="s">
        <v>518</v>
      </c>
      <c r="D485" s="172">
        <f>D486+D487</f>
        <v>509000</v>
      </c>
      <c r="E485" s="207">
        <f>E486+E487</f>
        <v>509000</v>
      </c>
      <c r="F485" s="207">
        <f>SUM(F486:F487)</f>
        <v>508748</v>
      </c>
      <c r="G485" s="195">
        <f t="shared" si="12"/>
        <v>0.9995049115913556</v>
      </c>
      <c r="H485" s="296"/>
    </row>
    <row r="486" spans="1:8" ht="25.5" customHeight="1">
      <c r="A486" s="22"/>
      <c r="B486" s="239"/>
      <c r="C486" s="511" t="s">
        <v>881</v>
      </c>
      <c r="D486" s="52">
        <v>501000</v>
      </c>
      <c r="E486" s="52">
        <v>501000</v>
      </c>
      <c r="F486" s="52">
        <v>501000</v>
      </c>
      <c r="G486" s="364">
        <f t="shared" si="12"/>
        <v>1</v>
      </c>
      <c r="H486" s="204"/>
    </row>
    <row r="487" spans="1:8" ht="25.5" customHeight="1">
      <c r="A487" s="22"/>
      <c r="B487" s="20"/>
      <c r="C487" s="508" t="s">
        <v>957</v>
      </c>
      <c r="D487" s="641">
        <v>8000</v>
      </c>
      <c r="E487" s="613">
        <v>8000</v>
      </c>
      <c r="F487" s="641">
        <v>7748</v>
      </c>
      <c r="G487" s="642">
        <f t="shared" si="12"/>
        <v>0.9685</v>
      </c>
      <c r="H487" s="217"/>
    </row>
    <row r="488" spans="1:9" s="71" customFormat="1" ht="19.5" customHeight="1">
      <c r="A488" s="231"/>
      <c r="B488" s="232">
        <v>85334</v>
      </c>
      <c r="C488" s="232" t="s">
        <v>898</v>
      </c>
      <c r="D488" s="471"/>
      <c r="E488" s="314">
        <f>E489</f>
        <v>73410</v>
      </c>
      <c r="F488" s="314">
        <f>F489</f>
        <v>73014</v>
      </c>
      <c r="G488" s="691">
        <f t="shared" si="12"/>
        <v>0.9946056395586432</v>
      </c>
      <c r="H488" s="299"/>
      <c r="I488" s="233"/>
    </row>
    <row r="489" spans="1:9" s="28" customFormat="1" ht="19.5" customHeight="1">
      <c r="A489" s="62"/>
      <c r="B489" s="63"/>
      <c r="C489" s="63" t="s">
        <v>934</v>
      </c>
      <c r="D489" s="472"/>
      <c r="E489" s="27">
        <v>73410</v>
      </c>
      <c r="F489" s="27">
        <v>73014</v>
      </c>
      <c r="G489" s="642">
        <f t="shared" si="12"/>
        <v>0.9946056395586432</v>
      </c>
      <c r="H489" s="593"/>
      <c r="I489" s="37"/>
    </row>
    <row r="490" spans="2:9" s="28" customFormat="1" ht="12.75">
      <c r="B490"/>
      <c r="E490"/>
      <c r="F490"/>
      <c r="G490" s="365"/>
      <c r="H490"/>
      <c r="I490" s="37"/>
    </row>
    <row r="491" spans="2:9" s="28" customFormat="1" ht="12.75">
      <c r="B491"/>
      <c r="E491"/>
      <c r="F491"/>
      <c r="G491" s="365"/>
      <c r="H491"/>
      <c r="I491" s="37"/>
    </row>
    <row r="492" spans="2:9" s="28" customFormat="1" ht="14.25">
      <c r="B492"/>
      <c r="E492" s="375" t="s">
        <v>330</v>
      </c>
      <c r="F492"/>
      <c r="G492" s="365"/>
      <c r="H492"/>
      <c r="I492" s="37"/>
    </row>
    <row r="493" spans="2:9" s="28" customFormat="1" ht="14.25">
      <c r="B493"/>
      <c r="E493" s="694" t="s">
        <v>331</v>
      </c>
      <c r="F493"/>
      <c r="G493" s="365"/>
      <c r="H493"/>
      <c r="I493" s="37"/>
    </row>
    <row r="494" spans="2:9" s="28" customFormat="1" ht="12.75">
      <c r="B494"/>
      <c r="E494"/>
      <c r="F494"/>
      <c r="G494" s="365"/>
      <c r="H494"/>
      <c r="I494" s="37"/>
    </row>
    <row r="495" spans="2:9" s="28" customFormat="1" ht="12.75">
      <c r="B495"/>
      <c r="E495"/>
      <c r="F495"/>
      <c r="G495" s="365"/>
      <c r="H495"/>
      <c r="I495" s="37"/>
    </row>
    <row r="496" spans="2:9" s="28" customFormat="1" ht="12.75">
      <c r="B496"/>
      <c r="E496"/>
      <c r="F496"/>
      <c r="G496" s="365"/>
      <c r="H496"/>
      <c r="I496" s="37"/>
    </row>
    <row r="497" spans="2:9" s="28" customFormat="1" ht="12.75">
      <c r="B497"/>
      <c r="E497"/>
      <c r="F497"/>
      <c r="G497" s="365"/>
      <c r="H497"/>
      <c r="I497" s="37"/>
    </row>
    <row r="498" spans="2:9" s="28" customFormat="1" ht="12.75">
      <c r="B498"/>
      <c r="E498"/>
      <c r="F498"/>
      <c r="G498" s="365"/>
      <c r="H498"/>
      <c r="I498" s="37"/>
    </row>
    <row r="499" spans="2:9" s="28" customFormat="1" ht="12.75">
      <c r="B499"/>
      <c r="E499"/>
      <c r="F499"/>
      <c r="G499" s="365"/>
      <c r="H499"/>
      <c r="I499" s="37"/>
    </row>
    <row r="500" spans="2:9" s="28" customFormat="1" ht="12.75">
      <c r="B500"/>
      <c r="E500"/>
      <c r="F500"/>
      <c r="G500" s="365"/>
      <c r="H500"/>
      <c r="I500" s="37"/>
    </row>
    <row r="501" spans="2:9" s="28" customFormat="1" ht="12.75">
      <c r="B501"/>
      <c r="E501"/>
      <c r="F501"/>
      <c r="G501" s="365"/>
      <c r="H501"/>
      <c r="I501" s="37"/>
    </row>
    <row r="502" spans="2:9" s="28" customFormat="1" ht="12.75">
      <c r="B502"/>
      <c r="E502"/>
      <c r="F502"/>
      <c r="G502" s="365"/>
      <c r="H502"/>
      <c r="I502" s="37"/>
    </row>
    <row r="503" spans="2:9" s="28" customFormat="1" ht="12.75">
      <c r="B503"/>
      <c r="E503"/>
      <c r="F503"/>
      <c r="G503" s="365"/>
      <c r="H503"/>
      <c r="I503" s="37"/>
    </row>
    <row r="504" spans="2:9" s="28" customFormat="1" ht="12.75">
      <c r="B504"/>
      <c r="E504"/>
      <c r="F504"/>
      <c r="G504" s="365"/>
      <c r="H504"/>
      <c r="I504" s="37"/>
    </row>
    <row r="505" spans="2:9" s="28" customFormat="1" ht="12.75">
      <c r="B505"/>
      <c r="E505"/>
      <c r="F505"/>
      <c r="G505" s="365"/>
      <c r="H505"/>
      <c r="I505" s="37"/>
    </row>
    <row r="506" spans="2:9" s="28" customFormat="1" ht="12.75">
      <c r="B506"/>
      <c r="E506"/>
      <c r="F506"/>
      <c r="G506" s="365"/>
      <c r="H506"/>
      <c r="I506" s="37"/>
    </row>
    <row r="507" spans="2:9" s="28" customFormat="1" ht="12.75">
      <c r="B507"/>
      <c r="E507"/>
      <c r="F507"/>
      <c r="G507" s="365"/>
      <c r="H507"/>
      <c r="I507" s="37"/>
    </row>
    <row r="508" spans="2:9" s="28" customFormat="1" ht="12.75">
      <c r="B508"/>
      <c r="E508"/>
      <c r="F508"/>
      <c r="G508" s="365"/>
      <c r="H508"/>
      <c r="I508" s="37"/>
    </row>
    <row r="509" spans="2:9" s="28" customFormat="1" ht="12.75">
      <c r="B509"/>
      <c r="E509"/>
      <c r="F509"/>
      <c r="G509" s="365"/>
      <c r="H509"/>
      <c r="I509" s="37"/>
    </row>
    <row r="510" spans="2:9" s="28" customFormat="1" ht="12.75">
      <c r="B510"/>
      <c r="E510"/>
      <c r="F510"/>
      <c r="G510" s="365"/>
      <c r="H510"/>
      <c r="I510" s="37"/>
    </row>
    <row r="511" spans="2:9" s="28" customFormat="1" ht="12.75">
      <c r="B511"/>
      <c r="E511"/>
      <c r="F511"/>
      <c r="G511" s="365"/>
      <c r="H511"/>
      <c r="I511" s="37"/>
    </row>
    <row r="512" spans="2:9" s="28" customFormat="1" ht="12.75">
      <c r="B512"/>
      <c r="E512"/>
      <c r="F512"/>
      <c r="G512" s="365"/>
      <c r="H512"/>
      <c r="I512" s="37"/>
    </row>
    <row r="513" spans="2:9" s="28" customFormat="1" ht="12.75">
      <c r="B513"/>
      <c r="E513"/>
      <c r="F513"/>
      <c r="G513" s="365"/>
      <c r="H513"/>
      <c r="I513" s="37"/>
    </row>
    <row r="514" spans="2:9" s="28" customFormat="1" ht="12.75">
      <c r="B514"/>
      <c r="E514"/>
      <c r="F514"/>
      <c r="G514" s="365"/>
      <c r="H514"/>
      <c r="I514" s="37"/>
    </row>
    <row r="515" spans="2:9" s="28" customFormat="1" ht="12.75">
      <c r="B515"/>
      <c r="E515"/>
      <c r="F515"/>
      <c r="G515" s="365"/>
      <c r="H515"/>
      <c r="I515" s="37"/>
    </row>
    <row r="516" spans="2:9" s="28" customFormat="1" ht="12.75">
      <c r="B516"/>
      <c r="E516"/>
      <c r="F516"/>
      <c r="G516" s="365"/>
      <c r="H516"/>
      <c r="I516" s="37"/>
    </row>
    <row r="517" spans="2:9" s="28" customFormat="1" ht="12.75">
      <c r="B517"/>
      <c r="E517"/>
      <c r="F517"/>
      <c r="G517" s="365"/>
      <c r="H517"/>
      <c r="I517" s="37"/>
    </row>
    <row r="518" spans="2:9" s="28" customFormat="1" ht="12.75">
      <c r="B518"/>
      <c r="E518"/>
      <c r="F518"/>
      <c r="G518" s="365"/>
      <c r="H518"/>
      <c r="I518" s="37"/>
    </row>
    <row r="519" spans="2:9" s="28" customFormat="1" ht="12.75">
      <c r="B519"/>
      <c r="E519"/>
      <c r="F519"/>
      <c r="G519" s="365"/>
      <c r="H519"/>
      <c r="I519" s="37"/>
    </row>
    <row r="520" spans="2:9" s="28" customFormat="1" ht="12.75">
      <c r="B520"/>
      <c r="E520"/>
      <c r="F520"/>
      <c r="G520" s="365"/>
      <c r="H520"/>
      <c r="I520" s="37"/>
    </row>
    <row r="521" spans="2:9" s="28" customFormat="1" ht="12.75">
      <c r="B521"/>
      <c r="E521"/>
      <c r="F521"/>
      <c r="G521" s="365"/>
      <c r="H521"/>
      <c r="I521" s="37"/>
    </row>
    <row r="522" spans="2:9" s="28" customFormat="1" ht="12.75">
      <c r="B522"/>
      <c r="E522"/>
      <c r="F522"/>
      <c r="G522" s="365"/>
      <c r="H522"/>
      <c r="I522" s="37"/>
    </row>
    <row r="523" spans="2:9" s="28" customFormat="1" ht="12.75">
      <c r="B523"/>
      <c r="E523"/>
      <c r="F523"/>
      <c r="G523" s="365"/>
      <c r="H523"/>
      <c r="I523" s="37"/>
    </row>
    <row r="524" spans="2:9" s="28" customFormat="1" ht="12.75">
      <c r="B524"/>
      <c r="E524"/>
      <c r="F524"/>
      <c r="G524" s="365"/>
      <c r="H524"/>
      <c r="I524" s="37"/>
    </row>
    <row r="525" spans="2:9" s="28" customFormat="1" ht="12.75">
      <c r="B525"/>
      <c r="E525"/>
      <c r="F525"/>
      <c r="G525" s="365"/>
      <c r="H525"/>
      <c r="I525" s="37"/>
    </row>
    <row r="526" spans="2:9" s="28" customFormat="1" ht="12.75">
      <c r="B526"/>
      <c r="E526"/>
      <c r="F526"/>
      <c r="G526" s="365"/>
      <c r="H526"/>
      <c r="I526" s="37"/>
    </row>
    <row r="527" spans="2:9" s="28" customFormat="1" ht="12.75">
      <c r="B527"/>
      <c r="E527"/>
      <c r="F527"/>
      <c r="G527" s="365"/>
      <c r="H527"/>
      <c r="I527" s="37"/>
    </row>
    <row r="528" spans="2:9" s="28" customFormat="1" ht="12.75">
      <c r="B528"/>
      <c r="E528"/>
      <c r="F528"/>
      <c r="G528" s="365"/>
      <c r="H528"/>
      <c r="I528" s="37"/>
    </row>
    <row r="529" spans="2:9" s="28" customFormat="1" ht="12.75">
      <c r="B529"/>
      <c r="E529"/>
      <c r="F529"/>
      <c r="G529" s="365"/>
      <c r="H529"/>
      <c r="I529" s="37"/>
    </row>
    <row r="530" spans="2:9" s="28" customFormat="1" ht="12.75">
      <c r="B530"/>
      <c r="E530"/>
      <c r="F530"/>
      <c r="G530" s="365"/>
      <c r="H530"/>
      <c r="I530" s="37"/>
    </row>
    <row r="531" spans="2:9" s="28" customFormat="1" ht="12.75">
      <c r="B531"/>
      <c r="E531"/>
      <c r="F531"/>
      <c r="G531" s="365"/>
      <c r="H531"/>
      <c r="I531" s="37"/>
    </row>
    <row r="532" spans="2:9" s="28" customFormat="1" ht="12.75">
      <c r="B532"/>
      <c r="E532"/>
      <c r="F532"/>
      <c r="G532" s="365"/>
      <c r="H532"/>
      <c r="I532" s="37"/>
    </row>
    <row r="533" spans="2:9" s="28" customFormat="1" ht="12.75">
      <c r="B533"/>
      <c r="E533"/>
      <c r="F533"/>
      <c r="G533" s="365"/>
      <c r="H533"/>
      <c r="I533" s="37"/>
    </row>
    <row r="534" spans="2:9" s="28" customFormat="1" ht="12.75">
      <c r="B534"/>
      <c r="E534"/>
      <c r="F534"/>
      <c r="G534" s="365"/>
      <c r="H534"/>
      <c r="I534" s="37"/>
    </row>
    <row r="535" spans="2:9" s="28" customFormat="1" ht="12.75">
      <c r="B535"/>
      <c r="E535"/>
      <c r="F535"/>
      <c r="G535" s="365"/>
      <c r="H535"/>
      <c r="I535" s="37"/>
    </row>
    <row r="536" spans="2:9" s="28" customFormat="1" ht="12.75">
      <c r="B536"/>
      <c r="E536"/>
      <c r="F536"/>
      <c r="G536" s="365"/>
      <c r="H536"/>
      <c r="I536" s="37"/>
    </row>
    <row r="537" spans="2:9" s="28" customFormat="1" ht="12.75">
      <c r="B537"/>
      <c r="E537"/>
      <c r="F537"/>
      <c r="G537" s="365"/>
      <c r="H537"/>
      <c r="I537" s="37"/>
    </row>
    <row r="538" spans="2:9" s="28" customFormat="1" ht="12.75">
      <c r="B538"/>
      <c r="E538"/>
      <c r="F538"/>
      <c r="G538" s="365"/>
      <c r="H538"/>
      <c r="I538" s="37"/>
    </row>
    <row r="539" spans="2:9" s="28" customFormat="1" ht="12.75">
      <c r="B539"/>
      <c r="E539"/>
      <c r="F539"/>
      <c r="G539" s="365"/>
      <c r="H539"/>
      <c r="I539" s="37"/>
    </row>
    <row r="540" spans="2:9" s="28" customFormat="1" ht="12.75">
      <c r="B540"/>
      <c r="E540"/>
      <c r="F540"/>
      <c r="G540" s="365"/>
      <c r="H540"/>
      <c r="I540" s="37"/>
    </row>
    <row r="541" spans="2:9" s="28" customFormat="1" ht="12.75">
      <c r="B541"/>
      <c r="E541"/>
      <c r="F541"/>
      <c r="G541" s="365"/>
      <c r="H541"/>
      <c r="I541" s="37"/>
    </row>
    <row r="542" spans="2:9" s="28" customFormat="1" ht="12.75">
      <c r="B542"/>
      <c r="E542"/>
      <c r="F542"/>
      <c r="G542" s="365"/>
      <c r="H542"/>
      <c r="I542" s="37"/>
    </row>
    <row r="543" spans="2:9" s="28" customFormat="1" ht="12.75">
      <c r="B543"/>
      <c r="E543"/>
      <c r="F543"/>
      <c r="G543" s="365"/>
      <c r="H543"/>
      <c r="I543" s="37"/>
    </row>
    <row r="544" spans="2:9" s="28" customFormat="1" ht="12.75">
      <c r="B544"/>
      <c r="E544"/>
      <c r="F544"/>
      <c r="G544" s="365"/>
      <c r="H544"/>
      <c r="I544" s="37"/>
    </row>
    <row r="545" spans="2:9" s="28" customFormat="1" ht="12.75">
      <c r="B545"/>
      <c r="E545"/>
      <c r="F545"/>
      <c r="G545" s="365"/>
      <c r="H545"/>
      <c r="I545" s="37"/>
    </row>
    <row r="546" spans="2:9" s="28" customFormat="1" ht="12.75">
      <c r="B546"/>
      <c r="E546"/>
      <c r="F546"/>
      <c r="G546" s="365"/>
      <c r="H546"/>
      <c r="I546" s="37"/>
    </row>
    <row r="547" spans="2:9" s="28" customFormat="1" ht="12.75">
      <c r="B547"/>
      <c r="E547"/>
      <c r="F547"/>
      <c r="G547" s="365"/>
      <c r="H547"/>
      <c r="I547" s="37"/>
    </row>
    <row r="548" spans="2:9" s="28" customFormat="1" ht="12.75">
      <c r="B548"/>
      <c r="E548"/>
      <c r="F548"/>
      <c r="G548" s="365"/>
      <c r="H548"/>
      <c r="I548" s="37"/>
    </row>
    <row r="549" spans="2:9" s="28" customFormat="1" ht="12.75">
      <c r="B549"/>
      <c r="E549"/>
      <c r="F549"/>
      <c r="G549" s="365"/>
      <c r="H549"/>
      <c r="I549" s="37"/>
    </row>
    <row r="550" spans="2:9" s="28" customFormat="1" ht="12.75">
      <c r="B550"/>
      <c r="E550"/>
      <c r="F550"/>
      <c r="G550" s="365"/>
      <c r="H550"/>
      <c r="I550" s="37"/>
    </row>
    <row r="551" spans="2:9" s="28" customFormat="1" ht="12.75">
      <c r="B551"/>
      <c r="E551"/>
      <c r="F551"/>
      <c r="G551" s="365"/>
      <c r="H551"/>
      <c r="I551" s="37"/>
    </row>
    <row r="552" spans="2:9" s="28" customFormat="1" ht="12.75">
      <c r="B552"/>
      <c r="E552"/>
      <c r="F552"/>
      <c r="G552" s="365"/>
      <c r="H552"/>
      <c r="I552" s="37"/>
    </row>
    <row r="553" spans="2:9" s="28" customFormat="1" ht="12.75">
      <c r="B553"/>
      <c r="E553"/>
      <c r="F553"/>
      <c r="G553" s="365"/>
      <c r="H553"/>
      <c r="I553" s="37"/>
    </row>
    <row r="554" spans="2:9" s="28" customFormat="1" ht="12.75">
      <c r="B554"/>
      <c r="E554"/>
      <c r="F554"/>
      <c r="G554" s="365"/>
      <c r="H554"/>
      <c r="I554" s="37"/>
    </row>
    <row r="555" spans="2:9" s="28" customFormat="1" ht="12.75">
      <c r="B555"/>
      <c r="E555"/>
      <c r="F555"/>
      <c r="G555" s="365"/>
      <c r="H555"/>
      <c r="I555" s="37"/>
    </row>
    <row r="556" spans="2:9" s="28" customFormat="1" ht="12.75">
      <c r="B556"/>
      <c r="E556"/>
      <c r="F556"/>
      <c r="G556" s="365"/>
      <c r="H556"/>
      <c r="I556" s="37"/>
    </row>
    <row r="557" spans="2:9" s="28" customFormat="1" ht="12.75">
      <c r="B557"/>
      <c r="E557"/>
      <c r="F557"/>
      <c r="G557" s="365"/>
      <c r="H557"/>
      <c r="I557" s="37"/>
    </row>
    <row r="558" spans="2:9" s="28" customFormat="1" ht="12.75">
      <c r="B558"/>
      <c r="E558"/>
      <c r="F558"/>
      <c r="G558" s="365"/>
      <c r="H558"/>
      <c r="I558" s="37"/>
    </row>
    <row r="559" spans="2:9" s="28" customFormat="1" ht="12.75">
      <c r="B559"/>
      <c r="E559"/>
      <c r="F559"/>
      <c r="G559" s="365"/>
      <c r="H559"/>
      <c r="I559" s="37"/>
    </row>
    <row r="560" spans="2:9" s="28" customFormat="1" ht="12.75">
      <c r="B560"/>
      <c r="E560"/>
      <c r="F560"/>
      <c r="G560" s="365"/>
      <c r="H560"/>
      <c r="I560" s="37"/>
    </row>
    <row r="561" spans="2:9" s="28" customFormat="1" ht="12.75">
      <c r="B561"/>
      <c r="E561"/>
      <c r="F561"/>
      <c r="G561" s="365"/>
      <c r="H561"/>
      <c r="I561" s="37"/>
    </row>
    <row r="562" spans="2:9" s="28" customFormat="1" ht="12.75">
      <c r="B562"/>
      <c r="E562"/>
      <c r="F562"/>
      <c r="G562" s="365"/>
      <c r="H562"/>
      <c r="I562" s="37"/>
    </row>
    <row r="563" spans="2:9" s="28" customFormat="1" ht="12.75">
      <c r="B563"/>
      <c r="E563"/>
      <c r="F563"/>
      <c r="G563" s="365"/>
      <c r="H563"/>
      <c r="I563" s="37"/>
    </row>
    <row r="564" spans="2:9" s="28" customFormat="1" ht="12.75">
      <c r="B564"/>
      <c r="E564"/>
      <c r="F564"/>
      <c r="G564" s="365"/>
      <c r="H564"/>
      <c r="I564" s="37"/>
    </row>
    <row r="565" spans="2:9" s="28" customFormat="1" ht="12.75">
      <c r="B565"/>
      <c r="E565"/>
      <c r="F565"/>
      <c r="G565" s="365"/>
      <c r="H565"/>
      <c r="I565" s="37"/>
    </row>
    <row r="566" spans="2:9" s="28" customFormat="1" ht="12.75">
      <c r="B566"/>
      <c r="E566"/>
      <c r="F566"/>
      <c r="G566" s="365"/>
      <c r="H566"/>
      <c r="I566" s="37"/>
    </row>
    <row r="567" spans="2:9" s="28" customFormat="1" ht="12.75">
      <c r="B567"/>
      <c r="E567"/>
      <c r="F567"/>
      <c r="G567" s="365"/>
      <c r="H567"/>
      <c r="I567" s="37"/>
    </row>
    <row r="568" spans="2:9" s="28" customFormat="1" ht="12.75">
      <c r="B568"/>
      <c r="E568"/>
      <c r="F568"/>
      <c r="G568" s="365"/>
      <c r="H568"/>
      <c r="I568" s="37"/>
    </row>
    <row r="569" spans="2:9" s="28" customFormat="1" ht="12.75">
      <c r="B569"/>
      <c r="E569"/>
      <c r="F569"/>
      <c r="G569" s="365"/>
      <c r="H569"/>
      <c r="I569" s="37"/>
    </row>
    <row r="570" spans="2:9" s="28" customFormat="1" ht="12.75">
      <c r="B570"/>
      <c r="E570"/>
      <c r="F570"/>
      <c r="G570" s="365"/>
      <c r="H570"/>
      <c r="I570" s="37"/>
    </row>
    <row r="571" spans="2:9" s="28" customFormat="1" ht="12.75">
      <c r="B571"/>
      <c r="E571"/>
      <c r="F571"/>
      <c r="G571" s="365"/>
      <c r="H571"/>
      <c r="I571" s="37"/>
    </row>
    <row r="572" spans="2:9" s="28" customFormat="1" ht="12.75">
      <c r="B572"/>
      <c r="E572"/>
      <c r="F572"/>
      <c r="G572" s="365"/>
      <c r="H572"/>
      <c r="I572" s="37"/>
    </row>
    <row r="573" spans="2:9" s="28" customFormat="1" ht="12.75">
      <c r="B573"/>
      <c r="E573"/>
      <c r="F573"/>
      <c r="G573" s="365"/>
      <c r="H573"/>
      <c r="I573" s="37"/>
    </row>
    <row r="574" spans="2:9" s="28" customFormat="1" ht="12.75">
      <c r="B574"/>
      <c r="E574"/>
      <c r="F574"/>
      <c r="G574" s="365"/>
      <c r="H574"/>
      <c r="I574" s="37"/>
    </row>
    <row r="575" spans="2:9" s="28" customFormat="1" ht="12.75">
      <c r="B575"/>
      <c r="E575"/>
      <c r="F575"/>
      <c r="G575" s="365"/>
      <c r="H575"/>
      <c r="I575" s="37"/>
    </row>
    <row r="576" spans="2:9" s="28" customFormat="1" ht="12.75">
      <c r="B576"/>
      <c r="E576"/>
      <c r="F576"/>
      <c r="G576" s="365"/>
      <c r="H576"/>
      <c r="I576" s="37"/>
    </row>
    <row r="578" ht="12.75">
      <c r="E578" s="83"/>
    </row>
    <row r="579" ht="12.75">
      <c r="E579" s="83"/>
    </row>
  </sheetData>
  <mergeCells count="4">
    <mergeCell ref="D6:D7"/>
    <mergeCell ref="G6:G7"/>
    <mergeCell ref="E6:E7"/>
    <mergeCell ref="F6:F7"/>
  </mergeCells>
  <printOptions horizontalCentered="1"/>
  <pageMargins left="0.5905511811023623" right="0.5905511811023623" top="0.6692913385826772" bottom="0.6692913385826772" header="0.5118110236220472" footer="0.5118110236220472"/>
  <pageSetup firstPageNumber="3" useFirstPageNumber="1" horizontalDpi="600" verticalDpi="600" orientation="landscape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A1" sqref="A1"/>
    </sheetView>
  </sheetViews>
  <sheetFormatPr defaultColWidth="9.00390625" defaultRowHeight="12.75"/>
  <cols>
    <col min="1" max="1" width="7.875" style="848" customWidth="1"/>
    <col min="2" max="2" width="10.125" style="848" customWidth="1"/>
    <col min="3" max="3" width="60.25390625" style="848" customWidth="1"/>
    <col min="4" max="6" width="18.00390625" style="848" customWidth="1"/>
    <col min="7" max="7" width="11.25390625" style="848" customWidth="1"/>
    <col min="8" max="16384" width="9.125" style="848" customWidth="1"/>
  </cols>
  <sheetData>
    <row r="1" ht="14.25">
      <c r="F1" s="848" t="s">
        <v>751</v>
      </c>
    </row>
    <row r="2" spans="4:6" s="699" customFormat="1" ht="15.75">
      <c r="D2" s="848"/>
      <c r="E2" s="848"/>
      <c r="F2" s="848" t="s">
        <v>873</v>
      </c>
    </row>
    <row r="3" spans="1:6" s="699" customFormat="1" ht="18">
      <c r="A3" s="698" t="s">
        <v>752</v>
      </c>
      <c r="D3" s="848"/>
      <c r="E3" s="848"/>
      <c r="F3" s="848" t="s">
        <v>884</v>
      </c>
    </row>
    <row r="4" spans="4:6" s="699" customFormat="1" ht="13.5" customHeight="1">
      <c r="D4" s="848"/>
      <c r="E4" s="848"/>
      <c r="F4" s="848" t="s">
        <v>874</v>
      </c>
    </row>
    <row r="5" spans="1:3" ht="15">
      <c r="A5" s="883"/>
      <c r="B5" s="883"/>
      <c r="C5" s="883"/>
    </row>
    <row r="6" spans="2:7" ht="15.75" thickBot="1">
      <c r="B6" s="1431"/>
      <c r="C6" s="1432"/>
      <c r="G6" s="848" t="s">
        <v>450</v>
      </c>
    </row>
    <row r="7" spans="1:7" s="725" customFormat="1" ht="59.25" customHeight="1" thickBot="1" thickTop="1">
      <c r="A7" s="701" t="s">
        <v>964</v>
      </c>
      <c r="B7" s="701" t="s">
        <v>753</v>
      </c>
      <c r="C7" s="701" t="s">
        <v>754</v>
      </c>
      <c r="D7" s="701" t="s">
        <v>278</v>
      </c>
      <c r="E7" s="701" t="s">
        <v>723</v>
      </c>
      <c r="F7" s="701" t="s">
        <v>882</v>
      </c>
      <c r="G7" s="701" t="s">
        <v>281</v>
      </c>
    </row>
    <row r="8" spans="1:7" s="865" customFormat="1" ht="13.5" customHeight="1" thickBot="1" thickTop="1">
      <c r="A8" s="702">
        <v>1</v>
      </c>
      <c r="B8" s="702">
        <v>2</v>
      </c>
      <c r="C8" s="702">
        <v>3</v>
      </c>
      <c r="D8" s="864">
        <v>4</v>
      </c>
      <c r="E8" s="864">
        <v>5</v>
      </c>
      <c r="F8" s="864">
        <v>6</v>
      </c>
      <c r="G8" s="864">
        <v>7</v>
      </c>
    </row>
    <row r="9" spans="1:7" s="709" customFormat="1" ht="19.5" customHeight="1" thickTop="1">
      <c r="A9" s="705"/>
      <c r="B9" s="705"/>
      <c r="C9" s="1433" t="s">
        <v>755</v>
      </c>
      <c r="D9" s="1434">
        <v>1329710</v>
      </c>
      <c r="E9" s="1434">
        <v>532569</v>
      </c>
      <c r="F9" s="1434">
        <v>532569</v>
      </c>
      <c r="G9" s="1435"/>
    </row>
    <row r="10" spans="1:7" s="709" customFormat="1" ht="19.5" customHeight="1">
      <c r="A10" s="741"/>
      <c r="B10" s="1436"/>
      <c r="C10" s="1437" t="s">
        <v>756</v>
      </c>
      <c r="D10" s="1438">
        <f aca="true" t="shared" si="0" ref="D10:F11">D11</f>
        <v>2425000</v>
      </c>
      <c r="E10" s="1438">
        <f t="shared" si="0"/>
        <v>3187808</v>
      </c>
      <c r="F10" s="1438">
        <f t="shared" si="0"/>
        <v>2927570</v>
      </c>
      <c r="G10" s="1439">
        <f aca="true" t="shared" si="1" ref="G10:G28">F10/E10</f>
        <v>0.9183645941035344</v>
      </c>
    </row>
    <row r="11" spans="1:7" s="709" customFormat="1" ht="19.5" customHeight="1">
      <c r="A11" s="96">
        <v>900</v>
      </c>
      <c r="B11" s="1440"/>
      <c r="C11" s="105" t="s">
        <v>384</v>
      </c>
      <c r="D11" s="209">
        <f t="shared" si="0"/>
        <v>2425000</v>
      </c>
      <c r="E11" s="209">
        <f t="shared" si="0"/>
        <v>3187808</v>
      </c>
      <c r="F11" s="209">
        <f t="shared" si="0"/>
        <v>2927570</v>
      </c>
      <c r="G11" s="1441">
        <f t="shared" si="1"/>
        <v>0.9183645941035344</v>
      </c>
    </row>
    <row r="12" spans="1:7" s="709" customFormat="1" ht="19.5" customHeight="1">
      <c r="A12" s="737"/>
      <c r="B12" s="232">
        <v>90011</v>
      </c>
      <c r="C12" s="506" t="s">
        <v>928</v>
      </c>
      <c r="D12" s="723">
        <f>D13+D15+D17+D19+D29+D21+D23+D25+D27</f>
        <v>2425000</v>
      </c>
      <c r="E12" s="723">
        <f>E13+E15+E17+E19+E29+E21+E23+E25+E27</f>
        <v>3187808</v>
      </c>
      <c r="F12" s="723">
        <f>F13+F15+F17+F19+F29+F21+F23+F25+F27</f>
        <v>2927570</v>
      </c>
      <c r="G12" s="1442">
        <f t="shared" si="1"/>
        <v>0.9183645941035344</v>
      </c>
    </row>
    <row r="13" spans="1:7" s="709" customFormat="1" ht="19.5" customHeight="1">
      <c r="A13" s="737"/>
      <c r="B13" s="737"/>
      <c r="C13" s="1109" t="s">
        <v>757</v>
      </c>
      <c r="D13" s="764">
        <f>D14</f>
        <v>600000</v>
      </c>
      <c r="E13" s="764">
        <f>E14</f>
        <v>1200000</v>
      </c>
      <c r="F13" s="764">
        <f>F14</f>
        <v>1302099</v>
      </c>
      <c r="G13" s="587">
        <f t="shared" si="1"/>
        <v>1.0850825</v>
      </c>
    </row>
    <row r="14" spans="1:7" s="729" customFormat="1" ht="19.5" customHeight="1">
      <c r="A14" s="726"/>
      <c r="B14" s="1443" t="s">
        <v>459</v>
      </c>
      <c r="C14" s="1444" t="s">
        <v>758</v>
      </c>
      <c r="D14" s="751">
        <v>600000</v>
      </c>
      <c r="E14" s="751">
        <v>1200000</v>
      </c>
      <c r="F14" s="751">
        <v>1302099</v>
      </c>
      <c r="G14" s="1445">
        <f t="shared" si="1"/>
        <v>1.0850825</v>
      </c>
    </row>
    <row r="15" spans="1:7" s="709" customFormat="1" ht="19.5" customHeight="1">
      <c r="A15" s="737"/>
      <c r="B15" s="737"/>
      <c r="C15" s="1109" t="s">
        <v>759</v>
      </c>
      <c r="D15" s="764">
        <f>D16</f>
        <v>25000</v>
      </c>
      <c r="E15" s="764">
        <f>E16</f>
        <v>25000</v>
      </c>
      <c r="F15" s="764">
        <f>F16</f>
        <v>39340</v>
      </c>
      <c r="G15" s="587">
        <f t="shared" si="1"/>
        <v>1.5736</v>
      </c>
    </row>
    <row r="16" spans="1:7" s="729" customFormat="1" ht="19.5" customHeight="1">
      <c r="A16" s="726"/>
      <c r="B16" s="1443" t="s">
        <v>461</v>
      </c>
      <c r="C16" s="1444" t="s">
        <v>760</v>
      </c>
      <c r="D16" s="751">
        <v>25000</v>
      </c>
      <c r="E16" s="751">
        <v>25000</v>
      </c>
      <c r="F16" s="751">
        <v>39340</v>
      </c>
      <c r="G16" s="1445">
        <f t="shared" si="1"/>
        <v>1.5736</v>
      </c>
    </row>
    <row r="17" spans="1:7" s="709" customFormat="1" ht="27.75" customHeight="1">
      <c r="A17" s="737"/>
      <c r="B17" s="737"/>
      <c r="C17" s="1371" t="s">
        <v>761</v>
      </c>
      <c r="D17" s="764">
        <f>D18</f>
        <v>1800000</v>
      </c>
      <c r="E17" s="764">
        <f>E18</f>
        <v>1800000</v>
      </c>
      <c r="F17" s="764">
        <f>F18</f>
        <v>1381777</v>
      </c>
      <c r="G17" s="746">
        <f t="shared" si="1"/>
        <v>0.7676538888888889</v>
      </c>
    </row>
    <row r="18" spans="1:7" s="729" customFormat="1" ht="19.5" customHeight="1">
      <c r="A18" s="726"/>
      <c r="B18" s="1443">
        <v>2960</v>
      </c>
      <c r="C18" s="1444" t="s">
        <v>762</v>
      </c>
      <c r="D18" s="751">
        <v>1800000</v>
      </c>
      <c r="E18" s="751">
        <v>1800000</v>
      </c>
      <c r="F18" s="751">
        <v>1381777</v>
      </c>
      <c r="G18" s="1445">
        <f t="shared" si="1"/>
        <v>0.7676538888888889</v>
      </c>
    </row>
    <row r="19" spans="1:7" s="709" customFormat="1" ht="27.75" customHeight="1">
      <c r="A19" s="737"/>
      <c r="B19" s="737"/>
      <c r="C19" s="1371" t="s">
        <v>763</v>
      </c>
      <c r="D19" s="764"/>
      <c r="E19" s="764">
        <f>E20</f>
        <v>95000</v>
      </c>
      <c r="F19" s="764">
        <f>F20</f>
        <v>94900</v>
      </c>
      <c r="G19" s="746">
        <f t="shared" si="1"/>
        <v>0.9989473684210526</v>
      </c>
    </row>
    <row r="20" spans="1:7" s="729" customFormat="1" ht="19.5" customHeight="1">
      <c r="A20" s="726"/>
      <c r="B20" s="1443">
        <v>2960</v>
      </c>
      <c r="C20" s="1444" t="s">
        <v>762</v>
      </c>
      <c r="D20" s="751"/>
      <c r="E20" s="751">
        <v>95000</v>
      </c>
      <c r="F20" s="751">
        <v>94900</v>
      </c>
      <c r="G20" s="1445">
        <f t="shared" si="1"/>
        <v>0.9989473684210526</v>
      </c>
    </row>
    <row r="21" spans="1:7" s="709" customFormat="1" ht="19.5" customHeight="1">
      <c r="A21" s="737"/>
      <c r="B21" s="737"/>
      <c r="C21" s="1109" t="s">
        <v>764</v>
      </c>
      <c r="D21" s="764"/>
      <c r="E21" s="764">
        <f>E22</f>
        <v>10000</v>
      </c>
      <c r="F21" s="764">
        <f>F22</f>
        <v>10000</v>
      </c>
      <c r="G21" s="587">
        <f t="shared" si="1"/>
        <v>1</v>
      </c>
    </row>
    <row r="22" spans="1:7" s="729" customFormat="1" ht="19.5" customHeight="1">
      <c r="A22" s="726"/>
      <c r="B22" s="1443" t="s">
        <v>460</v>
      </c>
      <c r="C22" s="1444" t="s">
        <v>765</v>
      </c>
      <c r="D22" s="751"/>
      <c r="E22" s="751">
        <v>10000</v>
      </c>
      <c r="F22" s="751">
        <v>10000</v>
      </c>
      <c r="G22" s="1445">
        <f t="shared" si="1"/>
        <v>1</v>
      </c>
    </row>
    <row r="23" spans="1:7" s="709" customFormat="1" ht="27.75" customHeight="1">
      <c r="A23" s="737"/>
      <c r="B23" s="737"/>
      <c r="C23" s="1371" t="s">
        <v>766</v>
      </c>
      <c r="D23" s="764"/>
      <c r="E23" s="764">
        <f>E24</f>
        <v>10000</v>
      </c>
      <c r="F23" s="764">
        <f>F24</f>
        <v>10000</v>
      </c>
      <c r="G23" s="746">
        <f t="shared" si="1"/>
        <v>1</v>
      </c>
    </row>
    <row r="24" spans="1:7" s="729" customFormat="1" ht="19.5" customHeight="1">
      <c r="A24" s="726"/>
      <c r="B24" s="1443" t="s">
        <v>460</v>
      </c>
      <c r="C24" s="1444" t="s">
        <v>765</v>
      </c>
      <c r="D24" s="751"/>
      <c r="E24" s="751">
        <v>10000</v>
      </c>
      <c r="F24" s="751">
        <v>10000</v>
      </c>
      <c r="G24" s="1445">
        <f t="shared" si="1"/>
        <v>1</v>
      </c>
    </row>
    <row r="25" spans="1:7" s="709" customFormat="1" ht="27.75" customHeight="1">
      <c r="A25" s="737"/>
      <c r="B25" s="737"/>
      <c r="C25" s="1371" t="s">
        <v>767</v>
      </c>
      <c r="D25" s="764"/>
      <c r="E25" s="764">
        <f>E26</f>
        <v>40008</v>
      </c>
      <c r="F25" s="764">
        <f>F26</f>
        <v>40008</v>
      </c>
      <c r="G25" s="746">
        <f t="shared" si="1"/>
        <v>1</v>
      </c>
    </row>
    <row r="26" spans="1:7" s="729" customFormat="1" ht="19.5" customHeight="1">
      <c r="A26" s="750"/>
      <c r="B26" s="1443">
        <v>2960</v>
      </c>
      <c r="C26" s="1444" t="s">
        <v>762</v>
      </c>
      <c r="D26" s="751"/>
      <c r="E26" s="751">
        <v>40008</v>
      </c>
      <c r="F26" s="751">
        <v>40008</v>
      </c>
      <c r="G26" s="1445">
        <f t="shared" si="1"/>
        <v>1</v>
      </c>
    </row>
    <row r="27" spans="1:7" s="709" customFormat="1" ht="19.5" customHeight="1">
      <c r="A27" s="737"/>
      <c r="B27" s="737"/>
      <c r="C27" s="1371" t="s">
        <v>768</v>
      </c>
      <c r="D27" s="764"/>
      <c r="E27" s="764">
        <f>E28</f>
        <v>7800</v>
      </c>
      <c r="F27" s="764">
        <f>F28</f>
        <v>6393</v>
      </c>
      <c r="G27" s="746">
        <f t="shared" si="1"/>
        <v>0.8196153846153846</v>
      </c>
    </row>
    <row r="28" spans="1:7" s="729" customFormat="1" ht="19.5" customHeight="1">
      <c r="A28" s="726"/>
      <c r="B28" s="1443" t="s">
        <v>461</v>
      </c>
      <c r="C28" s="1444" t="s">
        <v>760</v>
      </c>
      <c r="D28" s="751"/>
      <c r="E28" s="751">
        <v>7800</v>
      </c>
      <c r="F28" s="751">
        <v>6393</v>
      </c>
      <c r="G28" s="1445">
        <f t="shared" si="1"/>
        <v>0.8196153846153846</v>
      </c>
    </row>
    <row r="29" spans="1:7" s="709" customFormat="1" ht="19.5" customHeight="1">
      <c r="A29" s="737"/>
      <c r="B29" s="1446"/>
      <c r="C29" s="511" t="s">
        <v>883</v>
      </c>
      <c r="D29" s="586"/>
      <c r="E29" s="586"/>
      <c r="F29" s="586">
        <f>F30</f>
        <v>43053</v>
      </c>
      <c r="G29" s="1447"/>
    </row>
    <row r="30" spans="1:7" s="729" customFormat="1" ht="19.5" customHeight="1">
      <c r="A30" s="726"/>
      <c r="B30" s="1443" t="s">
        <v>458</v>
      </c>
      <c r="C30" s="1448" t="s">
        <v>863</v>
      </c>
      <c r="D30" s="751"/>
      <c r="E30" s="751"/>
      <c r="F30" s="751">
        <v>43053</v>
      </c>
      <c r="G30" s="1445"/>
    </row>
    <row r="31" spans="1:7" s="725" customFormat="1" ht="19.5" customHeight="1">
      <c r="A31" s="231"/>
      <c r="B31" s="231"/>
      <c r="C31" s="1102" t="s">
        <v>769</v>
      </c>
      <c r="D31" s="1449">
        <f>D9+D10</f>
        <v>3754710</v>
      </c>
      <c r="E31" s="1449">
        <f>E9+E10</f>
        <v>3720377</v>
      </c>
      <c r="F31" s="1449">
        <f>F9+F10</f>
        <v>3460139</v>
      </c>
      <c r="G31" s="745"/>
    </row>
    <row r="32" spans="1:7" s="709" customFormat="1" ht="19.5" customHeight="1">
      <c r="A32" s="1450"/>
      <c r="B32" s="1451"/>
      <c r="C32" s="1437" t="s">
        <v>770</v>
      </c>
      <c r="D32" s="1452">
        <f aca="true" t="shared" si="2" ref="D32:F33">D33</f>
        <v>3060000</v>
      </c>
      <c r="E32" s="1452">
        <f t="shared" si="2"/>
        <v>3222808</v>
      </c>
      <c r="F32" s="1452">
        <f t="shared" si="2"/>
        <v>2983719</v>
      </c>
      <c r="G32" s="1439">
        <f aca="true" t="shared" si="3" ref="G32:G41">F32/E32</f>
        <v>0.9258134521200146</v>
      </c>
    </row>
    <row r="33" spans="1:7" s="709" customFormat="1" ht="19.5" customHeight="1">
      <c r="A33" s="96">
        <v>900</v>
      </c>
      <c r="B33" s="1440"/>
      <c r="C33" s="105" t="s">
        <v>384</v>
      </c>
      <c r="D33" s="601">
        <f t="shared" si="2"/>
        <v>3060000</v>
      </c>
      <c r="E33" s="601">
        <f t="shared" si="2"/>
        <v>3222808</v>
      </c>
      <c r="F33" s="601">
        <f t="shared" si="2"/>
        <v>2983719</v>
      </c>
      <c r="G33" s="1441">
        <f t="shared" si="3"/>
        <v>0.9258134521200146</v>
      </c>
    </row>
    <row r="34" spans="1:7" s="564" customFormat="1" ht="19.5" customHeight="1">
      <c r="A34" s="737"/>
      <c r="B34" s="232">
        <v>90011</v>
      </c>
      <c r="C34" s="506" t="s">
        <v>928</v>
      </c>
      <c r="D34" s="723">
        <f>D35+D38+D40+D42+D44+D46+D48+D50+D53+D55+D57+D60+D62+D65+D67+D69+D71+D73+D75+D77+D79+D81</f>
        <v>3060000</v>
      </c>
      <c r="E34" s="723">
        <f>E35+E38+E40+E42+E44+E46+E48+E50+E53+E55+E57+E60+E62+E65+E67+E69+E71+E73+E75+E77+E79+E81</f>
        <v>3222808</v>
      </c>
      <c r="F34" s="723">
        <f>F35+F38+F40+F42+F44+F46+F48+F50+F53+F55+F57+F60+F62+F65+F67+F69+F71+F73+F75+F77+F79+F81</f>
        <v>2983719</v>
      </c>
      <c r="G34" s="1442">
        <f t="shared" si="3"/>
        <v>0.9258134521200146</v>
      </c>
    </row>
    <row r="35" spans="1:7" s="564" customFormat="1" ht="19.5" customHeight="1">
      <c r="A35" s="737"/>
      <c r="B35" s="737"/>
      <c r="C35" s="1371" t="s">
        <v>771</v>
      </c>
      <c r="D35" s="1453">
        <f>SUM(D36:D37)</f>
        <v>170000</v>
      </c>
      <c r="E35" s="1453">
        <f>SUM(E36:E37)</f>
        <v>173842</v>
      </c>
      <c r="F35" s="1453">
        <f>SUM(F36:F37)</f>
        <v>172295</v>
      </c>
      <c r="G35" s="1454">
        <f t="shared" si="3"/>
        <v>0.991101114805398</v>
      </c>
    </row>
    <row r="36" spans="1:7" s="573" customFormat="1" ht="19.5" customHeight="1">
      <c r="A36" s="726"/>
      <c r="B36" s="750">
        <v>4210</v>
      </c>
      <c r="C36" s="1444" t="s">
        <v>772</v>
      </c>
      <c r="D36" s="1455">
        <v>30000</v>
      </c>
      <c r="E36" s="1455">
        <v>30000</v>
      </c>
      <c r="F36" s="1455">
        <v>29190</v>
      </c>
      <c r="G36" s="1456">
        <f t="shared" si="3"/>
        <v>0.973</v>
      </c>
    </row>
    <row r="37" spans="1:7" s="729" customFormat="1" ht="19.5" customHeight="1">
      <c r="A37" s="726"/>
      <c r="B37" s="750">
        <v>4300</v>
      </c>
      <c r="C37" s="1448" t="s">
        <v>773</v>
      </c>
      <c r="D37" s="1457">
        <v>140000</v>
      </c>
      <c r="E37" s="1457">
        <v>143842</v>
      </c>
      <c r="F37" s="1457">
        <v>143105</v>
      </c>
      <c r="G37" s="1458">
        <f t="shared" si="3"/>
        <v>0.9948763226317765</v>
      </c>
    </row>
    <row r="38" spans="1:7" s="729" customFormat="1" ht="19.5" customHeight="1">
      <c r="A38" s="726"/>
      <c r="B38" s="737"/>
      <c r="C38" s="1371" t="s">
        <v>774</v>
      </c>
      <c r="D38" s="1459">
        <f>D39</f>
        <v>80000</v>
      </c>
      <c r="E38" s="1459">
        <f>E39</f>
        <v>110000</v>
      </c>
      <c r="F38" s="1459">
        <f>F39</f>
        <v>107733</v>
      </c>
      <c r="G38" s="1460">
        <f t="shared" si="3"/>
        <v>0.9793909090909091</v>
      </c>
    </row>
    <row r="39" spans="1:7" s="709" customFormat="1" ht="19.5" customHeight="1">
      <c r="A39" s="737"/>
      <c r="B39" s="750">
        <v>4300</v>
      </c>
      <c r="C39" s="1448" t="s">
        <v>773</v>
      </c>
      <c r="D39" s="1457">
        <v>80000</v>
      </c>
      <c r="E39" s="1457">
        <v>110000</v>
      </c>
      <c r="F39" s="1457">
        <v>107733</v>
      </c>
      <c r="G39" s="1458">
        <f t="shared" si="3"/>
        <v>0.9793909090909091</v>
      </c>
    </row>
    <row r="40" spans="1:7" s="729" customFormat="1" ht="19.5" customHeight="1">
      <c r="A40" s="726"/>
      <c r="B40" s="737"/>
      <c r="C40" s="1371" t="s">
        <v>775</v>
      </c>
      <c r="D40" s="1459">
        <f>D41</f>
        <v>80000</v>
      </c>
      <c r="E40" s="1459">
        <f>E41</f>
        <v>105000</v>
      </c>
      <c r="F40" s="1459">
        <f>F41</f>
        <v>104426</v>
      </c>
      <c r="G40" s="1460">
        <f t="shared" si="3"/>
        <v>0.9945333333333334</v>
      </c>
    </row>
    <row r="41" spans="1:7" s="709" customFormat="1" ht="19.5" customHeight="1">
      <c r="A41" s="737"/>
      <c r="B41" s="750">
        <v>4300</v>
      </c>
      <c r="C41" s="1448" t="s">
        <v>773</v>
      </c>
      <c r="D41" s="1457">
        <v>80000</v>
      </c>
      <c r="E41" s="1457">
        <v>105000</v>
      </c>
      <c r="F41" s="1457">
        <v>104426</v>
      </c>
      <c r="G41" s="1458">
        <f t="shared" si="3"/>
        <v>0.9945333333333334</v>
      </c>
    </row>
    <row r="42" spans="1:7" s="709" customFormat="1" ht="27.75" customHeight="1">
      <c r="A42" s="737"/>
      <c r="B42" s="737"/>
      <c r="C42" s="1371" t="s">
        <v>776</v>
      </c>
      <c r="D42" s="764">
        <f>D43</f>
        <v>80000</v>
      </c>
      <c r="E42" s="764">
        <f>E43</f>
        <v>60000</v>
      </c>
      <c r="F42" s="764">
        <f>F43</f>
        <v>59999</v>
      </c>
      <c r="G42" s="746">
        <v>0.9999</v>
      </c>
    </row>
    <row r="43" spans="1:7" s="709" customFormat="1" ht="19.5" customHeight="1">
      <c r="A43" s="737"/>
      <c r="B43" s="750">
        <v>4300</v>
      </c>
      <c r="C43" s="1448" t="s">
        <v>773</v>
      </c>
      <c r="D43" s="1457">
        <v>80000</v>
      </c>
      <c r="E43" s="1457">
        <v>60000</v>
      </c>
      <c r="F43" s="1457">
        <v>59999</v>
      </c>
      <c r="G43" s="1458">
        <v>0.9999</v>
      </c>
    </row>
    <row r="44" spans="1:7" s="709" customFormat="1" ht="27.75" customHeight="1">
      <c r="A44" s="737"/>
      <c r="B44" s="737"/>
      <c r="C44" s="1371" t="s">
        <v>777</v>
      </c>
      <c r="D44" s="764">
        <f>D45</f>
        <v>150000</v>
      </c>
      <c r="E44" s="764">
        <f>E45</f>
        <v>150000</v>
      </c>
      <c r="F44" s="764">
        <f>F45</f>
        <v>143540</v>
      </c>
      <c r="G44" s="746">
        <f>F44/E44</f>
        <v>0.9569333333333333</v>
      </c>
    </row>
    <row r="45" spans="1:7" s="709" customFormat="1" ht="19.5" customHeight="1">
      <c r="A45" s="737"/>
      <c r="B45" s="750">
        <v>4300</v>
      </c>
      <c r="C45" s="1448" t="s">
        <v>773</v>
      </c>
      <c r="D45" s="1457">
        <v>150000</v>
      </c>
      <c r="E45" s="1457">
        <v>150000</v>
      </c>
      <c r="F45" s="1457">
        <v>143540</v>
      </c>
      <c r="G45" s="1458">
        <f>F45/E45</f>
        <v>0.9569333333333333</v>
      </c>
    </row>
    <row r="46" spans="1:7" s="729" customFormat="1" ht="19.5" customHeight="1">
      <c r="A46" s="726"/>
      <c r="B46" s="737"/>
      <c r="C46" s="1371" t="s">
        <v>778</v>
      </c>
      <c r="D46" s="1459">
        <f>D47</f>
        <v>100000</v>
      </c>
      <c r="E46" s="1459">
        <f>E47</f>
        <v>100000</v>
      </c>
      <c r="F46" s="1459">
        <f>F47</f>
        <v>100000</v>
      </c>
      <c r="G46" s="1460">
        <f>F46/E46</f>
        <v>1</v>
      </c>
    </row>
    <row r="47" spans="1:7" s="709" customFormat="1" ht="19.5" customHeight="1">
      <c r="A47" s="737"/>
      <c r="B47" s="750">
        <v>6110</v>
      </c>
      <c r="C47" s="1448" t="s">
        <v>779</v>
      </c>
      <c r="D47" s="1457">
        <v>100000</v>
      </c>
      <c r="E47" s="1457">
        <v>100000</v>
      </c>
      <c r="F47" s="1457">
        <v>100000</v>
      </c>
      <c r="G47" s="1458">
        <f>F47/E47</f>
        <v>1</v>
      </c>
    </row>
    <row r="48" spans="1:7" s="729" customFormat="1" ht="19.5" customHeight="1">
      <c r="A48" s="726"/>
      <c r="B48" s="737"/>
      <c r="C48" s="1371" t="s">
        <v>780</v>
      </c>
      <c r="D48" s="1459">
        <f>D49</f>
        <v>30000</v>
      </c>
      <c r="E48" s="1459">
        <f>E49</f>
        <v>30752</v>
      </c>
      <c r="F48" s="1459">
        <f>F49</f>
        <v>30751</v>
      </c>
      <c r="G48" s="1460">
        <v>0.9999</v>
      </c>
    </row>
    <row r="49" spans="1:7" s="709" customFormat="1" ht="19.5" customHeight="1">
      <c r="A49" s="737"/>
      <c r="B49" s="750">
        <v>4300</v>
      </c>
      <c r="C49" s="1448" t="s">
        <v>773</v>
      </c>
      <c r="D49" s="1457">
        <v>30000</v>
      </c>
      <c r="E49" s="1457">
        <v>30752</v>
      </c>
      <c r="F49" s="1457">
        <v>30751</v>
      </c>
      <c r="G49" s="1458">
        <v>0.9999</v>
      </c>
    </row>
    <row r="50" spans="1:7" s="729" customFormat="1" ht="19.5" customHeight="1">
      <c r="A50" s="726"/>
      <c r="B50" s="737"/>
      <c r="C50" s="1371" t="s">
        <v>781</v>
      </c>
      <c r="D50" s="1459">
        <f>D51</f>
        <v>100000</v>
      </c>
      <c r="E50" s="1459">
        <f>E51</f>
        <v>100000</v>
      </c>
      <c r="F50" s="1459">
        <f>F51</f>
        <v>99089</v>
      </c>
      <c r="G50" s="1460">
        <f>F50/E50</f>
        <v>0.99089</v>
      </c>
    </row>
    <row r="51" spans="1:7" s="709" customFormat="1" ht="19.5" customHeight="1">
      <c r="A51" s="741"/>
      <c r="B51" s="750">
        <v>4300</v>
      </c>
      <c r="C51" s="1448" t="s">
        <v>773</v>
      </c>
      <c r="D51" s="1457">
        <v>100000</v>
      </c>
      <c r="E51" s="1457">
        <v>100000</v>
      </c>
      <c r="F51" s="1457">
        <v>99089</v>
      </c>
      <c r="G51" s="1458">
        <f>F51/E51</f>
        <v>0.99089</v>
      </c>
    </row>
    <row r="52" ht="19.5" customHeight="1"/>
    <row r="53" spans="1:7" s="709" customFormat="1" ht="24.75" customHeight="1">
      <c r="A53" s="737"/>
      <c r="B53" s="737"/>
      <c r="C53" s="1371" t="s">
        <v>782</v>
      </c>
      <c r="D53" s="764">
        <f>D54</f>
        <v>40000</v>
      </c>
      <c r="E53" s="764">
        <f>E54</f>
        <v>80000</v>
      </c>
      <c r="F53" s="764">
        <f>F54</f>
        <v>79861</v>
      </c>
      <c r="G53" s="746">
        <f>F53/E53</f>
        <v>0.9982625</v>
      </c>
    </row>
    <row r="54" spans="1:7" s="709" customFormat="1" ht="19.5" customHeight="1">
      <c r="A54" s="737"/>
      <c r="B54" s="750">
        <v>4300</v>
      </c>
      <c r="C54" s="1448" t="s">
        <v>773</v>
      </c>
      <c r="D54" s="1457">
        <v>40000</v>
      </c>
      <c r="E54" s="1457">
        <v>80000</v>
      </c>
      <c r="F54" s="1457">
        <v>79861</v>
      </c>
      <c r="G54" s="1458">
        <f>F54/E54</f>
        <v>0.9982625</v>
      </c>
    </row>
    <row r="55" spans="1:7" s="729" customFormat="1" ht="19.5" customHeight="1">
      <c r="A55" s="726"/>
      <c r="B55" s="737"/>
      <c r="C55" s="1371" t="s">
        <v>783</v>
      </c>
      <c r="D55" s="1459">
        <f>D56</f>
        <v>180000</v>
      </c>
      <c r="E55" s="1459">
        <f>E56</f>
        <v>215000</v>
      </c>
      <c r="F55" s="1459">
        <f>F56</f>
        <v>207522</v>
      </c>
      <c r="G55" s="1460">
        <f>F55/E55</f>
        <v>0.9652186046511628</v>
      </c>
    </row>
    <row r="56" spans="1:7" s="709" customFormat="1" ht="19.5" customHeight="1">
      <c r="A56" s="737"/>
      <c r="B56" s="750">
        <v>4210</v>
      </c>
      <c r="C56" s="1448" t="s">
        <v>772</v>
      </c>
      <c r="D56" s="1457">
        <v>180000</v>
      </c>
      <c r="E56" s="1457">
        <v>215000</v>
      </c>
      <c r="F56" s="1457">
        <v>207522</v>
      </c>
      <c r="G56" s="1458">
        <f>F56/E56</f>
        <v>0.9652186046511628</v>
      </c>
    </row>
    <row r="57" spans="1:7" s="729" customFormat="1" ht="19.5" customHeight="1">
      <c r="A57" s="726"/>
      <c r="B57" s="737"/>
      <c r="C57" s="1371" t="s">
        <v>784</v>
      </c>
      <c r="D57" s="1459">
        <f>SUM(D58:D59)</f>
        <v>160000</v>
      </c>
      <c r="E57" s="1459">
        <f>SUM(E58:E59)</f>
        <v>160000</v>
      </c>
      <c r="F57" s="1459">
        <f>SUM(F58:F59)</f>
        <v>159996</v>
      </c>
      <c r="G57" s="1460">
        <v>0.9999</v>
      </c>
    </row>
    <row r="58" spans="1:7" s="709" customFormat="1" ht="19.5" customHeight="1">
      <c r="A58" s="737"/>
      <c r="B58" s="750">
        <v>4270</v>
      </c>
      <c r="C58" s="1448" t="s">
        <v>785</v>
      </c>
      <c r="D58" s="1457">
        <v>160000</v>
      </c>
      <c r="E58" s="1457"/>
      <c r="F58" s="1457"/>
      <c r="G58" s="1458"/>
    </row>
    <row r="59" spans="1:7" s="709" customFormat="1" ht="19.5" customHeight="1">
      <c r="A59" s="737"/>
      <c r="B59" s="750">
        <v>6110</v>
      </c>
      <c r="C59" s="1448" t="s">
        <v>779</v>
      </c>
      <c r="D59" s="1457"/>
      <c r="E59" s="1457">
        <v>160000</v>
      </c>
      <c r="F59" s="1457">
        <v>159996</v>
      </c>
      <c r="G59" s="1458">
        <v>0.9999</v>
      </c>
    </row>
    <row r="60" spans="1:7" s="729" customFormat="1" ht="19.5" customHeight="1">
      <c r="A60" s="726"/>
      <c r="B60" s="737"/>
      <c r="C60" s="1371" t="s">
        <v>786</v>
      </c>
      <c r="D60" s="1459">
        <f>D61</f>
        <v>100000</v>
      </c>
      <c r="E60" s="1459">
        <f>E61</f>
        <v>100000</v>
      </c>
      <c r="F60" s="1459">
        <f>F61</f>
        <v>800</v>
      </c>
      <c r="G60" s="1460">
        <f aca="true" t="shared" si="4" ref="G60:G80">F60/E60</f>
        <v>0.008</v>
      </c>
    </row>
    <row r="61" spans="1:7" s="709" customFormat="1" ht="19.5" customHeight="1">
      <c r="A61" s="737"/>
      <c r="B61" s="750">
        <v>4300</v>
      </c>
      <c r="C61" s="1448" t="s">
        <v>787</v>
      </c>
      <c r="D61" s="1457">
        <v>100000</v>
      </c>
      <c r="E61" s="1457">
        <v>100000</v>
      </c>
      <c r="F61" s="1457">
        <v>800</v>
      </c>
      <c r="G61" s="1458">
        <f t="shared" si="4"/>
        <v>0.008</v>
      </c>
    </row>
    <row r="62" spans="1:7" s="709" customFormat="1" ht="27.75" customHeight="1">
      <c r="A62" s="737"/>
      <c r="B62" s="737"/>
      <c r="C62" s="1371" t="s">
        <v>788</v>
      </c>
      <c r="D62" s="764">
        <f>SUM(D63:D64)</f>
        <v>50000</v>
      </c>
      <c r="E62" s="764">
        <f>SUM(E63:E64)</f>
        <v>62714</v>
      </c>
      <c r="F62" s="764">
        <f>SUM(F63:F64)</f>
        <v>62714</v>
      </c>
      <c r="G62" s="746">
        <f t="shared" si="4"/>
        <v>1</v>
      </c>
    </row>
    <row r="63" spans="1:7" s="573" customFormat="1" ht="19.5" customHeight="1">
      <c r="A63" s="726"/>
      <c r="B63" s="750">
        <v>4210</v>
      </c>
      <c r="C63" s="1444" t="s">
        <v>772</v>
      </c>
      <c r="D63" s="1455"/>
      <c r="E63" s="1455">
        <v>738</v>
      </c>
      <c r="F63" s="1455">
        <v>738</v>
      </c>
      <c r="G63" s="1458">
        <f t="shared" si="4"/>
        <v>1</v>
      </c>
    </row>
    <row r="64" spans="1:7" s="709" customFormat="1" ht="19.5" customHeight="1">
      <c r="A64" s="737"/>
      <c r="B64" s="750">
        <v>4300</v>
      </c>
      <c r="C64" s="1448" t="s">
        <v>787</v>
      </c>
      <c r="D64" s="1457">
        <v>50000</v>
      </c>
      <c r="E64" s="1457">
        <v>61976</v>
      </c>
      <c r="F64" s="1457">
        <v>61976</v>
      </c>
      <c r="G64" s="1458">
        <f t="shared" si="4"/>
        <v>1</v>
      </c>
    </row>
    <row r="65" spans="1:7" s="729" customFormat="1" ht="19.5" customHeight="1">
      <c r="A65" s="726"/>
      <c r="B65" s="737"/>
      <c r="C65" s="1371" t="s">
        <v>789</v>
      </c>
      <c r="D65" s="1459">
        <f>D66</f>
        <v>410000</v>
      </c>
      <c r="E65" s="1459">
        <f>E66</f>
        <v>410000</v>
      </c>
      <c r="F65" s="1459">
        <f>F66</f>
        <v>410000</v>
      </c>
      <c r="G65" s="1460">
        <f t="shared" si="4"/>
        <v>1</v>
      </c>
    </row>
    <row r="66" spans="1:7" s="709" customFormat="1" ht="19.5" customHeight="1">
      <c r="A66" s="737"/>
      <c r="B66" s="750">
        <v>6110</v>
      </c>
      <c r="C66" s="1448" t="s">
        <v>779</v>
      </c>
      <c r="D66" s="1457">
        <v>410000</v>
      </c>
      <c r="E66" s="1457">
        <v>410000</v>
      </c>
      <c r="F66" s="1457">
        <v>410000</v>
      </c>
      <c r="G66" s="1458">
        <f t="shared" si="4"/>
        <v>1</v>
      </c>
    </row>
    <row r="67" spans="1:7" s="709" customFormat="1" ht="27.75" customHeight="1">
      <c r="A67" s="737"/>
      <c r="B67" s="737"/>
      <c r="C67" s="1371" t="s">
        <v>790</v>
      </c>
      <c r="D67" s="764">
        <f>D68</f>
        <v>30000</v>
      </c>
      <c r="E67" s="764">
        <f>E68</f>
        <v>30000</v>
      </c>
      <c r="F67" s="764">
        <f>F68</f>
        <v>30000</v>
      </c>
      <c r="G67" s="746">
        <f t="shared" si="4"/>
        <v>1</v>
      </c>
    </row>
    <row r="68" spans="1:7" s="709" customFormat="1" ht="19.5" customHeight="1">
      <c r="A68" s="737"/>
      <c r="B68" s="750">
        <v>4210</v>
      </c>
      <c r="C68" s="1448" t="s">
        <v>772</v>
      </c>
      <c r="D68" s="1457">
        <v>30000</v>
      </c>
      <c r="E68" s="1457">
        <v>30000</v>
      </c>
      <c r="F68" s="1457">
        <v>30000</v>
      </c>
      <c r="G68" s="1458">
        <f t="shared" si="4"/>
        <v>1</v>
      </c>
    </row>
    <row r="69" spans="1:7" s="729" customFormat="1" ht="19.5" customHeight="1">
      <c r="A69" s="726"/>
      <c r="B69" s="568"/>
      <c r="C69" s="510" t="s">
        <v>791</v>
      </c>
      <c r="D69" s="1459">
        <f>D70</f>
        <v>300000</v>
      </c>
      <c r="E69" s="1459">
        <f>E70</f>
        <v>300000</v>
      </c>
      <c r="F69" s="1459">
        <f>F70</f>
        <v>300000</v>
      </c>
      <c r="G69" s="1460">
        <f t="shared" si="4"/>
        <v>1</v>
      </c>
    </row>
    <row r="70" spans="1:7" s="573" customFormat="1" ht="19.5" customHeight="1">
      <c r="A70" s="726"/>
      <c r="B70" s="750">
        <v>6110</v>
      </c>
      <c r="C70" s="1448" t="s">
        <v>779</v>
      </c>
      <c r="D70" s="1457">
        <v>300000</v>
      </c>
      <c r="E70" s="1457">
        <v>300000</v>
      </c>
      <c r="F70" s="1457">
        <v>300000</v>
      </c>
      <c r="G70" s="1458">
        <f t="shared" si="4"/>
        <v>1</v>
      </c>
    </row>
    <row r="71" spans="1:7" s="573" customFormat="1" ht="19.5" customHeight="1">
      <c r="A71" s="726"/>
      <c r="B71" s="737"/>
      <c r="C71" s="1371" t="s">
        <v>792</v>
      </c>
      <c r="D71" s="1459">
        <f>D72</f>
        <v>500000</v>
      </c>
      <c r="E71" s="1459">
        <f>E72</f>
        <v>500000</v>
      </c>
      <c r="F71" s="1459">
        <f>F72</f>
        <v>252005</v>
      </c>
      <c r="G71" s="1460">
        <f t="shared" si="4"/>
        <v>0.50401</v>
      </c>
    </row>
    <row r="72" spans="1:7" s="729" customFormat="1" ht="19.5" customHeight="1">
      <c r="A72" s="726"/>
      <c r="B72" s="750">
        <v>6110</v>
      </c>
      <c r="C72" s="1448" t="s">
        <v>779</v>
      </c>
      <c r="D72" s="1457">
        <v>500000</v>
      </c>
      <c r="E72" s="1457">
        <v>500000</v>
      </c>
      <c r="F72" s="1457">
        <v>252005</v>
      </c>
      <c r="G72" s="1458">
        <f t="shared" si="4"/>
        <v>0.50401</v>
      </c>
    </row>
    <row r="73" spans="1:7" s="709" customFormat="1" ht="19.5" customHeight="1">
      <c r="A73" s="737"/>
      <c r="B73" s="568"/>
      <c r="C73" s="511" t="s">
        <v>793</v>
      </c>
      <c r="D73" s="630">
        <f>D74</f>
        <v>450000</v>
      </c>
      <c r="E73" s="630">
        <f>E74</f>
        <v>450000</v>
      </c>
      <c r="F73" s="630">
        <f>F74</f>
        <v>450000</v>
      </c>
      <c r="G73" s="1461">
        <f t="shared" si="4"/>
        <v>1</v>
      </c>
    </row>
    <row r="74" spans="1:7" s="729" customFormat="1" ht="19.5" customHeight="1">
      <c r="A74" s="726"/>
      <c r="B74" s="750">
        <v>6110</v>
      </c>
      <c r="C74" s="1448" t="s">
        <v>779</v>
      </c>
      <c r="D74" s="1457">
        <v>450000</v>
      </c>
      <c r="E74" s="1457">
        <v>450000</v>
      </c>
      <c r="F74" s="1457">
        <v>450000</v>
      </c>
      <c r="G74" s="1458">
        <f t="shared" si="4"/>
        <v>1</v>
      </c>
    </row>
    <row r="75" spans="1:7" s="709" customFormat="1" ht="19.5" customHeight="1">
      <c r="A75" s="737"/>
      <c r="B75" s="568"/>
      <c r="C75" s="1371" t="s">
        <v>794</v>
      </c>
      <c r="D75" s="1459">
        <f>D76</f>
        <v>50000</v>
      </c>
      <c r="E75" s="1459">
        <f>E76</f>
        <v>50000</v>
      </c>
      <c r="F75" s="1459">
        <f>F76</f>
        <v>50000</v>
      </c>
      <c r="G75" s="1460">
        <f t="shared" si="4"/>
        <v>1</v>
      </c>
    </row>
    <row r="76" spans="1:7" s="729" customFormat="1" ht="19.5" customHeight="1">
      <c r="A76" s="726"/>
      <c r="B76" s="750">
        <v>6110</v>
      </c>
      <c r="C76" s="1448" t="s">
        <v>779</v>
      </c>
      <c r="D76" s="1457">
        <v>50000</v>
      </c>
      <c r="E76" s="1457">
        <v>50000</v>
      </c>
      <c r="F76" s="1457">
        <v>50000</v>
      </c>
      <c r="G76" s="1458">
        <f t="shared" si="4"/>
        <v>1</v>
      </c>
    </row>
    <row r="77" spans="1:7" s="709" customFormat="1" ht="19.5" customHeight="1">
      <c r="A77" s="737"/>
      <c r="B77" s="568"/>
      <c r="C77" s="511" t="s">
        <v>795</v>
      </c>
      <c r="D77" s="630"/>
      <c r="E77" s="630">
        <f>E78</f>
        <v>15500</v>
      </c>
      <c r="F77" s="630">
        <f>F78</f>
        <v>14469</v>
      </c>
      <c r="G77" s="1461">
        <f t="shared" si="4"/>
        <v>0.933483870967742</v>
      </c>
    </row>
    <row r="78" spans="1:7" s="729" customFormat="1" ht="19.5" customHeight="1">
      <c r="A78" s="750"/>
      <c r="B78" s="750">
        <v>4300</v>
      </c>
      <c r="C78" s="1448" t="s">
        <v>773</v>
      </c>
      <c r="D78" s="1457"/>
      <c r="E78" s="1457">
        <v>15500</v>
      </c>
      <c r="F78" s="1457">
        <v>14469</v>
      </c>
      <c r="G78" s="1458">
        <f t="shared" si="4"/>
        <v>0.933483870967742</v>
      </c>
    </row>
    <row r="79" spans="1:7" s="709" customFormat="1" ht="19.5" customHeight="1">
      <c r="A79" s="737"/>
      <c r="B79" s="568"/>
      <c r="C79" s="1371" t="s">
        <v>796</v>
      </c>
      <c r="D79" s="1459"/>
      <c r="E79" s="1459">
        <f>E80</f>
        <v>20000</v>
      </c>
      <c r="F79" s="1459">
        <f>F80</f>
        <v>19568</v>
      </c>
      <c r="G79" s="1460">
        <f t="shared" si="4"/>
        <v>0.9784</v>
      </c>
    </row>
    <row r="80" spans="1:7" s="729" customFormat="1" ht="19.5" customHeight="1">
      <c r="A80" s="726"/>
      <c r="B80" s="750">
        <v>4300</v>
      </c>
      <c r="C80" s="1448" t="s">
        <v>773</v>
      </c>
      <c r="D80" s="1457"/>
      <c r="E80" s="1457">
        <v>20000</v>
      </c>
      <c r="F80" s="1457">
        <v>19568</v>
      </c>
      <c r="G80" s="1458">
        <f t="shared" si="4"/>
        <v>0.9784</v>
      </c>
    </row>
    <row r="81" spans="1:7" s="709" customFormat="1" ht="19.5" customHeight="1">
      <c r="A81" s="737"/>
      <c r="B81" s="1462"/>
      <c r="C81" s="509" t="s">
        <v>797</v>
      </c>
      <c r="D81" s="632"/>
      <c r="E81" s="632"/>
      <c r="F81" s="632">
        <v>128951</v>
      </c>
      <c r="G81" s="1463"/>
    </row>
    <row r="82" spans="1:7" s="83" customFormat="1" ht="19.5" customHeight="1">
      <c r="A82" s="23"/>
      <c r="B82" s="1464"/>
      <c r="C82" s="1465" t="s">
        <v>798</v>
      </c>
      <c r="D82" s="1466">
        <f>D9+D10-D32</f>
        <v>694710</v>
      </c>
      <c r="E82" s="1466">
        <f>E9+E10-E32</f>
        <v>497569</v>
      </c>
      <c r="F82" s="1466">
        <f>F9+F10-F32</f>
        <v>476420</v>
      </c>
      <c r="G82" s="1467"/>
    </row>
    <row r="83" spans="1:7" s="725" customFormat="1" ht="19.5" customHeight="1">
      <c r="A83" s="232"/>
      <c r="B83" s="1468"/>
      <c r="C83" s="1469" t="s">
        <v>769</v>
      </c>
      <c r="D83" s="1470">
        <f>D32+D82</f>
        <v>3754710</v>
      </c>
      <c r="E83" s="1470">
        <f>E32+E82</f>
        <v>3720377</v>
      </c>
      <c r="F83" s="1470">
        <f>F32+F82</f>
        <v>3460139</v>
      </c>
      <c r="G83" s="1471"/>
    </row>
    <row r="84" ht="14.25">
      <c r="G84" s="1472"/>
    </row>
    <row r="85" ht="14.25">
      <c r="G85" s="1472"/>
    </row>
    <row r="86" spans="5:7" ht="14.25">
      <c r="E86" s="375" t="s">
        <v>330</v>
      </c>
      <c r="G86" s="1472"/>
    </row>
    <row r="87" spans="5:7" ht="14.25">
      <c r="E87" s="694" t="s">
        <v>331</v>
      </c>
      <c r="G87" s="1472"/>
    </row>
    <row r="88" ht="14.25">
      <c r="G88" s="1472"/>
    </row>
    <row r="89" ht="14.25">
      <c r="G89" s="1472"/>
    </row>
    <row r="90" ht="14.25">
      <c r="G90" s="1472"/>
    </row>
    <row r="91" ht="14.25">
      <c r="G91" s="1472"/>
    </row>
    <row r="92" ht="14.25">
      <c r="G92" s="1472"/>
    </row>
    <row r="93" ht="14.25">
      <c r="G93" s="1472"/>
    </row>
    <row r="94" ht="14.25">
      <c r="G94" s="1472"/>
    </row>
    <row r="95" ht="14.25">
      <c r="G95" s="1472"/>
    </row>
    <row r="96" ht="14.25">
      <c r="G96" s="1472"/>
    </row>
    <row r="97" ht="14.25">
      <c r="G97" s="1472"/>
    </row>
    <row r="98" ht="14.25">
      <c r="G98" s="1472"/>
    </row>
    <row r="99" ht="14.25">
      <c r="G99" s="1472"/>
    </row>
    <row r="100" ht="14.25">
      <c r="G100" s="1472"/>
    </row>
    <row r="101" ht="14.25">
      <c r="G101" s="1472"/>
    </row>
    <row r="102" ht="14.25">
      <c r="G102" s="1472"/>
    </row>
    <row r="103" ht="14.25">
      <c r="G103" s="1472"/>
    </row>
    <row r="104" ht="14.25">
      <c r="G104" s="1472"/>
    </row>
    <row r="105" ht="14.25">
      <c r="G105" s="1472"/>
    </row>
    <row r="106" ht="14.25">
      <c r="G106" s="1472"/>
    </row>
    <row r="107" ht="14.25">
      <c r="G107" s="1472"/>
    </row>
    <row r="108" ht="14.25">
      <c r="G108" s="1472"/>
    </row>
    <row r="109" ht="14.25">
      <c r="G109" s="1472"/>
    </row>
    <row r="110" ht="14.25">
      <c r="G110" s="1472"/>
    </row>
    <row r="111" ht="14.25">
      <c r="G111" s="1472"/>
    </row>
    <row r="112" ht="14.25">
      <c r="G112" s="1472"/>
    </row>
    <row r="113" ht="14.25">
      <c r="G113" s="1472"/>
    </row>
    <row r="114" ht="14.25">
      <c r="G114" s="1472"/>
    </row>
    <row r="115" ht="14.25">
      <c r="G115" s="1472"/>
    </row>
    <row r="116" ht="14.25">
      <c r="G116" s="1472"/>
    </row>
    <row r="117" ht="14.25">
      <c r="G117" s="1472"/>
    </row>
    <row r="118" ht="14.25">
      <c r="G118" s="1472"/>
    </row>
    <row r="119" ht="14.25">
      <c r="G119" s="1472"/>
    </row>
    <row r="120" ht="14.25">
      <c r="G120" s="1472"/>
    </row>
    <row r="121" ht="14.25">
      <c r="G121" s="1472"/>
    </row>
    <row r="122" ht="14.25">
      <c r="G122" s="1472"/>
    </row>
    <row r="123" ht="14.25">
      <c r="G123" s="1472"/>
    </row>
    <row r="124" ht="14.25">
      <c r="G124" s="1472"/>
    </row>
    <row r="125" ht="14.25">
      <c r="G125" s="1472"/>
    </row>
    <row r="126" ht="14.25">
      <c r="G126" s="1472"/>
    </row>
    <row r="127" ht="14.25">
      <c r="G127" s="1472"/>
    </row>
    <row r="128" ht="14.25">
      <c r="G128" s="1472"/>
    </row>
    <row r="129" ht="14.25">
      <c r="G129" s="1472"/>
    </row>
    <row r="130" ht="14.25">
      <c r="G130" s="1472"/>
    </row>
    <row r="131" ht="14.25">
      <c r="G131" s="1472"/>
    </row>
    <row r="132" ht="14.25">
      <c r="G132" s="1472"/>
    </row>
    <row r="133" ht="14.25">
      <c r="G133" s="1472"/>
    </row>
    <row r="134" ht="14.25">
      <c r="G134" s="1472"/>
    </row>
    <row r="135" ht="14.25">
      <c r="G135" s="1472"/>
    </row>
    <row r="136" ht="14.25">
      <c r="G136" s="1472"/>
    </row>
    <row r="137" ht="14.25">
      <c r="G137" s="1472"/>
    </row>
    <row r="138" ht="14.25">
      <c r="G138" s="1472"/>
    </row>
    <row r="139" ht="14.25">
      <c r="G139" s="1472"/>
    </row>
    <row r="140" ht="14.25">
      <c r="G140" s="1472"/>
    </row>
    <row r="141" ht="14.25">
      <c r="G141" s="1472"/>
    </row>
    <row r="142" ht="14.25">
      <c r="G142" s="1472"/>
    </row>
  </sheetData>
  <printOptions horizontalCentered="1"/>
  <pageMargins left="0.5905511811023623" right="0.5905511811023623" top="0.6692913385826772" bottom="0.63" header="0.5118110236220472" footer="0.47"/>
  <pageSetup firstPageNumber="73" useFirstPageNumber="1" horizontalDpi="600" verticalDpi="600" orientation="landscape" paperSize="9" scale="9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8.25390625" style="0" customWidth="1"/>
    <col min="3" max="3" width="65.125" style="0" customWidth="1"/>
    <col min="4" max="6" width="16.75390625" style="0" customWidth="1"/>
    <col min="7" max="7" width="10.875" style="0" customWidth="1"/>
    <col min="8" max="16384" width="9.125" style="28" customWidth="1"/>
  </cols>
  <sheetData>
    <row r="1" spans="4:7" ht="14.25">
      <c r="D1" s="848"/>
      <c r="E1" s="848"/>
      <c r="F1" s="848" t="s">
        <v>799</v>
      </c>
      <c r="G1" s="848"/>
    </row>
    <row r="2" spans="1:7" ht="15.75">
      <c r="A2" s="1473"/>
      <c r="D2" s="848"/>
      <c r="E2" s="848"/>
      <c r="F2" s="848" t="s">
        <v>873</v>
      </c>
      <c r="G2" s="699"/>
    </row>
    <row r="3" spans="1:7" s="1476" customFormat="1" ht="18">
      <c r="A3" s="1474" t="s">
        <v>800</v>
      </c>
      <c r="B3" s="890"/>
      <c r="C3" s="1475"/>
      <c r="D3" s="890"/>
      <c r="E3" s="890"/>
      <c r="F3" s="848" t="s">
        <v>884</v>
      </c>
      <c r="G3" s="698"/>
    </row>
    <row r="4" spans="1:7" ht="13.5" customHeight="1">
      <c r="A4" s="1477"/>
      <c r="D4" s="848"/>
      <c r="E4" s="848"/>
      <c r="F4" s="848" t="s">
        <v>874</v>
      </c>
      <c r="G4" s="699"/>
    </row>
    <row r="5" spans="1:7" ht="13.5" customHeight="1">
      <c r="A5" s="1477"/>
      <c r="D5" s="848"/>
      <c r="E5" s="848"/>
      <c r="F5" s="848"/>
      <c r="G5" s="848"/>
    </row>
    <row r="6" spans="1:7" ht="14.25" customHeight="1" thickBot="1">
      <c r="A6" s="1478"/>
      <c r="B6" s="1479"/>
      <c r="C6" s="1478"/>
      <c r="D6" s="848"/>
      <c r="E6" s="848"/>
      <c r="F6" s="848"/>
      <c r="G6" s="848" t="s">
        <v>450</v>
      </c>
    </row>
    <row r="7" spans="1:7" s="725" customFormat="1" ht="51.75" customHeight="1" thickBot="1" thickTop="1">
      <c r="A7" s="701" t="s">
        <v>964</v>
      </c>
      <c r="B7" s="701" t="s">
        <v>753</v>
      </c>
      <c r="C7" s="701" t="s">
        <v>754</v>
      </c>
      <c r="D7" s="701" t="s">
        <v>278</v>
      </c>
      <c r="E7" s="701" t="s">
        <v>723</v>
      </c>
      <c r="F7" s="701" t="s">
        <v>882</v>
      </c>
      <c r="G7" s="701" t="s">
        <v>281</v>
      </c>
    </row>
    <row r="8" spans="1:7" s="564" customFormat="1" ht="14.25" thickBot="1" thickTop="1">
      <c r="A8" s="1480">
        <v>1</v>
      </c>
      <c r="B8" s="1480">
        <v>2</v>
      </c>
      <c r="C8" s="1480">
        <v>3</v>
      </c>
      <c r="D8" s="1301">
        <v>4</v>
      </c>
      <c r="E8" s="1301">
        <v>5</v>
      </c>
      <c r="F8" s="1301">
        <v>6</v>
      </c>
      <c r="G8" s="1480">
        <v>7</v>
      </c>
    </row>
    <row r="9" spans="1:7" s="564" customFormat="1" ht="19.5" customHeight="1" thickTop="1">
      <c r="A9" s="705"/>
      <c r="B9" s="705"/>
      <c r="C9" s="1433" t="s">
        <v>755</v>
      </c>
      <c r="D9" s="1434">
        <v>309840</v>
      </c>
      <c r="E9" s="1434">
        <v>309840</v>
      </c>
      <c r="F9" s="1434">
        <v>168609</v>
      </c>
      <c r="G9" s="1435"/>
    </row>
    <row r="10" spans="1:7" s="84" customFormat="1" ht="19.5" customHeight="1">
      <c r="A10" s="20"/>
      <c r="B10" s="1481"/>
      <c r="C10" s="1482" t="s">
        <v>756</v>
      </c>
      <c r="D10" s="1438">
        <f aca="true" t="shared" si="0" ref="D10:F11">D11</f>
        <v>801000</v>
      </c>
      <c r="E10" s="1438">
        <f t="shared" si="0"/>
        <v>801000</v>
      </c>
      <c r="F10" s="1438">
        <f t="shared" si="0"/>
        <v>702322</v>
      </c>
      <c r="G10" s="1483">
        <f aca="true" t="shared" si="1" ref="G10:G16">F10/E10</f>
        <v>0.8768064918851436</v>
      </c>
    </row>
    <row r="11" spans="1:7" s="71" customFormat="1" ht="19.5" customHeight="1">
      <c r="A11" s="96">
        <v>900</v>
      </c>
      <c r="B11" s="1440"/>
      <c r="C11" s="105" t="s">
        <v>384</v>
      </c>
      <c r="D11" s="735">
        <f t="shared" si="0"/>
        <v>801000</v>
      </c>
      <c r="E11" s="735">
        <f t="shared" si="0"/>
        <v>801000</v>
      </c>
      <c r="F11" s="735">
        <f t="shared" si="0"/>
        <v>702322</v>
      </c>
      <c r="G11" s="344">
        <f t="shared" si="1"/>
        <v>0.8768064918851436</v>
      </c>
    </row>
    <row r="12" spans="1:7" s="564" customFormat="1" ht="19.5" customHeight="1">
      <c r="A12" s="737"/>
      <c r="B12" s="232">
        <v>90011</v>
      </c>
      <c r="C12" s="506" t="s">
        <v>928</v>
      </c>
      <c r="D12" s="723">
        <f>D13+D15</f>
        <v>801000</v>
      </c>
      <c r="E12" s="723">
        <f>E13+E15</f>
        <v>801000</v>
      </c>
      <c r="F12" s="723">
        <f>F13+F15</f>
        <v>702322</v>
      </c>
      <c r="G12" s="323">
        <f t="shared" si="1"/>
        <v>0.8768064918851436</v>
      </c>
    </row>
    <row r="13" spans="1:7" s="564" customFormat="1" ht="27" customHeight="1">
      <c r="A13" s="737"/>
      <c r="B13" s="737"/>
      <c r="C13" s="511" t="s">
        <v>761</v>
      </c>
      <c r="D13" s="586">
        <f>D14</f>
        <v>800000</v>
      </c>
      <c r="E13" s="586">
        <f>E14</f>
        <v>800000</v>
      </c>
      <c r="F13" s="586">
        <f>F14</f>
        <v>700886</v>
      </c>
      <c r="G13" s="326">
        <f t="shared" si="1"/>
        <v>0.8761075</v>
      </c>
    </row>
    <row r="14" spans="1:7" s="573" customFormat="1" ht="19.5" customHeight="1">
      <c r="A14" s="726"/>
      <c r="B14" s="750">
        <v>2960</v>
      </c>
      <c r="C14" s="1444" t="s">
        <v>762</v>
      </c>
      <c r="D14" s="799">
        <v>800000</v>
      </c>
      <c r="E14" s="799">
        <v>800000</v>
      </c>
      <c r="F14" s="799">
        <v>700886</v>
      </c>
      <c r="G14" s="566">
        <f t="shared" si="1"/>
        <v>0.8761075</v>
      </c>
    </row>
    <row r="15" spans="1:7" s="564" customFormat="1" ht="27" customHeight="1">
      <c r="A15" s="737"/>
      <c r="B15" s="737"/>
      <c r="C15" s="511" t="s">
        <v>801</v>
      </c>
      <c r="D15" s="586">
        <f>D16</f>
        <v>1000</v>
      </c>
      <c r="E15" s="586">
        <f>E16</f>
        <v>1000</v>
      </c>
      <c r="F15" s="586">
        <f>F16</f>
        <v>1436</v>
      </c>
      <c r="G15" s="326">
        <f t="shared" si="1"/>
        <v>1.436</v>
      </c>
    </row>
    <row r="16" spans="1:7" s="573" customFormat="1" ht="19.5" customHeight="1">
      <c r="A16" s="726"/>
      <c r="B16" s="1443" t="s">
        <v>461</v>
      </c>
      <c r="C16" s="1448" t="s">
        <v>760</v>
      </c>
      <c r="D16" s="751">
        <v>1000</v>
      </c>
      <c r="E16" s="751">
        <v>1000</v>
      </c>
      <c r="F16" s="751">
        <v>1436</v>
      </c>
      <c r="G16" s="570">
        <f t="shared" si="1"/>
        <v>1.436</v>
      </c>
    </row>
    <row r="17" spans="1:7" s="564" customFormat="1" ht="19.5" customHeight="1">
      <c r="A17" s="567"/>
      <c r="B17" s="737"/>
      <c r="C17" s="232" t="s">
        <v>769</v>
      </c>
      <c r="D17" s="744">
        <f>D9+D10</f>
        <v>1110840</v>
      </c>
      <c r="E17" s="744">
        <f>E9+E10</f>
        <v>1110840</v>
      </c>
      <c r="F17" s="744">
        <f>F9+F10</f>
        <v>870931</v>
      </c>
      <c r="G17" s="323"/>
    </row>
    <row r="18" spans="1:7" s="84" customFormat="1" ht="19.5" customHeight="1">
      <c r="A18" s="20"/>
      <c r="B18" s="20"/>
      <c r="C18" s="1482" t="s">
        <v>802</v>
      </c>
      <c r="D18" s="1484">
        <f aca="true" t="shared" si="2" ref="D18:F19">D19</f>
        <v>1076000</v>
      </c>
      <c r="E18" s="1484">
        <f t="shared" si="2"/>
        <v>1076000</v>
      </c>
      <c r="F18" s="1484">
        <f t="shared" si="2"/>
        <v>856669</v>
      </c>
      <c r="G18" s="1485">
        <f>F18/E18</f>
        <v>0.796160780669145</v>
      </c>
    </row>
    <row r="19" spans="1:7" s="564" customFormat="1" ht="19.5" customHeight="1">
      <c r="A19" s="96">
        <v>900</v>
      </c>
      <c r="B19" s="1440"/>
      <c r="C19" s="105" t="s">
        <v>384</v>
      </c>
      <c r="D19" s="241">
        <f t="shared" si="2"/>
        <v>1076000</v>
      </c>
      <c r="E19" s="241">
        <f t="shared" si="2"/>
        <v>1076000</v>
      </c>
      <c r="F19" s="241">
        <f t="shared" si="2"/>
        <v>856669</v>
      </c>
      <c r="G19" s="1486">
        <f>F19/E19</f>
        <v>0.796160780669145</v>
      </c>
    </row>
    <row r="20" spans="1:7" s="564" customFormat="1" ht="19.5" customHeight="1">
      <c r="A20" s="737"/>
      <c r="B20" s="232">
        <v>90011</v>
      </c>
      <c r="C20" s="506" t="s">
        <v>928</v>
      </c>
      <c r="D20" s="1487">
        <f>D21+D23+D25+D30+D32+D34+D36+D38+D28</f>
        <v>1076000</v>
      </c>
      <c r="E20" s="1487">
        <f>E21+E23+E25+E30+E32+E34+E36+E38+E28</f>
        <v>1076000</v>
      </c>
      <c r="F20" s="1487">
        <f>F21+F23+F25+F30+F32+F34+F36+F38+F28</f>
        <v>856669</v>
      </c>
      <c r="G20" s="1488">
        <f>F20/E20</f>
        <v>0.796160780669145</v>
      </c>
    </row>
    <row r="21" spans="1:7" s="564" customFormat="1" ht="19.5" customHeight="1">
      <c r="A21" s="737"/>
      <c r="B21" s="737"/>
      <c r="C21" s="1109" t="s">
        <v>803</v>
      </c>
      <c r="D21" s="1453">
        <f>D22</f>
        <v>386000</v>
      </c>
      <c r="E21" s="1453">
        <f>E22</f>
        <v>456000</v>
      </c>
      <c r="F21" s="1453">
        <f>F22</f>
        <v>456000</v>
      </c>
      <c r="G21" s="1454">
        <f>F21/E21</f>
        <v>1</v>
      </c>
    </row>
    <row r="22" spans="1:7" s="573" customFormat="1" ht="19.5" customHeight="1">
      <c r="A22" s="726"/>
      <c r="B22" s="750">
        <v>4300</v>
      </c>
      <c r="C22" s="1448" t="s">
        <v>773</v>
      </c>
      <c r="D22" s="1457">
        <v>386000</v>
      </c>
      <c r="E22" s="1457">
        <v>456000</v>
      </c>
      <c r="F22" s="1457">
        <v>456000</v>
      </c>
      <c r="G22" s="1458">
        <f>F22/E22</f>
        <v>1</v>
      </c>
    </row>
    <row r="23" spans="1:7" s="564" customFormat="1" ht="27" customHeight="1">
      <c r="A23" s="737"/>
      <c r="B23" s="737"/>
      <c r="C23" s="511" t="s">
        <v>804</v>
      </c>
      <c r="D23" s="586">
        <f>D24</f>
        <v>20000</v>
      </c>
      <c r="E23" s="586"/>
      <c r="F23" s="586"/>
      <c r="G23" s="326"/>
    </row>
    <row r="24" spans="1:7" s="573" customFormat="1" ht="19.5" customHeight="1">
      <c r="A24" s="726"/>
      <c r="B24" s="750">
        <v>4300</v>
      </c>
      <c r="C24" s="1448" t="s">
        <v>773</v>
      </c>
      <c r="D24" s="1457">
        <v>20000</v>
      </c>
      <c r="E24" s="1457"/>
      <c r="F24" s="1457"/>
      <c r="G24" s="1458"/>
    </row>
    <row r="25" spans="1:7" s="564" customFormat="1" ht="27" customHeight="1">
      <c r="A25" s="737"/>
      <c r="B25" s="737"/>
      <c r="C25" s="1371" t="s">
        <v>805</v>
      </c>
      <c r="D25" s="764">
        <f>SUM(D26:D27)</f>
        <v>100000</v>
      </c>
      <c r="E25" s="764">
        <f>SUM(E26:E27)</f>
        <v>100000</v>
      </c>
      <c r="F25" s="764">
        <f>SUM(F26:F27)</f>
        <v>92765</v>
      </c>
      <c r="G25" s="330">
        <f aca="true" t="shared" si="3" ref="G25:G39">F25/E25</f>
        <v>0.92765</v>
      </c>
    </row>
    <row r="26" spans="1:7" s="564" customFormat="1" ht="19.5" customHeight="1">
      <c r="A26" s="741"/>
      <c r="B26" s="750">
        <v>4210</v>
      </c>
      <c r="C26" s="1448" t="s">
        <v>772</v>
      </c>
      <c r="D26" s="1457">
        <v>50000</v>
      </c>
      <c r="E26" s="1457">
        <v>50000</v>
      </c>
      <c r="F26" s="1457">
        <v>50000</v>
      </c>
      <c r="G26" s="1458">
        <f t="shared" si="3"/>
        <v>1</v>
      </c>
    </row>
    <row r="27" spans="1:7" s="573" customFormat="1" ht="19.5" customHeight="1">
      <c r="A27" s="726"/>
      <c r="B27" s="750">
        <v>4300</v>
      </c>
      <c r="C27" s="1448" t="s">
        <v>773</v>
      </c>
      <c r="D27" s="1457">
        <v>50000</v>
      </c>
      <c r="E27" s="1457">
        <v>50000</v>
      </c>
      <c r="F27" s="1457">
        <v>42765</v>
      </c>
      <c r="G27" s="1458">
        <f t="shared" si="3"/>
        <v>0.8553</v>
      </c>
    </row>
    <row r="28" spans="1:7" s="573" customFormat="1" ht="19.5" customHeight="1">
      <c r="A28" s="726"/>
      <c r="B28" s="568"/>
      <c r="C28" s="1371" t="s">
        <v>806</v>
      </c>
      <c r="D28" s="1459">
        <f>D29</f>
        <v>25000</v>
      </c>
      <c r="E28" s="1459">
        <f>E29</f>
        <v>25000</v>
      </c>
      <c r="F28" s="1459">
        <f>F29</f>
        <v>23900</v>
      </c>
      <c r="G28" s="1460">
        <f t="shared" si="3"/>
        <v>0.956</v>
      </c>
    </row>
    <row r="29" spans="1:7" s="573" customFormat="1" ht="19.5" customHeight="1">
      <c r="A29" s="726"/>
      <c r="B29" s="750">
        <v>4300</v>
      </c>
      <c r="C29" s="1448" t="s">
        <v>773</v>
      </c>
      <c r="D29" s="1457">
        <v>25000</v>
      </c>
      <c r="E29" s="1457">
        <v>25000</v>
      </c>
      <c r="F29" s="1457">
        <v>23900</v>
      </c>
      <c r="G29" s="1458">
        <f t="shared" si="3"/>
        <v>0.956</v>
      </c>
    </row>
    <row r="30" spans="1:7" s="573" customFormat="1" ht="19.5" customHeight="1">
      <c r="A30" s="726"/>
      <c r="B30" s="568"/>
      <c r="C30" s="1371" t="s">
        <v>807</v>
      </c>
      <c r="D30" s="1459">
        <f>D31</f>
        <v>190000</v>
      </c>
      <c r="E30" s="1459">
        <f>E31</f>
        <v>190000</v>
      </c>
      <c r="F30" s="1459">
        <f>F31</f>
        <v>178260</v>
      </c>
      <c r="G30" s="326">
        <f t="shared" si="3"/>
        <v>0.9382105263157895</v>
      </c>
    </row>
    <row r="31" spans="1:7" s="564" customFormat="1" ht="19.5" customHeight="1">
      <c r="A31" s="737"/>
      <c r="B31" s="750">
        <v>6110</v>
      </c>
      <c r="C31" s="1448" t="s">
        <v>779</v>
      </c>
      <c r="D31" s="1457">
        <v>190000</v>
      </c>
      <c r="E31" s="1457">
        <v>190000</v>
      </c>
      <c r="F31" s="1457">
        <v>178260</v>
      </c>
      <c r="G31" s="1458">
        <f t="shared" si="3"/>
        <v>0.9382105263157895</v>
      </c>
    </row>
    <row r="32" spans="1:7" s="573" customFormat="1" ht="19.5" customHeight="1">
      <c r="A32" s="726"/>
      <c r="B32" s="568"/>
      <c r="C32" s="511" t="s">
        <v>808</v>
      </c>
      <c r="D32" s="630">
        <f>D33</f>
        <v>200000</v>
      </c>
      <c r="E32" s="630">
        <f>E33</f>
        <v>150000</v>
      </c>
      <c r="F32" s="630">
        <f>F33</f>
        <v>50384</v>
      </c>
      <c r="G32" s="1461">
        <f t="shared" si="3"/>
        <v>0.3358933333333333</v>
      </c>
    </row>
    <row r="33" spans="1:7" s="564" customFormat="1" ht="19.5" customHeight="1">
      <c r="A33" s="737"/>
      <c r="B33" s="750">
        <v>6110</v>
      </c>
      <c r="C33" s="1448" t="s">
        <v>779</v>
      </c>
      <c r="D33" s="1457">
        <v>200000</v>
      </c>
      <c r="E33" s="1457">
        <v>150000</v>
      </c>
      <c r="F33" s="1457">
        <v>50384</v>
      </c>
      <c r="G33" s="1458">
        <f t="shared" si="3"/>
        <v>0.3358933333333333</v>
      </c>
    </row>
    <row r="34" spans="1:7" s="573" customFormat="1" ht="19.5" customHeight="1">
      <c r="A34" s="726"/>
      <c r="B34" s="568"/>
      <c r="C34" s="511" t="s">
        <v>809</v>
      </c>
      <c r="D34" s="630">
        <f>D35</f>
        <v>100000</v>
      </c>
      <c r="E34" s="630">
        <f>E35</f>
        <v>100000</v>
      </c>
      <c r="F34" s="630">
        <f>F35</f>
        <v>11000</v>
      </c>
      <c r="G34" s="1461">
        <f t="shared" si="3"/>
        <v>0.11</v>
      </c>
    </row>
    <row r="35" spans="1:7" s="573" customFormat="1" ht="19.5" customHeight="1">
      <c r="A35" s="726"/>
      <c r="B35" s="750">
        <v>6110</v>
      </c>
      <c r="C35" s="1448" t="s">
        <v>779</v>
      </c>
      <c r="D35" s="1457">
        <v>100000</v>
      </c>
      <c r="E35" s="1457">
        <v>100000</v>
      </c>
      <c r="F35" s="1457">
        <v>11000</v>
      </c>
      <c r="G35" s="1458">
        <f t="shared" si="3"/>
        <v>0.11</v>
      </c>
    </row>
    <row r="36" spans="1:7" s="573" customFormat="1" ht="19.5" customHeight="1">
      <c r="A36" s="726"/>
      <c r="B36" s="568"/>
      <c r="C36" s="511" t="s">
        <v>810</v>
      </c>
      <c r="D36" s="630">
        <f>D37</f>
        <v>45000</v>
      </c>
      <c r="E36" s="630">
        <f>E37</f>
        <v>25800</v>
      </c>
      <c r="F36" s="630">
        <f>F37</f>
        <v>25742</v>
      </c>
      <c r="G36" s="1461">
        <f t="shared" si="3"/>
        <v>0.9977519379844961</v>
      </c>
    </row>
    <row r="37" spans="1:7" s="573" customFormat="1" ht="19.5" customHeight="1">
      <c r="A37" s="726"/>
      <c r="B37" s="750">
        <v>6110</v>
      </c>
      <c r="C37" s="1448" t="s">
        <v>779</v>
      </c>
      <c r="D37" s="1457">
        <v>45000</v>
      </c>
      <c r="E37" s="1457">
        <v>25800</v>
      </c>
      <c r="F37" s="1457">
        <v>25742</v>
      </c>
      <c r="G37" s="1458">
        <f t="shared" si="3"/>
        <v>0.9977519379844961</v>
      </c>
    </row>
    <row r="38" spans="1:7" s="573" customFormat="1" ht="19.5" customHeight="1">
      <c r="A38" s="726"/>
      <c r="B38" s="568"/>
      <c r="C38" s="511" t="s">
        <v>811</v>
      </c>
      <c r="D38" s="630">
        <f>D39</f>
        <v>10000</v>
      </c>
      <c r="E38" s="630">
        <f>E39</f>
        <v>29200</v>
      </c>
      <c r="F38" s="630">
        <f>F39</f>
        <v>18618</v>
      </c>
      <c r="G38" s="1461">
        <f t="shared" si="3"/>
        <v>0.6376027397260274</v>
      </c>
    </row>
    <row r="39" spans="1:7" s="573" customFormat="1" ht="19.5" customHeight="1">
      <c r="A39" s="726"/>
      <c r="B39" s="750">
        <v>6110</v>
      </c>
      <c r="C39" s="1448" t="s">
        <v>779</v>
      </c>
      <c r="D39" s="1457">
        <v>10000</v>
      </c>
      <c r="E39" s="1457">
        <v>29200</v>
      </c>
      <c r="F39" s="1457">
        <v>18618</v>
      </c>
      <c r="G39" s="1458">
        <f t="shared" si="3"/>
        <v>0.6376027397260274</v>
      </c>
    </row>
    <row r="40" spans="1:7" s="84" customFormat="1" ht="19.5" customHeight="1">
      <c r="A40" s="23"/>
      <c r="B40" s="1464"/>
      <c r="C40" s="763" t="s">
        <v>798</v>
      </c>
      <c r="D40" s="1457">
        <f>D9+D10-D18</f>
        <v>34840</v>
      </c>
      <c r="E40" s="1457">
        <f>E9+E10-E18</f>
        <v>34840</v>
      </c>
      <c r="F40" s="1457">
        <f>F9+F10-F18</f>
        <v>14262</v>
      </c>
      <c r="G40" s="1489"/>
    </row>
    <row r="41" spans="1:7" s="564" customFormat="1" ht="19.5" customHeight="1">
      <c r="A41" s="741"/>
      <c r="B41" s="1490"/>
      <c r="C41" s="1468" t="s">
        <v>769</v>
      </c>
      <c r="D41" s="1491">
        <f>D18+D40</f>
        <v>1110840</v>
      </c>
      <c r="E41" s="1491">
        <f>E18+E40</f>
        <v>1110840</v>
      </c>
      <c r="F41" s="1491">
        <f>F18+F40</f>
        <v>870931</v>
      </c>
      <c r="G41" s="1492"/>
    </row>
    <row r="42" spans="1:7" s="876" customFormat="1" ht="19.5" customHeight="1">
      <c r="A42" s="848"/>
      <c r="B42" s="848"/>
      <c r="C42" s="848"/>
      <c r="D42" s="848"/>
      <c r="E42" s="848"/>
      <c r="F42" s="848"/>
      <c r="G42" s="848"/>
    </row>
    <row r="43" spans="1:7" s="876" customFormat="1" ht="19.5" customHeight="1">
      <c r="A43" s="848"/>
      <c r="B43" s="848"/>
      <c r="C43" s="848"/>
      <c r="D43" s="697"/>
      <c r="E43" s="697"/>
      <c r="F43" s="697"/>
      <c r="G43" s="848"/>
    </row>
    <row r="44" ht="14.25">
      <c r="E44" s="375" t="s">
        <v>330</v>
      </c>
    </row>
    <row r="45" ht="14.25">
      <c r="E45" s="694" t="s">
        <v>331</v>
      </c>
    </row>
  </sheetData>
  <printOptions horizontalCentered="1"/>
  <pageMargins left="0.5905511811023623" right="0.5905511811023623" top="0.6692913385826772" bottom="0.7086614173228347" header="0.5118110236220472" footer="0.5118110236220472"/>
  <pageSetup firstPageNumber="77" useFirstPageNumber="1" horizontalDpi="600" verticalDpi="600" orientation="landscape" paperSize="9" scale="9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1"/>
  <sheetViews>
    <sheetView zoomScale="75" zoomScaleNormal="75" zoomScaleSheetLayoutView="70" workbookViewId="0" topLeftCell="A1">
      <selection activeCell="A1" sqref="A1"/>
    </sheetView>
  </sheetViews>
  <sheetFormatPr defaultColWidth="9.00390625" defaultRowHeight="12.75"/>
  <cols>
    <col min="1" max="1" width="7.75390625" style="709" customWidth="1"/>
    <col min="2" max="2" width="10.00390625" style="709" customWidth="1"/>
    <col min="3" max="3" width="65.25390625" style="709" customWidth="1"/>
    <col min="4" max="4" width="17.25390625" style="709" customWidth="1"/>
    <col min="5" max="5" width="18.625" style="709" customWidth="1"/>
    <col min="6" max="6" width="17.25390625" style="709" customWidth="1"/>
    <col min="7" max="7" width="12.125" style="709" customWidth="1"/>
    <col min="8" max="8" width="17.25390625" style="709" customWidth="1"/>
    <col min="9" max="9" width="17.875" style="709" customWidth="1"/>
    <col min="10" max="10" width="17.25390625" style="709" customWidth="1"/>
    <col min="11" max="11" width="12.125" style="709" customWidth="1"/>
    <col min="12" max="13" width="12.75390625" style="0" bestFit="1" customWidth="1"/>
  </cols>
  <sheetData>
    <row r="1" spans="3:11" ht="18" customHeight="1">
      <c r="C1" s="517"/>
      <c r="D1" s="883"/>
      <c r="E1" s="883"/>
      <c r="I1" s="890" t="s">
        <v>812</v>
      </c>
      <c r="J1" s="1493"/>
      <c r="K1" s="1493"/>
    </row>
    <row r="2" spans="1:11" ht="19.5" customHeight="1">
      <c r="A2" s="1494" t="s">
        <v>813</v>
      </c>
      <c r="B2" s="1495"/>
      <c r="C2" s="1495"/>
      <c r="D2" s="1496"/>
      <c r="E2" s="848"/>
      <c r="I2" s="890" t="s">
        <v>873</v>
      </c>
      <c r="J2" s="1493"/>
      <c r="K2" s="1493"/>
    </row>
    <row r="3" spans="1:11" ht="19.5" customHeight="1">
      <c r="A3" s="1494" t="s">
        <v>814</v>
      </c>
      <c r="B3" s="852"/>
      <c r="C3" s="852"/>
      <c r="D3" s="848"/>
      <c r="E3" s="848"/>
      <c r="I3" s="890" t="s">
        <v>884</v>
      </c>
      <c r="J3" s="1493"/>
      <c r="K3" s="1493"/>
    </row>
    <row r="4" spans="1:11" ht="19.5" customHeight="1">
      <c r="A4" s="1494" t="s">
        <v>815</v>
      </c>
      <c r="B4" s="852"/>
      <c r="C4" s="852"/>
      <c r="D4" s="848"/>
      <c r="E4" s="848"/>
      <c r="I4" s="890" t="s">
        <v>874</v>
      </c>
      <c r="J4" s="1493"/>
      <c r="K4" s="1493"/>
    </row>
    <row r="5" spans="4:11" ht="36" customHeight="1" thickBot="1">
      <c r="D5" s="1497"/>
      <c r="E5" s="1497"/>
      <c r="F5" s="1497"/>
      <c r="G5" s="1498"/>
      <c r="H5" s="1497"/>
      <c r="I5" s="1497"/>
      <c r="J5" s="1497"/>
      <c r="K5" s="1498" t="s">
        <v>450</v>
      </c>
    </row>
    <row r="6" spans="1:11" ht="15" customHeight="1" thickTop="1">
      <c r="A6" s="1499"/>
      <c r="B6" s="1499"/>
      <c r="C6" s="1500"/>
      <c r="D6" s="1812" t="s">
        <v>816</v>
      </c>
      <c r="E6" s="1812" t="s">
        <v>817</v>
      </c>
      <c r="F6" s="1812" t="s">
        <v>882</v>
      </c>
      <c r="G6" s="1812" t="s">
        <v>818</v>
      </c>
      <c r="H6" s="1812" t="s">
        <v>819</v>
      </c>
      <c r="I6" s="1812" t="s">
        <v>820</v>
      </c>
      <c r="J6" s="1812" t="s">
        <v>882</v>
      </c>
      <c r="K6" s="1812" t="s">
        <v>821</v>
      </c>
    </row>
    <row r="7" spans="1:11" ht="77.25" customHeight="1" thickBot="1">
      <c r="A7" s="1501" t="s">
        <v>964</v>
      </c>
      <c r="B7" s="1502" t="s">
        <v>822</v>
      </c>
      <c r="C7" s="1502" t="s">
        <v>862</v>
      </c>
      <c r="D7" s="1813"/>
      <c r="E7" s="1813"/>
      <c r="F7" s="1813"/>
      <c r="G7" s="1813"/>
      <c r="H7" s="1813"/>
      <c r="I7" s="1813"/>
      <c r="J7" s="1813" t="s">
        <v>823</v>
      </c>
      <c r="K7" s="1813"/>
    </row>
    <row r="8" spans="1:11" ht="14.25" customHeight="1" thickBot="1" thickTop="1">
      <c r="A8" s="1091">
        <v>1</v>
      </c>
      <c r="B8" s="1091">
        <v>2</v>
      </c>
      <c r="C8" s="1091">
        <v>3</v>
      </c>
      <c r="D8" s="1091">
        <v>4</v>
      </c>
      <c r="E8" s="1091">
        <v>5</v>
      </c>
      <c r="F8" s="1091">
        <v>6</v>
      </c>
      <c r="G8" s="1091">
        <v>7</v>
      </c>
      <c r="H8" s="1091">
        <v>8</v>
      </c>
      <c r="I8" s="1091">
        <v>9</v>
      </c>
      <c r="J8" s="1091">
        <v>10</v>
      </c>
      <c r="K8" s="1091">
        <v>11</v>
      </c>
    </row>
    <row r="9" spans="1:11" s="890" customFormat="1" ht="19.5" customHeight="1" thickBot="1" thickTop="1">
      <c r="A9" s="1503"/>
      <c r="B9" s="1503"/>
      <c r="C9" s="1504" t="s">
        <v>824</v>
      </c>
      <c r="D9" s="1505">
        <f>D11+D104</f>
        <v>51893861</v>
      </c>
      <c r="E9" s="1505">
        <f>E11+E104</f>
        <v>78636879</v>
      </c>
      <c r="F9" s="1505">
        <f>F11+F104</f>
        <v>78929875</v>
      </c>
      <c r="G9" s="1506">
        <f>F9/E9</f>
        <v>1.00372593627476</v>
      </c>
      <c r="H9" s="1507">
        <f>H11+H104</f>
        <v>45426861</v>
      </c>
      <c r="I9" s="1505">
        <f>I11+I104</f>
        <v>70412922</v>
      </c>
      <c r="J9" s="1505">
        <f>J11+J104</f>
        <v>69109954</v>
      </c>
      <c r="K9" s="1508">
        <f>J9/I9</f>
        <v>0.9814953283716872</v>
      </c>
    </row>
    <row r="10" spans="1:11" s="890" customFormat="1" ht="19.5" customHeight="1">
      <c r="A10" s="1509"/>
      <c r="B10" s="1509"/>
      <c r="C10" s="1510" t="s">
        <v>965</v>
      </c>
      <c r="D10" s="1511"/>
      <c r="E10" s="1511"/>
      <c r="F10" s="1511"/>
      <c r="G10" s="1512"/>
      <c r="H10" s="1513"/>
      <c r="I10" s="1511"/>
      <c r="J10" s="1511"/>
      <c r="K10" s="1514"/>
    </row>
    <row r="11" spans="1:11" s="890" customFormat="1" ht="19.5" customHeight="1" thickBot="1">
      <c r="A11" s="1515"/>
      <c r="B11" s="1515"/>
      <c r="C11" s="1516" t="s">
        <v>533</v>
      </c>
      <c r="D11" s="1517">
        <f>D12+D21+D30+D35+D40+D95+D100</f>
        <v>27291956</v>
      </c>
      <c r="E11" s="1517">
        <f>E12+E21+E30+E35+E40+E95+E100</f>
        <v>53434118</v>
      </c>
      <c r="F11" s="1517">
        <f>F12+F21+F30+F35+F40+F95+F100</f>
        <v>53042726</v>
      </c>
      <c r="G11" s="1518">
        <f aca="true" t="shared" si="0" ref="G11:G17">F11/E11</f>
        <v>0.9926752416873429</v>
      </c>
      <c r="H11" s="1519">
        <f>H12+H21+H30+H35+H40+H95+H100</f>
        <v>26297956</v>
      </c>
      <c r="I11" s="1517">
        <f>I12+I21+I30+I35+I40+I95+I100</f>
        <v>50683161</v>
      </c>
      <c r="J11" s="1517">
        <f>J12+J21+J30+J35+J40+J95+J100</f>
        <v>49950153</v>
      </c>
      <c r="K11" s="1520">
        <f>J11/I11</f>
        <v>0.9855374450697738</v>
      </c>
    </row>
    <row r="12" spans="1:11" s="890" customFormat="1" ht="21.75" customHeight="1" thickTop="1">
      <c r="A12" s="1521">
        <v>750</v>
      </c>
      <c r="B12" s="1522"/>
      <c r="C12" s="1523" t="s">
        <v>391</v>
      </c>
      <c r="D12" s="1524">
        <f>D13</f>
        <v>2385616</v>
      </c>
      <c r="E12" s="1524">
        <f>E13</f>
        <v>2414456</v>
      </c>
      <c r="F12" s="1524">
        <f>F13</f>
        <v>2720003</v>
      </c>
      <c r="G12" s="1525">
        <f t="shared" si="0"/>
        <v>1.1265490031709007</v>
      </c>
      <c r="H12" s="1526">
        <f>H13</f>
        <v>1499616</v>
      </c>
      <c r="I12" s="1524">
        <f>I13</f>
        <v>1528456</v>
      </c>
      <c r="J12" s="1524">
        <f>J13</f>
        <v>1528456</v>
      </c>
      <c r="K12" s="1527">
        <f>J12/I12</f>
        <v>1</v>
      </c>
    </row>
    <row r="13" spans="1:11" s="890" customFormat="1" ht="21.75" customHeight="1">
      <c r="A13" s="1528"/>
      <c r="B13" s="1529">
        <v>75011</v>
      </c>
      <c r="C13" s="1530" t="s">
        <v>413</v>
      </c>
      <c r="D13" s="1531">
        <f>D14+D16</f>
        <v>2385616</v>
      </c>
      <c r="E13" s="1531">
        <f>E14+E16</f>
        <v>2414456</v>
      </c>
      <c r="F13" s="1531">
        <f>F14+F16</f>
        <v>2720003</v>
      </c>
      <c r="G13" s="1532">
        <f t="shared" si="0"/>
        <v>1.1265490031709007</v>
      </c>
      <c r="H13" s="1533">
        <f>SUM(H18:H20)</f>
        <v>1499616</v>
      </c>
      <c r="I13" s="1531">
        <f>SUM(I18:I20)</f>
        <v>1528456</v>
      </c>
      <c r="J13" s="1531">
        <f>SUM(J18:J20)</f>
        <v>1528456</v>
      </c>
      <c r="K13" s="1534">
        <f>J13/I13</f>
        <v>1</v>
      </c>
    </row>
    <row r="14" spans="1:11" s="890" customFormat="1" ht="43.5" customHeight="1">
      <c r="A14" s="1535"/>
      <c r="B14" s="1536"/>
      <c r="C14" s="1537" t="s">
        <v>500</v>
      </c>
      <c r="D14" s="1538">
        <f>D15</f>
        <v>1499616</v>
      </c>
      <c r="E14" s="1538">
        <f>E15</f>
        <v>1528456</v>
      </c>
      <c r="F14" s="1538">
        <f>F15</f>
        <v>1528456</v>
      </c>
      <c r="G14" s="1539">
        <f t="shared" si="0"/>
        <v>1</v>
      </c>
      <c r="H14" s="1540"/>
      <c r="I14" s="1538"/>
      <c r="J14" s="1538"/>
      <c r="K14" s="1541"/>
    </row>
    <row r="15" spans="1:11" s="890" customFormat="1" ht="59.25" customHeight="1">
      <c r="A15" s="1535"/>
      <c r="B15" s="1542">
        <v>2010</v>
      </c>
      <c r="C15" s="1543" t="s">
        <v>825</v>
      </c>
      <c r="D15" s="1544">
        <v>1499616</v>
      </c>
      <c r="E15" s="1544">
        <v>1528456</v>
      </c>
      <c r="F15" s="1544">
        <v>1528456</v>
      </c>
      <c r="G15" s="1545">
        <f t="shared" si="0"/>
        <v>1</v>
      </c>
      <c r="H15" s="1546"/>
      <c r="I15" s="1544"/>
      <c r="J15" s="1544"/>
      <c r="K15" s="1547"/>
    </row>
    <row r="16" spans="1:11" s="890" customFormat="1" ht="39.75" customHeight="1">
      <c r="A16" s="1535"/>
      <c r="B16" s="1536"/>
      <c r="C16" s="1537" t="s">
        <v>826</v>
      </c>
      <c r="D16" s="1538">
        <f>D17</f>
        <v>886000</v>
      </c>
      <c r="E16" s="1538">
        <f>E17</f>
        <v>886000</v>
      </c>
      <c r="F16" s="1538">
        <f>F17</f>
        <v>1191547</v>
      </c>
      <c r="G16" s="1539">
        <f t="shared" si="0"/>
        <v>1.3448611738148983</v>
      </c>
      <c r="H16" s="1540"/>
      <c r="I16" s="1538"/>
      <c r="J16" s="1538"/>
      <c r="K16" s="1541"/>
    </row>
    <row r="17" spans="1:11" s="890" customFormat="1" ht="42.75" customHeight="1">
      <c r="A17" s="1535"/>
      <c r="B17" s="1548">
        <v>2350</v>
      </c>
      <c r="C17" s="1549" t="s">
        <v>827</v>
      </c>
      <c r="D17" s="1544">
        <v>886000</v>
      </c>
      <c r="E17" s="1544">
        <v>886000</v>
      </c>
      <c r="F17" s="1544">
        <v>1191547</v>
      </c>
      <c r="G17" s="1545">
        <f t="shared" si="0"/>
        <v>1.3448611738148983</v>
      </c>
      <c r="H17" s="1546"/>
      <c r="I17" s="1544"/>
      <c r="J17" s="1544"/>
      <c r="K17" s="1547"/>
    </row>
    <row r="18" spans="1:11" s="890" customFormat="1" ht="21.75" customHeight="1">
      <c r="A18" s="1550"/>
      <c r="B18" s="1550"/>
      <c r="C18" s="1550" t="s">
        <v>1033</v>
      </c>
      <c r="D18" s="1551"/>
      <c r="E18" s="1551"/>
      <c r="F18" s="1551"/>
      <c r="G18" s="1552"/>
      <c r="H18" s="1553">
        <v>1216200</v>
      </c>
      <c r="I18" s="1551">
        <v>1245040</v>
      </c>
      <c r="J18" s="1551">
        <v>1245040</v>
      </c>
      <c r="K18" s="1554">
        <f>J18/I18</f>
        <v>1</v>
      </c>
    </row>
    <row r="19" spans="1:11" s="890" customFormat="1" ht="21.75" customHeight="1">
      <c r="A19" s="1550"/>
      <c r="B19" s="1550"/>
      <c r="C19" s="1555" t="s">
        <v>1034</v>
      </c>
      <c r="D19" s="1556"/>
      <c r="E19" s="1556"/>
      <c r="F19" s="1556"/>
      <c r="G19" s="1557"/>
      <c r="H19" s="1558">
        <v>44116</v>
      </c>
      <c r="I19" s="1556">
        <v>49625</v>
      </c>
      <c r="J19" s="1556">
        <v>49625</v>
      </c>
      <c r="K19" s="1559">
        <f>J19/I19</f>
        <v>1</v>
      </c>
    </row>
    <row r="20" spans="1:11" s="890" customFormat="1" ht="21.75" customHeight="1">
      <c r="A20" s="1560"/>
      <c r="B20" s="1560"/>
      <c r="C20" s="1560" t="s">
        <v>1035</v>
      </c>
      <c r="D20" s="1561"/>
      <c r="E20" s="1561"/>
      <c r="F20" s="1561"/>
      <c r="G20" s="1562"/>
      <c r="H20" s="1563">
        <v>239300</v>
      </c>
      <c r="I20" s="1561">
        <v>233791</v>
      </c>
      <c r="J20" s="1561">
        <v>233791</v>
      </c>
      <c r="K20" s="1564">
        <f>J20/I20</f>
        <v>1</v>
      </c>
    </row>
    <row r="21" spans="1:11" s="890" customFormat="1" ht="39" customHeight="1">
      <c r="A21" s="1565">
        <v>751</v>
      </c>
      <c r="B21" s="1566"/>
      <c r="C21" s="1567" t="s">
        <v>962</v>
      </c>
      <c r="D21" s="1524">
        <f>D22+D26</f>
        <v>29140</v>
      </c>
      <c r="E21" s="1524">
        <f>E22+E26</f>
        <v>487080</v>
      </c>
      <c r="F21" s="1524">
        <f>F22+F26</f>
        <v>487080</v>
      </c>
      <c r="G21" s="1525">
        <f>F21/E21</f>
        <v>1</v>
      </c>
      <c r="H21" s="1526">
        <f>H22+H26</f>
        <v>29140</v>
      </c>
      <c r="I21" s="1524">
        <f>I22+I26</f>
        <v>487080</v>
      </c>
      <c r="J21" s="1524">
        <f>J22+J26</f>
        <v>487080</v>
      </c>
      <c r="K21" s="1527">
        <f>J21/I21</f>
        <v>1</v>
      </c>
    </row>
    <row r="22" spans="1:11" s="890" customFormat="1" ht="36">
      <c r="A22" s="1568"/>
      <c r="B22" s="1529">
        <v>75101</v>
      </c>
      <c r="C22" s="1569" t="s">
        <v>963</v>
      </c>
      <c r="D22" s="1531">
        <f aca="true" t="shared" si="1" ref="D22:F23">D23</f>
        <v>29140</v>
      </c>
      <c r="E22" s="1531">
        <f t="shared" si="1"/>
        <v>29140</v>
      </c>
      <c r="F22" s="1531">
        <f t="shared" si="1"/>
        <v>29140</v>
      </c>
      <c r="G22" s="1532">
        <f>F22/E22</f>
        <v>1</v>
      </c>
      <c r="H22" s="1533">
        <f>H25</f>
        <v>29140</v>
      </c>
      <c r="I22" s="1533">
        <f>I25</f>
        <v>29140</v>
      </c>
      <c r="J22" s="1533">
        <f>J25</f>
        <v>29140</v>
      </c>
      <c r="K22" s="1534">
        <f>J22/I22</f>
        <v>1</v>
      </c>
    </row>
    <row r="23" spans="1:11" s="890" customFormat="1" ht="42.75" customHeight="1">
      <c r="A23" s="1535"/>
      <c r="B23" s="1570"/>
      <c r="C23" s="1571" t="s">
        <v>828</v>
      </c>
      <c r="D23" s="1538">
        <f t="shared" si="1"/>
        <v>29140</v>
      </c>
      <c r="E23" s="1538">
        <f t="shared" si="1"/>
        <v>29140</v>
      </c>
      <c r="F23" s="1538">
        <f t="shared" si="1"/>
        <v>29140</v>
      </c>
      <c r="G23" s="1539">
        <f>F23/E23</f>
        <v>1</v>
      </c>
      <c r="H23" s="1540"/>
      <c r="I23" s="1538"/>
      <c r="J23" s="1538"/>
      <c r="K23" s="1541"/>
    </row>
    <row r="24" spans="1:11" s="890" customFormat="1" ht="65.25" customHeight="1">
      <c r="A24" s="1535"/>
      <c r="B24" s="1572">
        <v>2010</v>
      </c>
      <c r="C24" s="1573" t="s">
        <v>825</v>
      </c>
      <c r="D24" s="1544">
        <v>29140</v>
      </c>
      <c r="E24" s="1544">
        <v>29140</v>
      </c>
      <c r="F24" s="1544">
        <v>29140</v>
      </c>
      <c r="G24" s="1574">
        <f>F24/E24</f>
        <v>1</v>
      </c>
      <c r="H24" s="1546"/>
      <c r="I24" s="1544"/>
      <c r="J24" s="1544"/>
      <c r="K24" s="1547"/>
    </row>
    <row r="25" spans="1:11" s="890" customFormat="1" ht="28.5" customHeight="1">
      <c r="A25" s="1548"/>
      <c r="B25" s="1548"/>
      <c r="C25" s="1575" t="s">
        <v>117</v>
      </c>
      <c r="D25" s="1576"/>
      <c r="E25" s="1576"/>
      <c r="F25" s="1576"/>
      <c r="G25" s="1577"/>
      <c r="H25" s="1578">
        <v>29140</v>
      </c>
      <c r="I25" s="1576">
        <v>29140</v>
      </c>
      <c r="J25" s="1576">
        <v>29140</v>
      </c>
      <c r="K25" s="1579">
        <f>J25/I25</f>
        <v>1</v>
      </c>
    </row>
    <row r="26" spans="1:11" s="890" customFormat="1" ht="24.75" customHeight="1">
      <c r="A26" s="1580"/>
      <c r="B26" s="1581">
        <v>75113</v>
      </c>
      <c r="C26" s="1582" t="s">
        <v>322</v>
      </c>
      <c r="D26" s="1583"/>
      <c r="E26" s="1583">
        <f>E27</f>
        <v>457940</v>
      </c>
      <c r="F26" s="1583">
        <f>F27</f>
        <v>457940</v>
      </c>
      <c r="G26" s="1584">
        <f>F26/E26</f>
        <v>1</v>
      </c>
      <c r="H26" s="1585"/>
      <c r="I26" s="1585">
        <f>I29</f>
        <v>457940</v>
      </c>
      <c r="J26" s="1585">
        <f>J29</f>
        <v>457940</v>
      </c>
      <c r="K26" s="1586">
        <f>J26/I26</f>
        <v>1</v>
      </c>
    </row>
    <row r="27" spans="1:11" s="890" customFormat="1" ht="42" customHeight="1">
      <c r="A27" s="1587"/>
      <c r="B27" s="1588"/>
      <c r="C27" s="1589" t="s">
        <v>323</v>
      </c>
      <c r="D27" s="1590"/>
      <c r="E27" s="1590">
        <f>E28</f>
        <v>457940</v>
      </c>
      <c r="F27" s="1590">
        <f>F28</f>
        <v>457940</v>
      </c>
      <c r="G27" s="1591">
        <f>F27/E27</f>
        <v>1</v>
      </c>
      <c r="H27" s="1592"/>
      <c r="I27" s="1590"/>
      <c r="J27" s="1590"/>
      <c r="K27" s="1593"/>
    </row>
    <row r="28" spans="1:11" s="890" customFormat="1" ht="63.75" customHeight="1">
      <c r="A28" s="1587"/>
      <c r="B28" s="1572">
        <v>2010</v>
      </c>
      <c r="C28" s="1594" t="s">
        <v>829</v>
      </c>
      <c r="D28" s="1595"/>
      <c r="E28" s="1595">
        <v>457940</v>
      </c>
      <c r="F28" s="1595">
        <v>457940</v>
      </c>
      <c r="G28" s="1596">
        <f>F28/E28</f>
        <v>1</v>
      </c>
      <c r="H28" s="1597"/>
      <c r="I28" s="1595"/>
      <c r="J28" s="1595"/>
      <c r="K28" s="1598"/>
    </row>
    <row r="29" spans="1:11" s="890" customFormat="1" ht="37.5" customHeight="1">
      <c r="A29" s="1548"/>
      <c r="B29" s="1548"/>
      <c r="C29" s="1575" t="s">
        <v>118</v>
      </c>
      <c r="D29" s="1599"/>
      <c r="E29" s="1599"/>
      <c r="F29" s="1599"/>
      <c r="G29" s="1577"/>
      <c r="H29" s="1600"/>
      <c r="I29" s="1599">
        <v>457940</v>
      </c>
      <c r="J29" s="1599">
        <v>457940</v>
      </c>
      <c r="K29" s="1579">
        <f>J29/I29</f>
        <v>1</v>
      </c>
    </row>
    <row r="30" spans="1:11" s="890" customFormat="1" ht="36.75" customHeight="1">
      <c r="A30" s="1565">
        <v>754</v>
      </c>
      <c r="B30" s="1601"/>
      <c r="C30" s="1523" t="s">
        <v>394</v>
      </c>
      <c r="D30" s="1524">
        <f aca="true" t="shared" si="2" ref="D30:F32">D31</f>
        <v>2200</v>
      </c>
      <c r="E30" s="1524">
        <f t="shared" si="2"/>
        <v>2200</v>
      </c>
      <c r="F30" s="1524">
        <f t="shared" si="2"/>
        <v>2200</v>
      </c>
      <c r="G30" s="1525">
        <f>F30/E30</f>
        <v>1</v>
      </c>
      <c r="H30" s="1526">
        <f>H31</f>
        <v>2200</v>
      </c>
      <c r="I30" s="1524">
        <f>I31</f>
        <v>2200</v>
      </c>
      <c r="J30" s="1524">
        <f>J31</f>
        <v>2200</v>
      </c>
      <c r="K30" s="1527">
        <f>J30/I30</f>
        <v>1</v>
      </c>
    </row>
    <row r="31" spans="1:11" s="890" customFormat="1" ht="21.75" customHeight="1">
      <c r="A31" s="1528"/>
      <c r="B31" s="1602">
        <v>75414</v>
      </c>
      <c r="C31" s="1603" t="s">
        <v>441</v>
      </c>
      <c r="D31" s="1583">
        <f t="shared" si="2"/>
        <v>2200</v>
      </c>
      <c r="E31" s="1583">
        <f t="shared" si="2"/>
        <v>2200</v>
      </c>
      <c r="F31" s="1583">
        <f t="shared" si="2"/>
        <v>2200</v>
      </c>
      <c r="G31" s="1604">
        <f>F31/E31</f>
        <v>1</v>
      </c>
      <c r="H31" s="1585">
        <f>H34</f>
        <v>2200</v>
      </c>
      <c r="I31" s="1585">
        <f>I34</f>
        <v>2200</v>
      </c>
      <c r="J31" s="1585">
        <f>J34</f>
        <v>2200</v>
      </c>
      <c r="K31" s="1586">
        <f>J31/I31</f>
        <v>1</v>
      </c>
    </row>
    <row r="32" spans="1:11" s="890" customFormat="1" ht="36.75">
      <c r="A32" s="1535"/>
      <c r="B32" s="1605"/>
      <c r="C32" s="1537" t="s">
        <v>890</v>
      </c>
      <c r="D32" s="1538">
        <f t="shared" si="2"/>
        <v>2200</v>
      </c>
      <c r="E32" s="1538">
        <f t="shared" si="2"/>
        <v>2200</v>
      </c>
      <c r="F32" s="1538">
        <f t="shared" si="2"/>
        <v>2200</v>
      </c>
      <c r="G32" s="1539">
        <f>F32/E32</f>
        <v>1</v>
      </c>
      <c r="H32" s="1540"/>
      <c r="I32" s="1538"/>
      <c r="J32" s="1538"/>
      <c r="K32" s="1541"/>
    </row>
    <row r="33" spans="1:11" s="890" customFormat="1" ht="60.75" customHeight="1">
      <c r="A33" s="1535"/>
      <c r="B33" s="1542">
        <v>2010</v>
      </c>
      <c r="C33" s="1543" t="s">
        <v>825</v>
      </c>
      <c r="D33" s="1544">
        <v>2200</v>
      </c>
      <c r="E33" s="1544">
        <v>2200</v>
      </c>
      <c r="F33" s="1544">
        <v>2200</v>
      </c>
      <c r="G33" s="1545">
        <f>F33/E33</f>
        <v>1</v>
      </c>
      <c r="H33" s="1546"/>
      <c r="I33" s="1544"/>
      <c r="J33" s="1544"/>
      <c r="K33" s="1547"/>
    </row>
    <row r="34" spans="1:11" s="890" customFormat="1" ht="31.5" customHeight="1">
      <c r="A34" s="1606"/>
      <c r="B34" s="1606"/>
      <c r="C34" s="1607" t="s">
        <v>119</v>
      </c>
      <c r="D34" s="1608"/>
      <c r="E34" s="1608"/>
      <c r="F34" s="1608"/>
      <c r="G34" s="1609"/>
      <c r="H34" s="1610">
        <v>2200</v>
      </c>
      <c r="I34" s="1608">
        <v>2200</v>
      </c>
      <c r="J34" s="1608">
        <v>2200</v>
      </c>
      <c r="K34" s="1611">
        <f>J34/I34</f>
        <v>1</v>
      </c>
    </row>
    <row r="35" spans="1:11" s="890" customFormat="1" ht="21.75" customHeight="1">
      <c r="A35" s="1565">
        <v>801</v>
      </c>
      <c r="B35" s="1566"/>
      <c r="C35" s="1523" t="s">
        <v>347</v>
      </c>
      <c r="D35" s="1524"/>
      <c r="E35" s="1524">
        <f aca="true" t="shared" si="3" ref="E35:F37">E36</f>
        <v>14000</v>
      </c>
      <c r="F35" s="1524">
        <f t="shared" si="3"/>
        <v>14000</v>
      </c>
      <c r="G35" s="1525">
        <f>F35/E35</f>
        <v>1</v>
      </c>
      <c r="H35" s="1526"/>
      <c r="I35" s="1524">
        <f>I36</f>
        <v>14000</v>
      </c>
      <c r="J35" s="1524">
        <f>J36</f>
        <v>14000</v>
      </c>
      <c r="K35" s="1527">
        <f>J35/I35</f>
        <v>1</v>
      </c>
    </row>
    <row r="36" spans="1:11" s="890" customFormat="1" ht="21.75" customHeight="1">
      <c r="A36" s="1612"/>
      <c r="B36" s="1613">
        <v>80101</v>
      </c>
      <c r="C36" s="1582" t="s">
        <v>348</v>
      </c>
      <c r="D36" s="1614"/>
      <c r="E36" s="1614">
        <f t="shared" si="3"/>
        <v>14000</v>
      </c>
      <c r="F36" s="1614">
        <f t="shared" si="3"/>
        <v>14000</v>
      </c>
      <c r="G36" s="1615">
        <f>F36/E36</f>
        <v>1</v>
      </c>
      <c r="H36" s="1616"/>
      <c r="I36" s="1614">
        <f>I39</f>
        <v>14000</v>
      </c>
      <c r="J36" s="1614">
        <f>J39</f>
        <v>14000</v>
      </c>
      <c r="K36" s="1617">
        <f>J35/I35</f>
        <v>1</v>
      </c>
    </row>
    <row r="37" spans="1:11" s="890" customFormat="1" ht="36.75">
      <c r="A37" s="1509"/>
      <c r="B37" s="1536"/>
      <c r="C37" s="1537" t="s">
        <v>324</v>
      </c>
      <c r="D37" s="1618"/>
      <c r="E37" s="1618">
        <f t="shared" si="3"/>
        <v>14000</v>
      </c>
      <c r="F37" s="1618">
        <f t="shared" si="3"/>
        <v>14000</v>
      </c>
      <c r="G37" s="1619">
        <f>F37/E37</f>
        <v>1</v>
      </c>
      <c r="H37" s="1620"/>
      <c r="I37" s="1618"/>
      <c r="J37" s="1618"/>
      <c r="K37" s="1621"/>
    </row>
    <row r="38" spans="1:11" s="890" customFormat="1" ht="57.75" customHeight="1">
      <c r="A38" s="1587"/>
      <c r="B38" s="1542">
        <v>2010</v>
      </c>
      <c r="C38" s="1543" t="s">
        <v>825</v>
      </c>
      <c r="D38" s="1622"/>
      <c r="E38" s="1622">
        <v>14000</v>
      </c>
      <c r="F38" s="1622">
        <v>14000</v>
      </c>
      <c r="G38" s="1623">
        <f>F38/E38</f>
        <v>1</v>
      </c>
      <c r="H38" s="1624"/>
      <c r="I38" s="1622"/>
      <c r="J38" s="1622"/>
      <c r="K38" s="1625"/>
    </row>
    <row r="39" spans="1:11" s="890" customFormat="1" ht="26.25" customHeight="1">
      <c r="A39" s="1509"/>
      <c r="B39" s="1626"/>
      <c r="C39" s="1589" t="s">
        <v>120</v>
      </c>
      <c r="D39" s="1627"/>
      <c r="E39" s="1627"/>
      <c r="F39" s="1627"/>
      <c r="G39" s="1619"/>
      <c r="H39" s="1628"/>
      <c r="I39" s="1627">
        <v>14000</v>
      </c>
      <c r="J39" s="1627">
        <v>14000</v>
      </c>
      <c r="K39" s="1629">
        <f>J39/I39</f>
        <v>1</v>
      </c>
    </row>
    <row r="40" spans="1:11" s="890" customFormat="1" ht="21.75" customHeight="1">
      <c r="A40" s="1521">
        <v>852</v>
      </c>
      <c r="B40" s="1522"/>
      <c r="C40" s="1630" t="s">
        <v>463</v>
      </c>
      <c r="D40" s="1631">
        <f>D41+D54+D64+D68+D74+D80+D89</f>
        <v>24875000</v>
      </c>
      <c r="E40" s="1631">
        <f>E41+E54+E64+E68+E74+E80+E89</f>
        <v>48755425</v>
      </c>
      <c r="F40" s="1631">
        <f>F41+F54+F64+F68+F74+F80+F89</f>
        <v>48058486</v>
      </c>
      <c r="G40" s="1632">
        <f>F40/E40</f>
        <v>0.985705406116345</v>
      </c>
      <c r="H40" s="1633">
        <f>H41+H54+H64+H68+H74+H80+H89</f>
        <v>24767000</v>
      </c>
      <c r="I40" s="1631">
        <f>I41+I54+I64+I68+I74+I80+I89</f>
        <v>48647425</v>
      </c>
      <c r="J40" s="1631">
        <f>J41+J54+J64+J68+J74+J80+J89</f>
        <v>47914417</v>
      </c>
      <c r="K40" s="1634">
        <f>J40/I40</f>
        <v>0.984932234337172</v>
      </c>
    </row>
    <row r="41" spans="1:11" s="890" customFormat="1" ht="21.75" customHeight="1">
      <c r="A41" s="1635"/>
      <c r="B41" s="1529">
        <v>85203</v>
      </c>
      <c r="C41" s="1603" t="s">
        <v>414</v>
      </c>
      <c r="D41" s="1583">
        <f>D42+D44+D46</f>
        <v>724000</v>
      </c>
      <c r="E41" s="1583">
        <f>E42+E44+E46</f>
        <v>867900</v>
      </c>
      <c r="F41" s="1583">
        <f>F42+F44+F46</f>
        <v>878814</v>
      </c>
      <c r="G41" s="1604">
        <f>F41/E41</f>
        <v>1.01257518147252</v>
      </c>
      <c r="H41" s="1583">
        <f>H48+H53</f>
        <v>706000</v>
      </c>
      <c r="I41" s="1583">
        <f>I48+I53</f>
        <v>849900</v>
      </c>
      <c r="J41" s="1583">
        <f>J48+J53</f>
        <v>849899</v>
      </c>
      <c r="K41" s="1586">
        <v>0.9999</v>
      </c>
    </row>
    <row r="42" spans="1:11" s="890" customFormat="1" ht="37.5" customHeight="1">
      <c r="A42" s="1535"/>
      <c r="B42" s="1536"/>
      <c r="C42" s="1537" t="s">
        <v>502</v>
      </c>
      <c r="D42" s="1538">
        <f>D43</f>
        <v>706000</v>
      </c>
      <c r="E42" s="1538">
        <f>E43</f>
        <v>774900</v>
      </c>
      <c r="F42" s="1538">
        <f>F43</f>
        <v>774899</v>
      </c>
      <c r="G42" s="1539">
        <v>0.9999</v>
      </c>
      <c r="H42" s="1540"/>
      <c r="I42" s="1538"/>
      <c r="J42" s="1538"/>
      <c r="K42" s="1541"/>
    </row>
    <row r="43" spans="1:11" s="890" customFormat="1" ht="56.25" customHeight="1">
      <c r="A43" s="1587"/>
      <c r="B43" s="1542">
        <v>2010</v>
      </c>
      <c r="C43" s="1543" t="s">
        <v>825</v>
      </c>
      <c r="D43" s="1544">
        <v>706000</v>
      </c>
      <c r="E43" s="1544">
        <v>774900</v>
      </c>
      <c r="F43" s="1544">
        <v>774899</v>
      </c>
      <c r="G43" s="1545">
        <v>0.9999</v>
      </c>
      <c r="H43" s="1546"/>
      <c r="I43" s="1544"/>
      <c r="J43" s="1544"/>
      <c r="K43" s="1547"/>
    </row>
    <row r="44" spans="1:11" s="890" customFormat="1" ht="39" customHeight="1">
      <c r="A44" s="1535"/>
      <c r="B44" s="1587"/>
      <c r="C44" s="1636" t="s">
        <v>830</v>
      </c>
      <c r="D44" s="1637"/>
      <c r="E44" s="1637">
        <f>E45</f>
        <v>75000</v>
      </c>
      <c r="F44" s="1637">
        <f>F45</f>
        <v>75000</v>
      </c>
      <c r="G44" s="1638">
        <f>F44/E44</f>
        <v>1</v>
      </c>
      <c r="H44" s="1639"/>
      <c r="I44" s="1637"/>
      <c r="J44" s="1637"/>
      <c r="K44" s="1640"/>
    </row>
    <row r="45" spans="1:11" s="890" customFormat="1" ht="79.5" customHeight="1">
      <c r="A45" s="1548"/>
      <c r="B45" s="1548">
        <v>6310</v>
      </c>
      <c r="C45" s="1543" t="s">
        <v>831</v>
      </c>
      <c r="D45" s="1595"/>
      <c r="E45" s="1595">
        <v>75000</v>
      </c>
      <c r="F45" s="1595">
        <v>75000</v>
      </c>
      <c r="G45" s="1596">
        <f>F45/E45</f>
        <v>1</v>
      </c>
      <c r="H45" s="1597"/>
      <c r="I45" s="1595"/>
      <c r="J45" s="1595"/>
      <c r="K45" s="1598"/>
    </row>
    <row r="46" spans="1:11" s="890" customFormat="1" ht="24.75" customHeight="1">
      <c r="A46" s="1587"/>
      <c r="B46" s="1587"/>
      <c r="C46" s="1641" t="s">
        <v>832</v>
      </c>
      <c r="D46" s="1642">
        <f>D47</f>
        <v>18000</v>
      </c>
      <c r="E46" s="1642">
        <f>E47</f>
        <v>18000</v>
      </c>
      <c r="F46" s="1642">
        <f>F47</f>
        <v>28915</v>
      </c>
      <c r="G46" s="1643">
        <f>F46/E46</f>
        <v>1.6063888888888889</v>
      </c>
      <c r="H46" s="1644"/>
      <c r="I46" s="1642"/>
      <c r="J46" s="1642"/>
      <c r="K46" s="1645"/>
    </row>
    <row r="47" spans="1:11" s="890" customFormat="1" ht="39" customHeight="1">
      <c r="A47" s="1587"/>
      <c r="B47" s="1548">
        <v>2350</v>
      </c>
      <c r="C47" s="1549" t="s">
        <v>827</v>
      </c>
      <c r="D47" s="1646">
        <v>18000</v>
      </c>
      <c r="E47" s="1646">
        <v>18000</v>
      </c>
      <c r="F47" s="1646">
        <v>28915</v>
      </c>
      <c r="G47" s="1623">
        <f>F47/E47</f>
        <v>1.6063888888888889</v>
      </c>
      <c r="H47" s="1647"/>
      <c r="I47" s="1646"/>
      <c r="J47" s="1646"/>
      <c r="K47" s="1648"/>
    </row>
    <row r="48" spans="1:11" s="890" customFormat="1" ht="40.5" customHeight="1">
      <c r="A48" s="1587"/>
      <c r="B48" s="1587"/>
      <c r="C48" s="1649" t="s">
        <v>833</v>
      </c>
      <c r="D48" s="1650"/>
      <c r="E48" s="1650"/>
      <c r="F48" s="1650"/>
      <c r="G48" s="1651"/>
      <c r="H48" s="1652">
        <f>SUM(H49:H51)</f>
        <v>468000</v>
      </c>
      <c r="I48" s="1650">
        <f>SUM(I49:I52)</f>
        <v>611900</v>
      </c>
      <c r="J48" s="1650">
        <f>SUM(J49:J52)</f>
        <v>611899</v>
      </c>
      <c r="K48" s="1653">
        <v>0.9999</v>
      </c>
    </row>
    <row r="49" spans="1:11" s="890" customFormat="1" ht="21.75" customHeight="1">
      <c r="A49" s="1509"/>
      <c r="B49" s="1509"/>
      <c r="C49" s="1654" t="s">
        <v>1033</v>
      </c>
      <c r="D49" s="1655"/>
      <c r="E49" s="1655"/>
      <c r="F49" s="1655"/>
      <c r="G49" s="1656"/>
      <c r="H49" s="1657">
        <v>253000</v>
      </c>
      <c r="I49" s="1655">
        <v>261300</v>
      </c>
      <c r="J49" s="1655">
        <v>261300</v>
      </c>
      <c r="K49" s="1658">
        <f>J49/I49</f>
        <v>1</v>
      </c>
    </row>
    <row r="50" spans="1:11" s="890" customFormat="1" ht="21.75" customHeight="1">
      <c r="A50" s="1509"/>
      <c r="B50" s="1509"/>
      <c r="C50" s="1659" t="s">
        <v>1034</v>
      </c>
      <c r="D50" s="1660"/>
      <c r="E50" s="1660"/>
      <c r="F50" s="1660"/>
      <c r="G50" s="1661"/>
      <c r="H50" s="1662">
        <v>164000</v>
      </c>
      <c r="I50" s="1660">
        <v>222406</v>
      </c>
      <c r="J50" s="1660">
        <v>222405</v>
      </c>
      <c r="K50" s="1663">
        <v>0.9999</v>
      </c>
    </row>
    <row r="51" spans="1:11" s="890" customFormat="1" ht="21.75" customHeight="1">
      <c r="A51" s="1509"/>
      <c r="B51" s="1509"/>
      <c r="C51" s="1659" t="s">
        <v>1035</v>
      </c>
      <c r="D51" s="1660"/>
      <c r="E51" s="1660"/>
      <c r="F51" s="1660"/>
      <c r="G51" s="1661"/>
      <c r="H51" s="1662">
        <v>51000</v>
      </c>
      <c r="I51" s="1660">
        <v>53194</v>
      </c>
      <c r="J51" s="1660">
        <v>53194</v>
      </c>
      <c r="K51" s="1663">
        <f>J51/I51</f>
        <v>1</v>
      </c>
    </row>
    <row r="52" spans="1:11" s="890" customFormat="1" ht="21.75" customHeight="1">
      <c r="A52" s="1509"/>
      <c r="B52" s="1509"/>
      <c r="C52" s="1659" t="s">
        <v>1002</v>
      </c>
      <c r="D52" s="1660"/>
      <c r="E52" s="1660"/>
      <c r="F52" s="1660"/>
      <c r="G52" s="1661"/>
      <c r="H52" s="1662"/>
      <c r="I52" s="1660">
        <v>75000</v>
      </c>
      <c r="J52" s="1660">
        <v>75000</v>
      </c>
      <c r="K52" s="1663">
        <f>J52/I52</f>
        <v>1</v>
      </c>
    </row>
    <row r="53" spans="1:11" s="890" customFormat="1" ht="42" customHeight="1">
      <c r="A53" s="1509"/>
      <c r="B53" s="1606"/>
      <c r="C53" s="1664" t="s">
        <v>834</v>
      </c>
      <c r="D53" s="1665"/>
      <c r="E53" s="1665"/>
      <c r="F53" s="1665"/>
      <c r="G53" s="1666"/>
      <c r="H53" s="1667">
        <v>238000</v>
      </c>
      <c r="I53" s="1665">
        <v>238000</v>
      </c>
      <c r="J53" s="1665">
        <v>238000</v>
      </c>
      <c r="K53" s="1668">
        <f>J53/I53</f>
        <v>1</v>
      </c>
    </row>
    <row r="54" spans="1:11" s="890" customFormat="1" ht="41.25" customHeight="1">
      <c r="A54" s="1669"/>
      <c r="B54" s="1670">
        <v>85212</v>
      </c>
      <c r="C54" s="1603" t="s">
        <v>327</v>
      </c>
      <c r="D54" s="1583"/>
      <c r="E54" s="1583">
        <f>E55+E57</f>
        <v>33127516</v>
      </c>
      <c r="F54" s="1583">
        <f>F55+F57</f>
        <v>32852881</v>
      </c>
      <c r="G54" s="1604">
        <f>F54/E54</f>
        <v>0.991709761758171</v>
      </c>
      <c r="H54" s="1583"/>
      <c r="I54" s="1583">
        <f>SUM(I59:I63)</f>
        <v>33127516</v>
      </c>
      <c r="J54" s="1583">
        <f>SUM(J59:J63)</f>
        <v>32852881</v>
      </c>
      <c r="K54" s="1586">
        <f>J54/I54</f>
        <v>0.991709761758171</v>
      </c>
    </row>
    <row r="55" spans="1:11" s="890" customFormat="1" ht="37.5" customHeight="1">
      <c r="A55" s="1535"/>
      <c r="B55" s="1588"/>
      <c r="C55" s="1537" t="s">
        <v>835</v>
      </c>
      <c r="D55" s="1538"/>
      <c r="E55" s="1538">
        <f>E56</f>
        <v>32954026</v>
      </c>
      <c r="F55" s="1538">
        <f>F56</f>
        <v>32679391</v>
      </c>
      <c r="G55" s="1539">
        <f>F55/E55</f>
        <v>0.9916661169108746</v>
      </c>
      <c r="H55" s="1540"/>
      <c r="I55" s="1538"/>
      <c r="J55" s="1538"/>
      <c r="K55" s="1541"/>
    </row>
    <row r="56" spans="1:11" s="890" customFormat="1" ht="57.75" customHeight="1">
      <c r="A56" s="1587"/>
      <c r="B56" s="1548">
        <v>2010</v>
      </c>
      <c r="C56" s="1594" t="s">
        <v>829</v>
      </c>
      <c r="D56" s="1595"/>
      <c r="E56" s="1595">
        <v>32954026</v>
      </c>
      <c r="F56" s="1595">
        <v>32679391</v>
      </c>
      <c r="G56" s="1596">
        <f>F56/E56</f>
        <v>0.9916661169108746</v>
      </c>
      <c r="H56" s="1597"/>
      <c r="I56" s="1595"/>
      <c r="J56" s="1595"/>
      <c r="K56" s="1598"/>
    </row>
    <row r="57" spans="1:11" s="890" customFormat="1" ht="54.75">
      <c r="A57" s="1535"/>
      <c r="B57" s="1515"/>
      <c r="C57" s="1636" t="s">
        <v>503</v>
      </c>
      <c r="D57" s="1637"/>
      <c r="E57" s="1637">
        <f>E58</f>
        <v>173490</v>
      </c>
      <c r="F57" s="1637">
        <f>F58</f>
        <v>173490</v>
      </c>
      <c r="G57" s="1638">
        <f>F57/E57</f>
        <v>1</v>
      </c>
      <c r="H57" s="1639"/>
      <c r="I57" s="1637"/>
      <c r="J57" s="1637"/>
      <c r="K57" s="1640"/>
    </row>
    <row r="58" spans="1:11" s="890" customFormat="1" ht="75">
      <c r="A58" s="1587"/>
      <c r="B58" s="1671">
        <v>6310</v>
      </c>
      <c r="C58" s="1543" t="s">
        <v>836</v>
      </c>
      <c r="D58" s="1595"/>
      <c r="E58" s="1595">
        <v>173490</v>
      </c>
      <c r="F58" s="1595">
        <v>173490</v>
      </c>
      <c r="G58" s="1596">
        <f>F58/E58</f>
        <v>1</v>
      </c>
      <c r="H58" s="1597"/>
      <c r="I58" s="1595"/>
      <c r="J58" s="1595"/>
      <c r="K58" s="1598"/>
    </row>
    <row r="59" spans="1:11" s="890" customFormat="1" ht="21.75" customHeight="1">
      <c r="A59" s="1509"/>
      <c r="B59" s="1509"/>
      <c r="C59" s="1672" t="s">
        <v>1033</v>
      </c>
      <c r="D59" s="1673"/>
      <c r="E59" s="1673"/>
      <c r="F59" s="1673"/>
      <c r="G59" s="1674"/>
      <c r="H59" s="1675"/>
      <c r="I59" s="1673">
        <v>513943</v>
      </c>
      <c r="J59" s="1673">
        <v>508341</v>
      </c>
      <c r="K59" s="1676">
        <f>J59/I59</f>
        <v>0.9890999585557153</v>
      </c>
    </row>
    <row r="60" spans="1:11" s="890" customFormat="1" ht="21.75" customHeight="1">
      <c r="A60" s="1509"/>
      <c r="B60" s="1509"/>
      <c r="C60" s="1677" t="s">
        <v>1034</v>
      </c>
      <c r="D60" s="1678"/>
      <c r="E60" s="1678"/>
      <c r="F60" s="1678"/>
      <c r="G60" s="1679"/>
      <c r="H60" s="1680"/>
      <c r="I60" s="1678">
        <v>350592</v>
      </c>
      <c r="J60" s="1678">
        <v>350592</v>
      </c>
      <c r="K60" s="1681">
        <f>J60/I60</f>
        <v>1</v>
      </c>
    </row>
    <row r="61" spans="1:11" s="890" customFormat="1" ht="21.75" customHeight="1">
      <c r="A61" s="1509"/>
      <c r="B61" s="1509"/>
      <c r="C61" s="1677" t="s">
        <v>1035</v>
      </c>
      <c r="D61" s="1678"/>
      <c r="E61" s="1678"/>
      <c r="F61" s="1678"/>
      <c r="G61" s="1679"/>
      <c r="H61" s="1680"/>
      <c r="I61" s="1678">
        <v>97899</v>
      </c>
      <c r="J61" s="1678">
        <v>97898</v>
      </c>
      <c r="K61" s="1681">
        <v>0.9999</v>
      </c>
    </row>
    <row r="62" spans="1:11" s="890" customFormat="1" ht="21.75" customHeight="1">
      <c r="A62" s="1509"/>
      <c r="B62" s="1509"/>
      <c r="C62" s="1677" t="s">
        <v>123</v>
      </c>
      <c r="D62" s="1678"/>
      <c r="E62" s="1678"/>
      <c r="F62" s="1678"/>
      <c r="G62" s="1679"/>
      <c r="H62" s="1680"/>
      <c r="I62" s="1678">
        <v>31991592</v>
      </c>
      <c r="J62" s="1678">
        <v>31722560</v>
      </c>
      <c r="K62" s="1681">
        <f>J62/I62</f>
        <v>0.9915905404144939</v>
      </c>
    </row>
    <row r="63" spans="1:11" s="890" customFormat="1" ht="21.75" customHeight="1">
      <c r="A63" s="1509"/>
      <c r="B63" s="1606"/>
      <c r="C63" s="1682" t="s">
        <v>1002</v>
      </c>
      <c r="D63" s="1683"/>
      <c r="E63" s="1683"/>
      <c r="F63" s="1683"/>
      <c r="G63" s="1684"/>
      <c r="H63" s="1685"/>
      <c r="I63" s="1683">
        <v>173490</v>
      </c>
      <c r="J63" s="1683">
        <v>173490</v>
      </c>
      <c r="K63" s="1686">
        <f>J63/I63</f>
        <v>1</v>
      </c>
    </row>
    <row r="64" spans="1:11" s="890" customFormat="1" ht="57.75" customHeight="1">
      <c r="A64" s="1612"/>
      <c r="B64" s="1613">
        <v>85213</v>
      </c>
      <c r="C64" s="1582" t="s">
        <v>504</v>
      </c>
      <c r="D64" s="1614">
        <f aca="true" t="shared" si="4" ref="D64:F65">D65</f>
        <v>710000</v>
      </c>
      <c r="E64" s="1614">
        <f t="shared" si="4"/>
        <v>619689</v>
      </c>
      <c r="F64" s="1614">
        <f t="shared" si="4"/>
        <v>613600</v>
      </c>
      <c r="G64" s="1615">
        <f>F64/E64</f>
        <v>0.9901741034615751</v>
      </c>
      <c r="H64" s="1616">
        <f>H67</f>
        <v>710000</v>
      </c>
      <c r="I64" s="1616">
        <f>I67</f>
        <v>619689</v>
      </c>
      <c r="J64" s="1616">
        <f>J67</f>
        <v>613600</v>
      </c>
      <c r="K64" s="1617">
        <f>J64/I64</f>
        <v>0.9901741034615751</v>
      </c>
    </row>
    <row r="65" spans="1:11" s="890" customFormat="1" ht="54.75" customHeight="1">
      <c r="A65" s="1509"/>
      <c r="B65" s="1626"/>
      <c r="C65" s="1537" t="s">
        <v>837</v>
      </c>
      <c r="D65" s="1618">
        <f t="shared" si="4"/>
        <v>710000</v>
      </c>
      <c r="E65" s="1618">
        <f t="shared" si="4"/>
        <v>619689</v>
      </c>
      <c r="F65" s="1618">
        <f t="shared" si="4"/>
        <v>613600</v>
      </c>
      <c r="G65" s="1687">
        <f>F65/E65</f>
        <v>0.9901741034615751</v>
      </c>
      <c r="H65" s="1620"/>
      <c r="I65" s="1618"/>
      <c r="J65" s="1618"/>
      <c r="K65" s="1621"/>
    </row>
    <row r="66" spans="1:11" s="890" customFormat="1" ht="62.25" customHeight="1">
      <c r="A66" s="1548"/>
      <c r="B66" s="1542">
        <v>2010</v>
      </c>
      <c r="C66" s="1543" t="s">
        <v>825</v>
      </c>
      <c r="D66" s="1544">
        <v>710000</v>
      </c>
      <c r="E66" s="1544">
        <v>619689</v>
      </c>
      <c r="F66" s="1544">
        <v>613600</v>
      </c>
      <c r="G66" s="1545">
        <f>F66/E66</f>
        <v>0.9901741034615751</v>
      </c>
      <c r="H66" s="1546"/>
      <c r="I66" s="1544"/>
      <c r="J66" s="1544"/>
      <c r="K66" s="1547"/>
    </row>
    <row r="67" spans="1:11" s="890" customFormat="1" ht="42" customHeight="1">
      <c r="A67" s="1509"/>
      <c r="B67" s="1606"/>
      <c r="C67" s="1575" t="s">
        <v>124</v>
      </c>
      <c r="D67" s="1608"/>
      <c r="E67" s="1608"/>
      <c r="F67" s="1608"/>
      <c r="G67" s="1609"/>
      <c r="H67" s="1610">
        <v>710000</v>
      </c>
      <c r="I67" s="1608">
        <v>619689</v>
      </c>
      <c r="J67" s="1608">
        <v>613600</v>
      </c>
      <c r="K67" s="1611">
        <f>J67/I67</f>
        <v>0.9901741034615751</v>
      </c>
    </row>
    <row r="68" spans="1:11" s="890" customFormat="1" ht="33.75" customHeight="1">
      <c r="A68" s="1528"/>
      <c r="B68" s="1688">
        <v>85214</v>
      </c>
      <c r="C68" s="1603" t="s">
        <v>125</v>
      </c>
      <c r="D68" s="1583">
        <f>D69</f>
        <v>14563000</v>
      </c>
      <c r="E68" s="1583">
        <f>E69</f>
        <v>9649880</v>
      </c>
      <c r="F68" s="1583">
        <f>F69+F71</f>
        <v>9243120</v>
      </c>
      <c r="G68" s="1604">
        <f>F68/E68</f>
        <v>0.9578481804955088</v>
      </c>
      <c r="H68" s="1585">
        <f>H73</f>
        <v>14563000</v>
      </c>
      <c r="I68" s="1585">
        <f>I73</f>
        <v>9649880</v>
      </c>
      <c r="J68" s="1585">
        <f>J73</f>
        <v>9198442</v>
      </c>
      <c r="K68" s="1586">
        <f>J68/I68</f>
        <v>0.9532182783620107</v>
      </c>
    </row>
    <row r="69" spans="1:11" s="890" customFormat="1" ht="43.5" customHeight="1">
      <c r="A69" s="1535"/>
      <c r="B69" s="1536"/>
      <c r="C69" s="1537" t="s">
        <v>838</v>
      </c>
      <c r="D69" s="1538">
        <f>D70</f>
        <v>14563000</v>
      </c>
      <c r="E69" s="1538">
        <f>E70</f>
        <v>9649880</v>
      </c>
      <c r="F69" s="1538">
        <f>F70</f>
        <v>9198442</v>
      </c>
      <c r="G69" s="1539">
        <f>F69/E69</f>
        <v>0.9532182783620107</v>
      </c>
      <c r="H69" s="1540"/>
      <c r="I69" s="1538"/>
      <c r="J69" s="1538"/>
      <c r="K69" s="1541"/>
    </row>
    <row r="70" spans="1:11" s="890" customFormat="1" ht="59.25" customHeight="1">
      <c r="A70" s="1587"/>
      <c r="B70" s="1542">
        <v>2010</v>
      </c>
      <c r="C70" s="1543" t="s">
        <v>825</v>
      </c>
      <c r="D70" s="1595">
        <v>14563000</v>
      </c>
      <c r="E70" s="1595">
        <v>9649880</v>
      </c>
      <c r="F70" s="1595">
        <v>9198442</v>
      </c>
      <c r="G70" s="1596">
        <f>F70/E70</f>
        <v>0.9532182783620107</v>
      </c>
      <c r="H70" s="1597"/>
      <c r="I70" s="1595"/>
      <c r="J70" s="1595"/>
      <c r="K70" s="1598"/>
    </row>
    <row r="71" spans="1:11" s="890" customFormat="1" ht="32.25" customHeight="1">
      <c r="A71" s="1509"/>
      <c r="B71" s="1605"/>
      <c r="C71" s="1689" t="s">
        <v>839</v>
      </c>
      <c r="D71" s="1590"/>
      <c r="E71" s="1590"/>
      <c r="F71" s="1590">
        <f>F72</f>
        <v>44678</v>
      </c>
      <c r="G71" s="1690"/>
      <c r="H71" s="1592"/>
      <c r="I71" s="1590"/>
      <c r="J71" s="1590"/>
      <c r="K71" s="1691"/>
    </row>
    <row r="72" spans="1:11" s="890" customFormat="1" ht="39" customHeight="1">
      <c r="A72" s="1587"/>
      <c r="B72" s="1542">
        <v>2350</v>
      </c>
      <c r="C72" s="1692" t="s">
        <v>827</v>
      </c>
      <c r="D72" s="1595"/>
      <c r="E72" s="1595"/>
      <c r="F72" s="1595">
        <v>44678</v>
      </c>
      <c r="G72" s="1596"/>
      <c r="H72" s="1597"/>
      <c r="I72" s="1595"/>
      <c r="J72" s="1595"/>
      <c r="K72" s="1598"/>
    </row>
    <row r="73" spans="1:11" s="890" customFormat="1" ht="29.25" customHeight="1">
      <c r="A73" s="1528"/>
      <c r="B73" s="1693"/>
      <c r="C73" s="1606" t="s">
        <v>29</v>
      </c>
      <c r="D73" s="1599"/>
      <c r="E73" s="1599"/>
      <c r="F73" s="1599"/>
      <c r="G73" s="1694"/>
      <c r="H73" s="1600">
        <v>14563000</v>
      </c>
      <c r="I73" s="1599">
        <v>9649880</v>
      </c>
      <c r="J73" s="1599">
        <v>9198442</v>
      </c>
      <c r="K73" s="1579">
        <f>J73/I73</f>
        <v>0.9532182783620107</v>
      </c>
    </row>
    <row r="74" spans="1:11" s="890" customFormat="1" ht="27" customHeight="1">
      <c r="A74" s="1528"/>
      <c r="B74" s="1688">
        <v>85216</v>
      </c>
      <c r="C74" s="1603" t="s">
        <v>415</v>
      </c>
      <c r="D74" s="1583">
        <f>D75</f>
        <v>4360000</v>
      </c>
      <c r="E74" s="1583">
        <f>E75</f>
        <v>249440</v>
      </c>
      <c r="F74" s="1583">
        <f>F75+F77</f>
        <v>254363</v>
      </c>
      <c r="G74" s="1604">
        <f>F74/E74</f>
        <v>1.0197362091084028</v>
      </c>
      <c r="H74" s="1585">
        <f>H79</f>
        <v>4360000</v>
      </c>
      <c r="I74" s="1585">
        <f>I79</f>
        <v>249440</v>
      </c>
      <c r="J74" s="1585">
        <f>J79</f>
        <v>248595</v>
      </c>
      <c r="K74" s="1586">
        <f>J74/I74</f>
        <v>0.9966124118024374</v>
      </c>
    </row>
    <row r="75" spans="1:11" s="890" customFormat="1" ht="36.75">
      <c r="A75" s="1535"/>
      <c r="B75" s="1536"/>
      <c r="C75" s="1537" t="s">
        <v>840</v>
      </c>
      <c r="D75" s="1538">
        <f>D76</f>
        <v>4360000</v>
      </c>
      <c r="E75" s="1538">
        <f>E76</f>
        <v>249440</v>
      </c>
      <c r="F75" s="1538">
        <f>F76</f>
        <v>248595</v>
      </c>
      <c r="G75" s="1539">
        <f>F75/E75</f>
        <v>0.9966124118024374</v>
      </c>
      <c r="H75" s="1540"/>
      <c r="I75" s="1538"/>
      <c r="J75" s="1538"/>
      <c r="K75" s="1541"/>
    </row>
    <row r="76" spans="1:11" s="890" customFormat="1" ht="57" customHeight="1">
      <c r="A76" s="1587"/>
      <c r="B76" s="1542">
        <v>2010</v>
      </c>
      <c r="C76" s="1543" t="s">
        <v>825</v>
      </c>
      <c r="D76" s="1544">
        <v>4360000</v>
      </c>
      <c r="E76" s="1544">
        <v>249440</v>
      </c>
      <c r="F76" s="1544">
        <v>248595</v>
      </c>
      <c r="G76" s="1545">
        <f>F76/E76</f>
        <v>0.9966124118024374</v>
      </c>
      <c r="H76" s="1546"/>
      <c r="I76" s="1544"/>
      <c r="J76" s="1544"/>
      <c r="K76" s="1547"/>
    </row>
    <row r="77" spans="1:11" s="890" customFormat="1" ht="24" customHeight="1">
      <c r="A77" s="1509"/>
      <c r="B77" s="1605"/>
      <c r="C77" s="1537" t="s">
        <v>839</v>
      </c>
      <c r="D77" s="1538"/>
      <c r="E77" s="1538"/>
      <c r="F77" s="1538">
        <f>F78</f>
        <v>5768</v>
      </c>
      <c r="G77" s="1539"/>
      <c r="H77" s="1540"/>
      <c r="I77" s="1538"/>
      <c r="J77" s="1538"/>
      <c r="K77" s="1541"/>
    </row>
    <row r="78" spans="1:11" s="890" customFormat="1" ht="40.5" customHeight="1">
      <c r="A78" s="1587"/>
      <c r="B78" s="1542">
        <v>2350</v>
      </c>
      <c r="C78" s="1543" t="s">
        <v>827</v>
      </c>
      <c r="D78" s="1544"/>
      <c r="E78" s="1544"/>
      <c r="F78" s="1544">
        <v>5768</v>
      </c>
      <c r="G78" s="1545"/>
      <c r="H78" s="1546"/>
      <c r="I78" s="1544"/>
      <c r="J78" s="1544"/>
      <c r="K78" s="1547"/>
    </row>
    <row r="79" spans="1:11" s="890" customFormat="1" ht="27" customHeight="1">
      <c r="A79" s="1528"/>
      <c r="B79" s="1693"/>
      <c r="C79" s="1575" t="s">
        <v>29</v>
      </c>
      <c r="D79" s="1608"/>
      <c r="E79" s="1608"/>
      <c r="F79" s="1608"/>
      <c r="G79" s="1609"/>
      <c r="H79" s="1610">
        <v>4360000</v>
      </c>
      <c r="I79" s="1608">
        <v>249440</v>
      </c>
      <c r="J79" s="1608">
        <v>248595</v>
      </c>
      <c r="K79" s="1611">
        <f>J79/I79</f>
        <v>0.9966124118024374</v>
      </c>
    </row>
    <row r="80" spans="1:11" s="890" customFormat="1" ht="26.25" customHeight="1">
      <c r="A80" s="1669"/>
      <c r="B80" s="1688">
        <v>85219</v>
      </c>
      <c r="C80" s="1603" t="s">
        <v>416</v>
      </c>
      <c r="D80" s="1583">
        <f>D81+D83</f>
        <v>3498000</v>
      </c>
      <c r="E80" s="1583">
        <f>E81+E83</f>
        <v>3498000</v>
      </c>
      <c r="F80" s="1583">
        <f>F81+F83</f>
        <v>3498000</v>
      </c>
      <c r="G80" s="1604">
        <f>F80/E80</f>
        <v>1</v>
      </c>
      <c r="H80" s="1585">
        <f>SUM(H85:H88)</f>
        <v>3498000</v>
      </c>
      <c r="I80" s="1585">
        <f>SUM(I85:I88)</f>
        <v>3498000</v>
      </c>
      <c r="J80" s="1585">
        <f>SUM(J85:J88)</f>
        <v>3498000</v>
      </c>
      <c r="K80" s="1586">
        <f>J80/I80</f>
        <v>1</v>
      </c>
    </row>
    <row r="81" spans="1:11" s="890" customFormat="1" ht="37.5" customHeight="1">
      <c r="A81" s="1535"/>
      <c r="B81" s="1536"/>
      <c r="C81" s="1537" t="s">
        <v>417</v>
      </c>
      <c r="D81" s="1538">
        <f>D82</f>
        <v>3490000</v>
      </c>
      <c r="E81" s="1538">
        <f>E82</f>
        <v>3490000</v>
      </c>
      <c r="F81" s="1538">
        <f>F82</f>
        <v>3490000</v>
      </c>
      <c r="G81" s="1539">
        <f>F81/E81</f>
        <v>1</v>
      </c>
      <c r="H81" s="1540"/>
      <c r="I81" s="1538"/>
      <c r="J81" s="1538"/>
      <c r="K81" s="1541"/>
    </row>
    <row r="82" spans="1:11" s="890" customFormat="1" ht="57.75" customHeight="1">
      <c r="A82" s="1587"/>
      <c r="B82" s="1542">
        <v>2010</v>
      </c>
      <c r="C82" s="1543" t="s">
        <v>825</v>
      </c>
      <c r="D82" s="1544">
        <v>3490000</v>
      </c>
      <c r="E82" s="1544">
        <v>3490000</v>
      </c>
      <c r="F82" s="1544">
        <v>3490000</v>
      </c>
      <c r="G82" s="1545">
        <f>F82/E82</f>
        <v>1</v>
      </c>
      <c r="H82" s="1546"/>
      <c r="I82" s="1544"/>
      <c r="J82" s="1544"/>
      <c r="K82" s="1547"/>
    </row>
    <row r="83" spans="1:11" s="890" customFormat="1" ht="39.75" customHeight="1">
      <c r="A83" s="1535"/>
      <c r="B83" s="1536"/>
      <c r="C83" s="1537" t="s">
        <v>505</v>
      </c>
      <c r="D83" s="1538">
        <f>D84</f>
        <v>8000</v>
      </c>
      <c r="E83" s="1538">
        <f>E84</f>
        <v>8000</v>
      </c>
      <c r="F83" s="1538">
        <f>F84</f>
        <v>8000</v>
      </c>
      <c r="G83" s="1539">
        <f>F83/E83</f>
        <v>1</v>
      </c>
      <c r="H83" s="1540"/>
      <c r="I83" s="1538"/>
      <c r="J83" s="1538"/>
      <c r="K83" s="1541"/>
    </row>
    <row r="84" spans="1:11" s="890" customFormat="1" ht="78.75" customHeight="1">
      <c r="A84" s="1587"/>
      <c r="B84" s="1542">
        <v>6310</v>
      </c>
      <c r="C84" s="1543" t="s">
        <v>841</v>
      </c>
      <c r="D84" s="1544">
        <v>8000</v>
      </c>
      <c r="E84" s="1544">
        <v>8000</v>
      </c>
      <c r="F84" s="1544">
        <v>8000</v>
      </c>
      <c r="G84" s="1545">
        <f>F84/E84</f>
        <v>1</v>
      </c>
      <c r="H84" s="1546"/>
      <c r="I84" s="1544"/>
      <c r="J84" s="1544"/>
      <c r="K84" s="1547"/>
    </row>
    <row r="85" spans="1:11" s="890" customFormat="1" ht="21.75" customHeight="1">
      <c r="A85" s="1509"/>
      <c r="B85" s="1509"/>
      <c r="C85" s="1695" t="s">
        <v>1033</v>
      </c>
      <c r="D85" s="1696"/>
      <c r="E85" s="1696"/>
      <c r="F85" s="1696"/>
      <c r="G85" s="1697"/>
      <c r="H85" s="1698">
        <v>2611300</v>
      </c>
      <c r="I85" s="1696">
        <v>2611300</v>
      </c>
      <c r="J85" s="1696">
        <v>2611300</v>
      </c>
      <c r="K85" s="1699">
        <f>J85/I85</f>
        <v>1</v>
      </c>
    </row>
    <row r="86" spans="1:11" s="890" customFormat="1" ht="21.75" customHeight="1">
      <c r="A86" s="1606"/>
      <c r="B86" s="1606"/>
      <c r="C86" s="1700" t="s">
        <v>1034</v>
      </c>
      <c r="D86" s="1665"/>
      <c r="E86" s="1665"/>
      <c r="F86" s="1665"/>
      <c r="G86" s="1666"/>
      <c r="H86" s="1667">
        <v>369700</v>
      </c>
      <c r="I86" s="1665">
        <v>373922</v>
      </c>
      <c r="J86" s="1665">
        <v>373922</v>
      </c>
      <c r="K86" s="1668">
        <f>J86/I86</f>
        <v>1</v>
      </c>
    </row>
    <row r="87" spans="1:11" s="890" customFormat="1" ht="21.75" customHeight="1">
      <c r="A87" s="1509"/>
      <c r="B87" s="1509"/>
      <c r="C87" s="1641" t="s">
        <v>1035</v>
      </c>
      <c r="D87" s="1642"/>
      <c r="E87" s="1642"/>
      <c r="F87" s="1642"/>
      <c r="G87" s="1643"/>
      <c r="H87" s="1644">
        <v>509000</v>
      </c>
      <c r="I87" s="1642">
        <v>504778</v>
      </c>
      <c r="J87" s="1642">
        <v>504778</v>
      </c>
      <c r="K87" s="1645">
        <f>J87/I87</f>
        <v>1</v>
      </c>
    </row>
    <row r="88" spans="1:11" s="890" customFormat="1" ht="21.75" customHeight="1">
      <c r="A88" s="1509"/>
      <c r="B88" s="1606"/>
      <c r="C88" s="1606" t="s">
        <v>1002</v>
      </c>
      <c r="D88" s="1608"/>
      <c r="E88" s="1608"/>
      <c r="F88" s="1608"/>
      <c r="G88" s="1609"/>
      <c r="H88" s="1610">
        <v>8000</v>
      </c>
      <c r="I88" s="1608">
        <v>8000</v>
      </c>
      <c r="J88" s="1608">
        <v>8000</v>
      </c>
      <c r="K88" s="1668">
        <f>J88/I88</f>
        <v>1</v>
      </c>
    </row>
    <row r="89" spans="1:11" s="890" customFormat="1" ht="36" customHeight="1">
      <c r="A89" s="1528"/>
      <c r="B89" s="1688">
        <v>85228</v>
      </c>
      <c r="C89" s="1603" t="s">
        <v>418</v>
      </c>
      <c r="D89" s="1583">
        <f>D90+D92</f>
        <v>1020000</v>
      </c>
      <c r="E89" s="1583">
        <f>E90+E92</f>
        <v>743000</v>
      </c>
      <c r="F89" s="1583">
        <f>F90+F92</f>
        <v>717708</v>
      </c>
      <c r="G89" s="1604">
        <f>F89/E89</f>
        <v>0.9659596231493943</v>
      </c>
      <c r="H89" s="1585">
        <f>H94</f>
        <v>930000</v>
      </c>
      <c r="I89" s="1583">
        <f>I94</f>
        <v>653000</v>
      </c>
      <c r="J89" s="1583">
        <f>J94</f>
        <v>653000</v>
      </c>
      <c r="K89" s="1586">
        <f>J89/I89</f>
        <v>1</v>
      </c>
    </row>
    <row r="90" spans="1:11" s="890" customFormat="1" ht="31.5" customHeight="1">
      <c r="A90" s="1535"/>
      <c r="B90" s="1536"/>
      <c r="C90" s="1537" t="s">
        <v>842</v>
      </c>
      <c r="D90" s="1538">
        <f>D91</f>
        <v>930000</v>
      </c>
      <c r="E90" s="1538">
        <f>E91</f>
        <v>653000</v>
      </c>
      <c r="F90" s="1538">
        <f>F91</f>
        <v>653000</v>
      </c>
      <c r="G90" s="1539">
        <f>F90/E90</f>
        <v>1</v>
      </c>
      <c r="H90" s="1540"/>
      <c r="I90" s="1538"/>
      <c r="J90" s="1538"/>
      <c r="K90" s="1541"/>
    </row>
    <row r="91" spans="1:11" s="890" customFormat="1" ht="57.75" customHeight="1">
      <c r="A91" s="1587"/>
      <c r="B91" s="1542">
        <v>2010</v>
      </c>
      <c r="C91" s="1543" t="s">
        <v>825</v>
      </c>
      <c r="D91" s="1595">
        <v>930000</v>
      </c>
      <c r="E91" s="1595">
        <v>653000</v>
      </c>
      <c r="F91" s="1595">
        <v>653000</v>
      </c>
      <c r="G91" s="1596">
        <f>F91/E91</f>
        <v>1</v>
      </c>
      <c r="H91" s="1597"/>
      <c r="I91" s="1595"/>
      <c r="J91" s="1595"/>
      <c r="K91" s="1598"/>
    </row>
    <row r="92" spans="1:11" s="890" customFormat="1" ht="26.25" customHeight="1">
      <c r="A92" s="1587"/>
      <c r="B92" s="1587"/>
      <c r="C92" s="1641" t="s">
        <v>353</v>
      </c>
      <c r="D92" s="1642">
        <f>D93</f>
        <v>90000</v>
      </c>
      <c r="E92" s="1642">
        <f>E93</f>
        <v>90000</v>
      </c>
      <c r="F92" s="1642">
        <f>F93</f>
        <v>64708</v>
      </c>
      <c r="G92" s="1643">
        <f>F92/E92</f>
        <v>0.7189777777777778</v>
      </c>
      <c r="H92" s="1644"/>
      <c r="I92" s="1642"/>
      <c r="J92" s="1642"/>
      <c r="K92" s="1645"/>
    </row>
    <row r="93" spans="1:11" s="890" customFormat="1" ht="41.25" customHeight="1">
      <c r="A93" s="1587"/>
      <c r="B93" s="1548">
        <v>2350</v>
      </c>
      <c r="C93" s="1549" t="s">
        <v>827</v>
      </c>
      <c r="D93" s="1622">
        <v>90000</v>
      </c>
      <c r="E93" s="1622">
        <v>90000</v>
      </c>
      <c r="F93" s="1622">
        <v>64708</v>
      </c>
      <c r="G93" s="1701">
        <f>F93/E93</f>
        <v>0.7189777777777778</v>
      </c>
      <c r="H93" s="1624"/>
      <c r="I93" s="1622"/>
      <c r="J93" s="1622"/>
      <c r="K93" s="1625"/>
    </row>
    <row r="94" spans="1:11" s="890" customFormat="1" ht="24" customHeight="1">
      <c r="A94" s="1702"/>
      <c r="B94" s="1693"/>
      <c r="C94" s="1575" t="s">
        <v>126</v>
      </c>
      <c r="D94" s="1608"/>
      <c r="E94" s="1608"/>
      <c r="F94" s="1608"/>
      <c r="G94" s="1701"/>
      <c r="H94" s="1610">
        <v>930000</v>
      </c>
      <c r="I94" s="1608">
        <v>653000</v>
      </c>
      <c r="J94" s="1608">
        <v>653000</v>
      </c>
      <c r="K94" s="1611">
        <f>J94/I94</f>
        <v>1</v>
      </c>
    </row>
    <row r="95" spans="1:11" s="890" customFormat="1" ht="22.5" customHeight="1">
      <c r="A95" s="1521">
        <v>854</v>
      </c>
      <c r="B95" s="1703"/>
      <c r="C95" s="1522" t="s">
        <v>396</v>
      </c>
      <c r="D95" s="1524"/>
      <c r="E95" s="1524">
        <f aca="true" t="shared" si="5" ref="E95:F97">E96</f>
        <v>4000</v>
      </c>
      <c r="F95" s="1524">
        <f t="shared" si="5"/>
        <v>4000</v>
      </c>
      <c r="G95" s="1525">
        <f>F95/E95</f>
        <v>1</v>
      </c>
      <c r="H95" s="1526"/>
      <c r="I95" s="1524">
        <f>I96</f>
        <v>4000</v>
      </c>
      <c r="J95" s="1524">
        <f>J96</f>
        <v>4000</v>
      </c>
      <c r="K95" s="1527">
        <f>J95/I95</f>
        <v>1</v>
      </c>
    </row>
    <row r="96" spans="1:11" s="890" customFormat="1" ht="22.5" customHeight="1">
      <c r="A96" s="1704"/>
      <c r="B96" s="1705">
        <v>85401</v>
      </c>
      <c r="C96" s="1706" t="s">
        <v>397</v>
      </c>
      <c r="D96" s="1531"/>
      <c r="E96" s="1531">
        <f t="shared" si="5"/>
        <v>4000</v>
      </c>
      <c r="F96" s="1531">
        <f t="shared" si="5"/>
        <v>4000</v>
      </c>
      <c r="G96" s="1532">
        <f>F96/E96</f>
        <v>1</v>
      </c>
      <c r="H96" s="1533"/>
      <c r="I96" s="1531">
        <f>I99</f>
        <v>4000</v>
      </c>
      <c r="J96" s="1531">
        <f>J99</f>
        <v>4000</v>
      </c>
      <c r="K96" s="1534">
        <f>J96/I96</f>
        <v>1</v>
      </c>
    </row>
    <row r="97" spans="1:11" s="890" customFormat="1" ht="37.5" customHeight="1">
      <c r="A97" s="1707"/>
      <c r="B97" s="1626"/>
      <c r="C97" s="1589" t="s">
        <v>324</v>
      </c>
      <c r="D97" s="1538"/>
      <c r="E97" s="1538">
        <f t="shared" si="5"/>
        <v>4000</v>
      </c>
      <c r="F97" s="1538">
        <f t="shared" si="5"/>
        <v>4000</v>
      </c>
      <c r="G97" s="1539">
        <f>F97/E97</f>
        <v>1</v>
      </c>
      <c r="H97" s="1540"/>
      <c r="I97" s="1538"/>
      <c r="J97" s="1538"/>
      <c r="K97" s="1541"/>
    </row>
    <row r="98" spans="1:11" s="890" customFormat="1" ht="57" customHeight="1">
      <c r="A98" s="1707"/>
      <c r="B98" s="1572">
        <v>2010</v>
      </c>
      <c r="C98" s="1543" t="s">
        <v>825</v>
      </c>
      <c r="D98" s="1544"/>
      <c r="E98" s="1544">
        <v>4000</v>
      </c>
      <c r="F98" s="1544">
        <v>4000</v>
      </c>
      <c r="G98" s="1701">
        <f>F98/E98</f>
        <v>1</v>
      </c>
      <c r="H98" s="1546"/>
      <c r="I98" s="1544"/>
      <c r="J98" s="1544"/>
      <c r="K98" s="1547"/>
    </row>
    <row r="99" spans="1:11" s="890" customFormat="1" ht="24" customHeight="1">
      <c r="A99" s="1606"/>
      <c r="B99" s="1606"/>
      <c r="C99" s="1700" t="s">
        <v>120</v>
      </c>
      <c r="D99" s="1665"/>
      <c r="E99" s="1665"/>
      <c r="F99" s="1665"/>
      <c r="G99" s="1666"/>
      <c r="H99" s="1667"/>
      <c r="I99" s="1665">
        <v>4000</v>
      </c>
      <c r="J99" s="1665">
        <v>4000</v>
      </c>
      <c r="K99" s="1611">
        <f>J99/I99</f>
        <v>1</v>
      </c>
    </row>
    <row r="100" spans="1:11" s="890" customFormat="1" ht="22.5" customHeight="1">
      <c r="A100" s="1565">
        <v>900</v>
      </c>
      <c r="B100" s="1566"/>
      <c r="C100" s="1523" t="s">
        <v>384</v>
      </c>
      <c r="D100" s="1524"/>
      <c r="E100" s="1524">
        <f aca="true" t="shared" si="6" ref="E100:F102">E101</f>
        <v>1756957</v>
      </c>
      <c r="F100" s="1524">
        <f t="shared" si="6"/>
        <v>1756957</v>
      </c>
      <c r="G100" s="1525">
        <f aca="true" t="shared" si="7" ref="G100:G110">F100/E100</f>
        <v>1</v>
      </c>
      <c r="H100" s="1526"/>
      <c r="I100" s="1524"/>
      <c r="J100" s="1524"/>
      <c r="K100" s="1527"/>
    </row>
    <row r="101" spans="1:11" s="890" customFormat="1" ht="22.5" customHeight="1">
      <c r="A101" s="1669"/>
      <c r="B101" s="1529">
        <v>90015</v>
      </c>
      <c r="C101" s="1530" t="s">
        <v>386</v>
      </c>
      <c r="D101" s="1531"/>
      <c r="E101" s="1531">
        <f t="shared" si="6"/>
        <v>1756957</v>
      </c>
      <c r="F101" s="1531">
        <f t="shared" si="6"/>
        <v>1756957</v>
      </c>
      <c r="G101" s="1532">
        <f t="shared" si="7"/>
        <v>1</v>
      </c>
      <c r="H101" s="1533"/>
      <c r="I101" s="1531"/>
      <c r="J101" s="1531"/>
      <c r="K101" s="1534"/>
    </row>
    <row r="102" spans="1:11" s="890" customFormat="1" ht="59.25" customHeight="1">
      <c r="A102" s="1535"/>
      <c r="B102" s="1626"/>
      <c r="C102" s="1589" t="s">
        <v>843</v>
      </c>
      <c r="D102" s="1538"/>
      <c r="E102" s="1538">
        <f t="shared" si="6"/>
        <v>1756957</v>
      </c>
      <c r="F102" s="1538">
        <f t="shared" si="6"/>
        <v>1756957</v>
      </c>
      <c r="G102" s="1539">
        <f t="shared" si="7"/>
        <v>1</v>
      </c>
      <c r="H102" s="1540"/>
      <c r="I102" s="1538"/>
      <c r="J102" s="1538"/>
      <c r="K102" s="1541"/>
    </row>
    <row r="103" spans="1:11" s="890" customFormat="1" ht="59.25" customHeight="1">
      <c r="A103" s="1535"/>
      <c r="B103" s="1548">
        <v>2010</v>
      </c>
      <c r="C103" s="1708" t="s">
        <v>829</v>
      </c>
      <c r="D103" s="1544"/>
      <c r="E103" s="1544">
        <v>1756957</v>
      </c>
      <c r="F103" s="1544">
        <v>1756957</v>
      </c>
      <c r="G103" s="1545">
        <f t="shared" si="7"/>
        <v>1</v>
      </c>
      <c r="H103" s="1546"/>
      <c r="I103" s="1544"/>
      <c r="J103" s="1544"/>
      <c r="K103" s="1547"/>
    </row>
    <row r="104" spans="1:11" s="890" customFormat="1" ht="69" customHeight="1" thickBot="1">
      <c r="A104" s="1709"/>
      <c r="B104" s="1710"/>
      <c r="C104" s="1711" t="s">
        <v>844</v>
      </c>
      <c r="D104" s="1712">
        <f>D105+D112+D123+D135+D148+D160+D184</f>
        <v>24601905</v>
      </c>
      <c r="E104" s="1712">
        <f>E105+E112+E123+E135+E148+E160+E184</f>
        <v>25202761</v>
      </c>
      <c r="F104" s="1712">
        <f>F105+F112+F123+F135+F148+F160+F184</f>
        <v>25887149</v>
      </c>
      <c r="G104" s="1713">
        <f t="shared" si="7"/>
        <v>1.0271552787410871</v>
      </c>
      <c r="H104" s="1712">
        <f>H105+H112+H123+H135+H148+H160+H184</f>
        <v>19128905</v>
      </c>
      <c r="I104" s="1712">
        <f>I105+I112+I123+I135+I148+I160+I184</f>
        <v>19729761</v>
      </c>
      <c r="J104" s="1712">
        <f>J105+J112+J123+J135+J148+J160+J184</f>
        <v>19159801</v>
      </c>
      <c r="K104" s="1714">
        <f>J104/I104</f>
        <v>0.9711116622243929</v>
      </c>
    </row>
    <row r="105" spans="1:11" s="890" customFormat="1" ht="22.5" customHeight="1" thickTop="1">
      <c r="A105" s="1521">
        <v>700</v>
      </c>
      <c r="B105" s="1522"/>
      <c r="C105" s="1630" t="s">
        <v>406</v>
      </c>
      <c r="D105" s="1715">
        <f>D106</f>
        <v>5774200</v>
      </c>
      <c r="E105" s="1715">
        <f>E106</f>
        <v>5989982</v>
      </c>
      <c r="F105" s="1715">
        <f>F106</f>
        <v>7141049</v>
      </c>
      <c r="G105" s="1716">
        <f t="shared" si="7"/>
        <v>1.192165352082861</v>
      </c>
      <c r="H105" s="1717">
        <f>H106</f>
        <v>338200</v>
      </c>
      <c r="I105" s="1715">
        <f>I106</f>
        <v>553982</v>
      </c>
      <c r="J105" s="1715">
        <f>J106</f>
        <v>553982</v>
      </c>
      <c r="K105" s="1718">
        <f>J105/I105</f>
        <v>1</v>
      </c>
    </row>
    <row r="106" spans="1:11" s="890" customFormat="1" ht="22.5" customHeight="1">
      <c r="A106" s="1704"/>
      <c r="B106" s="1706">
        <v>70005</v>
      </c>
      <c r="C106" s="1719" t="s">
        <v>425</v>
      </c>
      <c r="D106" s="1720">
        <f>D107+D109</f>
        <v>5774200</v>
      </c>
      <c r="E106" s="1720">
        <f>E107+E109</f>
        <v>5989982</v>
      </c>
      <c r="F106" s="1720">
        <f>F107+F109</f>
        <v>7141049</v>
      </c>
      <c r="G106" s="1721">
        <f t="shared" si="7"/>
        <v>1.192165352082861</v>
      </c>
      <c r="H106" s="1722">
        <f>H111</f>
        <v>338200</v>
      </c>
      <c r="I106" s="1720">
        <f>I111</f>
        <v>553982</v>
      </c>
      <c r="J106" s="1720">
        <f>J111</f>
        <v>553982</v>
      </c>
      <c r="K106" s="1723">
        <f>J106/I106</f>
        <v>1</v>
      </c>
    </row>
    <row r="107" spans="1:11" s="890" customFormat="1" ht="42" customHeight="1">
      <c r="A107" s="1724"/>
      <c r="B107" s="1725"/>
      <c r="C107" s="1607" t="s">
        <v>845</v>
      </c>
      <c r="D107" s="1576">
        <f>D108</f>
        <v>338200</v>
      </c>
      <c r="E107" s="1576">
        <f>E108</f>
        <v>553982</v>
      </c>
      <c r="F107" s="1576">
        <f>F108</f>
        <v>553982</v>
      </c>
      <c r="G107" s="1577">
        <f t="shared" si="7"/>
        <v>1</v>
      </c>
      <c r="H107" s="1578"/>
      <c r="I107" s="1576"/>
      <c r="J107" s="1576"/>
      <c r="K107" s="1726"/>
    </row>
    <row r="108" spans="1:11" s="890" customFormat="1" ht="62.25" customHeight="1">
      <c r="A108" s="1707"/>
      <c r="B108" s="1572">
        <v>2110</v>
      </c>
      <c r="C108" s="1543" t="s">
        <v>846</v>
      </c>
      <c r="D108" s="1544">
        <v>338200</v>
      </c>
      <c r="E108" s="1544">
        <v>553982</v>
      </c>
      <c r="F108" s="1544">
        <v>553982</v>
      </c>
      <c r="G108" s="1545">
        <f t="shared" si="7"/>
        <v>1</v>
      </c>
      <c r="H108" s="1546"/>
      <c r="I108" s="1544"/>
      <c r="J108" s="1544"/>
      <c r="K108" s="1547"/>
    </row>
    <row r="109" spans="1:11" s="890" customFormat="1" ht="39.75" customHeight="1">
      <c r="A109" s="1727"/>
      <c r="B109" s="1727"/>
      <c r="C109" s="1728" t="s">
        <v>847</v>
      </c>
      <c r="D109" s="1729">
        <f>D110</f>
        <v>5436000</v>
      </c>
      <c r="E109" s="1729">
        <f>E110</f>
        <v>5436000</v>
      </c>
      <c r="F109" s="1729">
        <f>F110</f>
        <v>6587067</v>
      </c>
      <c r="G109" s="1730">
        <f t="shared" si="7"/>
        <v>1.2117488962472407</v>
      </c>
      <c r="H109" s="1731"/>
      <c r="I109" s="1729"/>
      <c r="J109" s="1729"/>
      <c r="K109" s="1732"/>
    </row>
    <row r="110" spans="1:11" s="890" customFormat="1" ht="40.5" customHeight="1">
      <c r="A110" s="1727"/>
      <c r="B110" s="1548">
        <v>2350</v>
      </c>
      <c r="C110" s="1549" t="s">
        <v>827</v>
      </c>
      <c r="D110" s="1733">
        <v>5436000</v>
      </c>
      <c r="E110" s="1733">
        <v>5436000</v>
      </c>
      <c r="F110" s="1733">
        <v>6587067</v>
      </c>
      <c r="G110" s="1734">
        <f t="shared" si="7"/>
        <v>1.2117488962472407</v>
      </c>
      <c r="H110" s="1735"/>
      <c r="I110" s="1733"/>
      <c r="J110" s="1733"/>
      <c r="K110" s="1736"/>
    </row>
    <row r="111" spans="1:11" s="890" customFormat="1" ht="24" customHeight="1">
      <c r="A111" s="1737"/>
      <c r="B111" s="1738"/>
      <c r="C111" s="1560" t="s">
        <v>129</v>
      </c>
      <c r="D111" s="1608"/>
      <c r="E111" s="1608"/>
      <c r="F111" s="1608"/>
      <c r="G111" s="1609"/>
      <c r="H111" s="1610">
        <v>338200</v>
      </c>
      <c r="I111" s="1608">
        <v>553982</v>
      </c>
      <c r="J111" s="1608">
        <v>553982</v>
      </c>
      <c r="K111" s="1611">
        <f>J111/I111</f>
        <v>1</v>
      </c>
    </row>
    <row r="112" spans="1:11" s="890" customFormat="1" ht="22.5" customHeight="1">
      <c r="A112" s="1565">
        <v>710</v>
      </c>
      <c r="B112" s="1566"/>
      <c r="C112" s="1523" t="s">
        <v>393</v>
      </c>
      <c r="D112" s="1601">
        <f>D113+D117</f>
        <v>438760</v>
      </c>
      <c r="E112" s="1601">
        <f>E113+E117</f>
        <v>512006</v>
      </c>
      <c r="F112" s="1601">
        <f>F113+F117</f>
        <v>512003</v>
      </c>
      <c r="G112" s="1739">
        <v>0.9999</v>
      </c>
      <c r="H112" s="1740">
        <f>H113+H117</f>
        <v>438760</v>
      </c>
      <c r="I112" s="1601">
        <f>I113+I117</f>
        <v>512006</v>
      </c>
      <c r="J112" s="1601">
        <f>J113+J117</f>
        <v>512003</v>
      </c>
      <c r="K112" s="1741">
        <v>0.9999</v>
      </c>
    </row>
    <row r="113" spans="1:11" s="890" customFormat="1" ht="22.5" customHeight="1">
      <c r="A113" s="1704"/>
      <c r="B113" s="1706">
        <v>71013</v>
      </c>
      <c r="C113" s="1719" t="s">
        <v>426</v>
      </c>
      <c r="D113" s="1720">
        <f aca="true" t="shared" si="8" ref="D113:F114">D114</f>
        <v>90000</v>
      </c>
      <c r="E113" s="1720">
        <f t="shared" si="8"/>
        <v>90000</v>
      </c>
      <c r="F113" s="1720">
        <f t="shared" si="8"/>
        <v>90000</v>
      </c>
      <c r="G113" s="1721">
        <f>F113/E113</f>
        <v>1</v>
      </c>
      <c r="H113" s="1722">
        <f>H116</f>
        <v>90000</v>
      </c>
      <c r="I113" s="1720">
        <f>I116</f>
        <v>90000</v>
      </c>
      <c r="J113" s="1720">
        <f>J116</f>
        <v>90000</v>
      </c>
      <c r="K113" s="1723">
        <f>J113/I113</f>
        <v>1</v>
      </c>
    </row>
    <row r="114" spans="1:11" s="890" customFormat="1" ht="40.5" customHeight="1">
      <c r="A114" s="1707"/>
      <c r="B114" s="1742"/>
      <c r="C114" s="1589" t="s">
        <v>427</v>
      </c>
      <c r="D114" s="1743">
        <f t="shared" si="8"/>
        <v>90000</v>
      </c>
      <c r="E114" s="1743">
        <f t="shared" si="8"/>
        <v>90000</v>
      </c>
      <c r="F114" s="1743">
        <f t="shared" si="8"/>
        <v>90000</v>
      </c>
      <c r="G114" s="1744">
        <f>F114/E114</f>
        <v>1</v>
      </c>
      <c r="H114" s="1745"/>
      <c r="I114" s="1743"/>
      <c r="J114" s="1743"/>
      <c r="K114" s="1746"/>
    </row>
    <row r="115" spans="1:11" s="890" customFormat="1" ht="57.75" customHeight="1">
      <c r="A115" s="1707"/>
      <c r="B115" s="1542">
        <v>2110</v>
      </c>
      <c r="C115" s="1543" t="s">
        <v>846</v>
      </c>
      <c r="D115" s="1747">
        <v>90000</v>
      </c>
      <c r="E115" s="1747">
        <v>90000</v>
      </c>
      <c r="F115" s="1747">
        <v>90000</v>
      </c>
      <c r="G115" s="1748">
        <f>F115/E115</f>
        <v>1</v>
      </c>
      <c r="H115" s="1749"/>
      <c r="I115" s="1747"/>
      <c r="J115" s="1747"/>
      <c r="K115" s="1750"/>
    </row>
    <row r="116" spans="1:11" s="890" customFormat="1" ht="36">
      <c r="A116" s="1751"/>
      <c r="B116" s="1738"/>
      <c r="C116" s="1752" t="s">
        <v>130</v>
      </c>
      <c r="D116" s="1608"/>
      <c r="E116" s="1608"/>
      <c r="F116" s="1608"/>
      <c r="G116" s="1609"/>
      <c r="H116" s="1610">
        <v>90000</v>
      </c>
      <c r="I116" s="1608">
        <v>90000</v>
      </c>
      <c r="J116" s="1608">
        <v>90000</v>
      </c>
      <c r="K116" s="1611">
        <f>J116/I116</f>
        <v>1</v>
      </c>
    </row>
    <row r="117" spans="1:11" s="890" customFormat="1" ht="22.5" customHeight="1">
      <c r="A117" s="1704"/>
      <c r="B117" s="1753">
        <v>71015</v>
      </c>
      <c r="C117" s="1582" t="s">
        <v>428</v>
      </c>
      <c r="D117" s="1754">
        <f aca="true" t="shared" si="9" ref="D117:F118">D118</f>
        <v>348760</v>
      </c>
      <c r="E117" s="1754">
        <f t="shared" si="9"/>
        <v>422006</v>
      </c>
      <c r="F117" s="1754">
        <f t="shared" si="9"/>
        <v>422003</v>
      </c>
      <c r="G117" s="1755">
        <v>0.9999</v>
      </c>
      <c r="H117" s="1756">
        <f>SUM(H120:H122)</f>
        <v>348760</v>
      </c>
      <c r="I117" s="1754">
        <f>SUM(I120:I122)</f>
        <v>422006</v>
      </c>
      <c r="J117" s="1754">
        <f>SUM(J120:J122)</f>
        <v>422003</v>
      </c>
      <c r="K117" s="1757">
        <v>0.9999</v>
      </c>
    </row>
    <row r="118" spans="1:11" s="890" customFormat="1" ht="43.5" customHeight="1">
      <c r="A118" s="1707"/>
      <c r="B118" s="1758"/>
      <c r="C118" s="1759" t="s">
        <v>429</v>
      </c>
      <c r="D118" s="1743">
        <f t="shared" si="9"/>
        <v>348760</v>
      </c>
      <c r="E118" s="1743">
        <f t="shared" si="9"/>
        <v>422006</v>
      </c>
      <c r="F118" s="1743">
        <f t="shared" si="9"/>
        <v>422003</v>
      </c>
      <c r="G118" s="1744">
        <v>0.9999</v>
      </c>
      <c r="H118" s="1745"/>
      <c r="I118" s="1743"/>
      <c r="J118" s="1743"/>
      <c r="K118" s="1746"/>
    </row>
    <row r="119" spans="1:11" s="890" customFormat="1" ht="59.25" customHeight="1">
      <c r="A119" s="1707"/>
      <c r="B119" s="1542">
        <v>2110</v>
      </c>
      <c r="C119" s="1543" t="s">
        <v>846</v>
      </c>
      <c r="D119" s="1747">
        <v>348760</v>
      </c>
      <c r="E119" s="1747">
        <v>422006</v>
      </c>
      <c r="F119" s="1747">
        <v>422003</v>
      </c>
      <c r="G119" s="1748">
        <v>0.9999</v>
      </c>
      <c r="H119" s="1749"/>
      <c r="I119" s="1747"/>
      <c r="J119" s="1747"/>
      <c r="K119" s="1750"/>
    </row>
    <row r="120" spans="1:11" s="890" customFormat="1" ht="21.75" customHeight="1">
      <c r="A120" s="1509"/>
      <c r="B120" s="1626"/>
      <c r="C120" s="1760" t="s">
        <v>1033</v>
      </c>
      <c r="D120" s="1618"/>
      <c r="E120" s="1618"/>
      <c r="F120" s="1618"/>
      <c r="G120" s="1687"/>
      <c r="H120" s="1620">
        <v>243900</v>
      </c>
      <c r="I120" s="1618">
        <v>271937</v>
      </c>
      <c r="J120" s="1618">
        <v>271936</v>
      </c>
      <c r="K120" s="1629">
        <v>0.9999</v>
      </c>
    </row>
    <row r="121" spans="1:11" s="890" customFormat="1" ht="21.75" customHeight="1">
      <c r="A121" s="1509"/>
      <c r="B121" s="1509"/>
      <c r="C121" s="1761" t="s">
        <v>1034</v>
      </c>
      <c r="D121" s="1642"/>
      <c r="E121" s="1642"/>
      <c r="F121" s="1642"/>
      <c r="G121" s="1643"/>
      <c r="H121" s="1644">
        <v>56860</v>
      </c>
      <c r="I121" s="1642">
        <v>90859</v>
      </c>
      <c r="J121" s="1642">
        <v>90857</v>
      </c>
      <c r="K121" s="1762">
        <v>0.9999</v>
      </c>
    </row>
    <row r="122" spans="1:11" s="890" customFormat="1" ht="21.75" customHeight="1">
      <c r="A122" s="1509"/>
      <c r="B122" s="1509"/>
      <c r="C122" s="1761" t="s">
        <v>1035</v>
      </c>
      <c r="D122" s="1642"/>
      <c r="E122" s="1642"/>
      <c r="F122" s="1642"/>
      <c r="G122" s="1643"/>
      <c r="H122" s="1644">
        <v>48000</v>
      </c>
      <c r="I122" s="1642">
        <v>59210</v>
      </c>
      <c r="J122" s="1642">
        <v>59210</v>
      </c>
      <c r="K122" s="1645">
        <f>J122/I122</f>
        <v>1</v>
      </c>
    </row>
    <row r="123" spans="1:11" s="890" customFormat="1" ht="22.5" customHeight="1">
      <c r="A123" s="1521">
        <v>750</v>
      </c>
      <c r="B123" s="1522"/>
      <c r="C123" s="1630" t="s">
        <v>391</v>
      </c>
      <c r="D123" s="1715">
        <f>D124+D131</f>
        <v>926945</v>
      </c>
      <c r="E123" s="1715">
        <f>E124+E131</f>
        <v>943865</v>
      </c>
      <c r="F123" s="1715">
        <f>F124+F131</f>
        <v>943865</v>
      </c>
      <c r="G123" s="1716">
        <f>F123/E123</f>
        <v>1</v>
      </c>
      <c r="H123" s="1717">
        <f>H124+H131</f>
        <v>926945</v>
      </c>
      <c r="I123" s="1715">
        <f>I124+I131</f>
        <v>943865</v>
      </c>
      <c r="J123" s="1715">
        <f>J124+J131</f>
        <v>943865</v>
      </c>
      <c r="K123" s="1718">
        <f>J123/I123</f>
        <v>1</v>
      </c>
    </row>
    <row r="124" spans="1:11" s="890" customFormat="1" ht="22.5" customHeight="1">
      <c r="A124" s="1704"/>
      <c r="B124" s="1753">
        <v>75011</v>
      </c>
      <c r="C124" s="1719" t="s">
        <v>413</v>
      </c>
      <c r="D124" s="1720">
        <f aca="true" t="shared" si="10" ref="D124:F125">D125</f>
        <v>809945</v>
      </c>
      <c r="E124" s="1720">
        <f t="shared" si="10"/>
        <v>826865</v>
      </c>
      <c r="F124" s="1720">
        <f t="shared" si="10"/>
        <v>826865</v>
      </c>
      <c r="G124" s="1721">
        <f>F124/E124</f>
        <v>1</v>
      </c>
      <c r="H124" s="1722">
        <f>SUM(H127:H129)</f>
        <v>809945</v>
      </c>
      <c r="I124" s="1720">
        <f>SUM(I127:I129)</f>
        <v>826865</v>
      </c>
      <c r="J124" s="1720">
        <f>SUM(J127:J129)</f>
        <v>826865</v>
      </c>
      <c r="K124" s="1723">
        <f>J124/I124</f>
        <v>1</v>
      </c>
    </row>
    <row r="125" spans="1:11" s="890" customFormat="1" ht="39.75" customHeight="1">
      <c r="A125" s="1707"/>
      <c r="B125" s="1763"/>
      <c r="C125" s="1759" t="s">
        <v>500</v>
      </c>
      <c r="D125" s="1743">
        <f t="shared" si="10"/>
        <v>809945</v>
      </c>
      <c r="E125" s="1743">
        <f t="shared" si="10"/>
        <v>826865</v>
      </c>
      <c r="F125" s="1743">
        <f t="shared" si="10"/>
        <v>826865</v>
      </c>
      <c r="G125" s="1744">
        <f>F125/E125</f>
        <v>1</v>
      </c>
      <c r="H125" s="1745"/>
      <c r="I125" s="1743"/>
      <c r="J125" s="1743"/>
      <c r="K125" s="1746"/>
    </row>
    <row r="126" spans="1:11" s="890" customFormat="1" ht="60" customHeight="1">
      <c r="A126" s="1707"/>
      <c r="B126" s="1542">
        <v>2110</v>
      </c>
      <c r="C126" s="1543" t="s">
        <v>846</v>
      </c>
      <c r="D126" s="1747">
        <v>809945</v>
      </c>
      <c r="E126" s="1747">
        <v>826865</v>
      </c>
      <c r="F126" s="1747">
        <v>826865</v>
      </c>
      <c r="G126" s="1748">
        <f>F126/E126</f>
        <v>1</v>
      </c>
      <c r="H126" s="1749"/>
      <c r="I126" s="1747"/>
      <c r="J126" s="1747"/>
      <c r="K126" s="1750"/>
    </row>
    <row r="127" spans="1:11" s="890" customFormat="1" ht="21.75" customHeight="1">
      <c r="A127" s="1550"/>
      <c r="B127" s="1550"/>
      <c r="C127" s="1550" t="s">
        <v>1033</v>
      </c>
      <c r="D127" s="1551"/>
      <c r="E127" s="1551"/>
      <c r="F127" s="1551"/>
      <c r="G127" s="1552"/>
      <c r="H127" s="1553">
        <v>648300</v>
      </c>
      <c r="I127" s="1551">
        <v>665220</v>
      </c>
      <c r="J127" s="1551">
        <v>665220</v>
      </c>
      <c r="K127" s="1554">
        <f>J127/I127</f>
        <v>1</v>
      </c>
    </row>
    <row r="128" spans="1:11" s="890" customFormat="1" ht="21.75" customHeight="1">
      <c r="A128" s="1550"/>
      <c r="B128" s="1550"/>
      <c r="C128" s="1555" t="s">
        <v>1034</v>
      </c>
      <c r="D128" s="1556"/>
      <c r="E128" s="1556"/>
      <c r="F128" s="1556"/>
      <c r="G128" s="1557"/>
      <c r="H128" s="1558">
        <v>34145</v>
      </c>
      <c r="I128" s="1556">
        <v>34145</v>
      </c>
      <c r="J128" s="1556">
        <v>34145</v>
      </c>
      <c r="K128" s="1559">
        <f>J128/I128</f>
        <v>1</v>
      </c>
    </row>
    <row r="129" spans="1:11" s="890" customFormat="1" ht="21.75" customHeight="1">
      <c r="A129" s="1560"/>
      <c r="B129" s="1560"/>
      <c r="C129" s="1560" t="s">
        <v>1035</v>
      </c>
      <c r="D129" s="1561"/>
      <c r="E129" s="1561"/>
      <c r="F129" s="1561"/>
      <c r="G129" s="1562"/>
      <c r="H129" s="1563">
        <v>127500</v>
      </c>
      <c r="I129" s="1561">
        <v>127500</v>
      </c>
      <c r="J129" s="1561">
        <v>127500</v>
      </c>
      <c r="K129" s="1564">
        <f>J129/I129</f>
        <v>1</v>
      </c>
    </row>
    <row r="130" spans="1:11" ht="21.7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s="890" customFormat="1" ht="22.5" customHeight="1">
      <c r="A131" s="1704"/>
      <c r="B131" s="1753">
        <v>75045</v>
      </c>
      <c r="C131" s="1582" t="s">
        <v>430</v>
      </c>
      <c r="D131" s="1754">
        <f aca="true" t="shared" si="11" ref="D131:F132">D132</f>
        <v>117000</v>
      </c>
      <c r="E131" s="1754">
        <f t="shared" si="11"/>
        <v>117000</v>
      </c>
      <c r="F131" s="1754">
        <f t="shared" si="11"/>
        <v>117000</v>
      </c>
      <c r="G131" s="1755">
        <f>F131/E131</f>
        <v>1</v>
      </c>
      <c r="H131" s="1756">
        <f>H134</f>
        <v>117000</v>
      </c>
      <c r="I131" s="1754">
        <f>I134</f>
        <v>117000</v>
      </c>
      <c r="J131" s="1754">
        <f>J134</f>
        <v>117000</v>
      </c>
      <c r="K131" s="1757">
        <f>J131/I131</f>
        <v>1</v>
      </c>
    </row>
    <row r="132" spans="1:11" s="890" customFormat="1" ht="37.5" customHeight="1">
      <c r="A132" s="1704"/>
      <c r="B132" s="1764"/>
      <c r="C132" s="1759" t="s">
        <v>431</v>
      </c>
      <c r="D132" s="1743">
        <f t="shared" si="11"/>
        <v>117000</v>
      </c>
      <c r="E132" s="1743">
        <f t="shared" si="11"/>
        <v>117000</v>
      </c>
      <c r="F132" s="1743">
        <f t="shared" si="11"/>
        <v>117000</v>
      </c>
      <c r="G132" s="1744">
        <f>F132/E132</f>
        <v>1</v>
      </c>
      <c r="H132" s="1745"/>
      <c r="I132" s="1743"/>
      <c r="J132" s="1743"/>
      <c r="K132" s="1746"/>
    </row>
    <row r="133" spans="1:11" s="890" customFormat="1" ht="60" customHeight="1">
      <c r="A133" s="1707"/>
      <c r="B133" s="1542">
        <v>2110</v>
      </c>
      <c r="C133" s="1543" t="s">
        <v>846</v>
      </c>
      <c r="D133" s="1733">
        <v>117000</v>
      </c>
      <c r="E133" s="1733">
        <v>117000</v>
      </c>
      <c r="F133" s="1733">
        <v>117000</v>
      </c>
      <c r="G133" s="1734">
        <f>F133/E133</f>
        <v>1</v>
      </c>
      <c r="H133" s="1735"/>
      <c r="I133" s="1733"/>
      <c r="J133" s="1733"/>
      <c r="K133" s="1736"/>
    </row>
    <row r="134" spans="1:11" s="890" customFormat="1" ht="24" customHeight="1">
      <c r="A134" s="1509"/>
      <c r="B134" s="1509"/>
      <c r="C134" s="1636" t="s">
        <v>131</v>
      </c>
      <c r="D134" s="1642"/>
      <c r="E134" s="1642"/>
      <c r="F134" s="1642"/>
      <c r="G134" s="1643"/>
      <c r="H134" s="1644">
        <v>117000</v>
      </c>
      <c r="I134" s="1642">
        <v>117000</v>
      </c>
      <c r="J134" s="1642">
        <v>117000</v>
      </c>
      <c r="K134" s="1645">
        <f>J134/I134</f>
        <v>1</v>
      </c>
    </row>
    <row r="135" spans="1:11" s="890" customFormat="1" ht="36" customHeight="1">
      <c r="A135" s="1521">
        <v>754</v>
      </c>
      <c r="B135" s="1522"/>
      <c r="C135" s="1630" t="s">
        <v>394</v>
      </c>
      <c r="D135" s="1715">
        <f>D136</f>
        <v>11750000</v>
      </c>
      <c r="E135" s="1715">
        <f>E136</f>
        <v>11942000</v>
      </c>
      <c r="F135" s="1715">
        <f>F136</f>
        <v>12011057</v>
      </c>
      <c r="G135" s="1716">
        <f aca="true" t="shared" si="12" ref="G135:G140">F135/E135</f>
        <v>1.0057826997152906</v>
      </c>
      <c r="H135" s="1717">
        <f>H136</f>
        <v>11746000</v>
      </c>
      <c r="I135" s="1715">
        <f>I136</f>
        <v>11938000</v>
      </c>
      <c r="J135" s="1715">
        <f>J136</f>
        <v>11938000</v>
      </c>
      <c r="K135" s="1718">
        <f>J135/I135</f>
        <v>1</v>
      </c>
    </row>
    <row r="136" spans="1:11" s="890" customFormat="1" ht="22.5" customHeight="1">
      <c r="A136" s="1704"/>
      <c r="B136" s="1753">
        <v>75411</v>
      </c>
      <c r="C136" s="1582" t="s">
        <v>432</v>
      </c>
      <c r="D136" s="1754">
        <f>D137+D139</f>
        <v>11750000</v>
      </c>
      <c r="E136" s="1754">
        <f>E137+E139</f>
        <v>11942000</v>
      </c>
      <c r="F136" s="1754">
        <f>F137+F139+F141+F143</f>
        <v>12011057</v>
      </c>
      <c r="G136" s="1755">
        <f t="shared" si="12"/>
        <v>1.0057826997152906</v>
      </c>
      <c r="H136" s="1756">
        <f>SUM(H145:H147)</f>
        <v>11746000</v>
      </c>
      <c r="I136" s="1754">
        <f>SUM(I145:I147)</f>
        <v>11938000</v>
      </c>
      <c r="J136" s="1754">
        <f>SUM(J145:J147)</f>
        <v>11938000</v>
      </c>
      <c r="K136" s="1757">
        <f>J136/I136</f>
        <v>1</v>
      </c>
    </row>
    <row r="137" spans="1:11" s="890" customFormat="1" ht="36.75" customHeight="1">
      <c r="A137" s="1704"/>
      <c r="B137" s="1764"/>
      <c r="C137" s="1759" t="s">
        <v>488</v>
      </c>
      <c r="D137" s="1743">
        <f>D138</f>
        <v>11746000</v>
      </c>
      <c r="E137" s="1743">
        <f>E138</f>
        <v>11938000</v>
      </c>
      <c r="F137" s="1743">
        <f>F138</f>
        <v>11938000</v>
      </c>
      <c r="G137" s="1744">
        <f t="shared" si="12"/>
        <v>1</v>
      </c>
      <c r="H137" s="1745"/>
      <c r="I137" s="1743"/>
      <c r="J137" s="1743"/>
      <c r="K137" s="1746"/>
    </row>
    <row r="138" spans="1:11" s="890" customFormat="1" ht="57.75" customHeight="1">
      <c r="A138" s="1707"/>
      <c r="B138" s="1542">
        <v>2110</v>
      </c>
      <c r="C138" s="1543" t="s">
        <v>846</v>
      </c>
      <c r="D138" s="1733">
        <v>11746000</v>
      </c>
      <c r="E138" s="1733">
        <v>11938000</v>
      </c>
      <c r="F138" s="1733">
        <v>11938000</v>
      </c>
      <c r="G138" s="1734">
        <f t="shared" si="12"/>
        <v>1</v>
      </c>
      <c r="H138" s="1735"/>
      <c r="I138" s="1733"/>
      <c r="J138" s="1733"/>
      <c r="K138" s="1736"/>
    </row>
    <row r="139" spans="1:11" s="890" customFormat="1" ht="23.25" customHeight="1">
      <c r="A139" s="1751"/>
      <c r="B139" s="1765"/>
      <c r="C139" s="1728" t="s">
        <v>848</v>
      </c>
      <c r="D139" s="1729">
        <f>D140</f>
        <v>4000</v>
      </c>
      <c r="E139" s="1729">
        <f>E140</f>
        <v>4000</v>
      </c>
      <c r="F139" s="1729">
        <f>F140</f>
        <v>1756</v>
      </c>
      <c r="G139" s="1730">
        <f t="shared" si="12"/>
        <v>0.439</v>
      </c>
      <c r="H139" s="1731"/>
      <c r="I139" s="1729"/>
      <c r="J139" s="1729"/>
      <c r="K139" s="1732"/>
    </row>
    <row r="140" spans="1:11" s="890" customFormat="1" ht="40.5" customHeight="1">
      <c r="A140" s="1727"/>
      <c r="B140" s="1548">
        <v>2350</v>
      </c>
      <c r="C140" s="1594" t="s">
        <v>827</v>
      </c>
      <c r="D140" s="1747">
        <v>4000</v>
      </c>
      <c r="E140" s="1747">
        <v>4000</v>
      </c>
      <c r="F140" s="1747">
        <v>1756</v>
      </c>
      <c r="G140" s="1748">
        <f t="shared" si="12"/>
        <v>0.439</v>
      </c>
      <c r="H140" s="1749"/>
      <c r="I140" s="1747"/>
      <c r="J140" s="1747"/>
      <c r="K140" s="1750"/>
    </row>
    <row r="141" spans="1:11" s="890" customFormat="1" ht="21.75" customHeight="1">
      <c r="A141" s="1751"/>
      <c r="B141" s="1765"/>
      <c r="C141" s="1589" t="s">
        <v>864</v>
      </c>
      <c r="D141" s="1743"/>
      <c r="E141" s="1743"/>
      <c r="F141" s="1743">
        <f>F142</f>
        <v>64365</v>
      </c>
      <c r="G141" s="1744"/>
      <c r="H141" s="1745"/>
      <c r="I141" s="1743"/>
      <c r="J141" s="1743"/>
      <c r="K141" s="1746"/>
    </row>
    <row r="142" spans="1:11" s="890" customFormat="1" ht="39" customHeight="1">
      <c r="A142" s="1727"/>
      <c r="B142" s="1548">
        <v>2350</v>
      </c>
      <c r="C142" s="1594" t="s">
        <v>827</v>
      </c>
      <c r="D142" s="1747"/>
      <c r="E142" s="1747"/>
      <c r="F142" s="1747">
        <v>64365</v>
      </c>
      <c r="G142" s="1748"/>
      <c r="H142" s="1749"/>
      <c r="I142" s="1747"/>
      <c r="J142" s="1747"/>
      <c r="K142" s="1750"/>
    </row>
    <row r="143" spans="1:11" s="890" customFormat="1" ht="24" customHeight="1">
      <c r="A143" s="1751"/>
      <c r="B143" s="1765"/>
      <c r="C143" s="1589" t="s">
        <v>891</v>
      </c>
      <c r="D143" s="1743"/>
      <c r="E143" s="1743"/>
      <c r="F143" s="1743">
        <f>F144</f>
        <v>6936</v>
      </c>
      <c r="G143" s="1744"/>
      <c r="H143" s="1745"/>
      <c r="I143" s="1743"/>
      <c r="J143" s="1743"/>
      <c r="K143" s="1746"/>
    </row>
    <row r="144" spans="1:11" s="890" customFormat="1" ht="40.5" customHeight="1">
      <c r="A144" s="1727"/>
      <c r="B144" s="1548">
        <v>2350</v>
      </c>
      <c r="C144" s="1594" t="s">
        <v>827</v>
      </c>
      <c r="D144" s="1747"/>
      <c r="E144" s="1747"/>
      <c r="F144" s="1747">
        <v>6936</v>
      </c>
      <c r="G144" s="1748"/>
      <c r="H144" s="1749"/>
      <c r="I144" s="1747"/>
      <c r="J144" s="1747"/>
      <c r="K144" s="1750"/>
    </row>
    <row r="145" spans="1:11" s="890" customFormat="1" ht="21.75" customHeight="1">
      <c r="A145" s="1509"/>
      <c r="B145" s="1509"/>
      <c r="C145" s="1550" t="s">
        <v>1033</v>
      </c>
      <c r="D145" s="1766"/>
      <c r="E145" s="1766"/>
      <c r="F145" s="1766"/>
      <c r="G145" s="1767"/>
      <c r="H145" s="1768">
        <v>8849600</v>
      </c>
      <c r="I145" s="1766">
        <v>8836540</v>
      </c>
      <c r="J145" s="1766">
        <v>8836540</v>
      </c>
      <c r="K145" s="1769">
        <f>J145/I145</f>
        <v>1</v>
      </c>
    </row>
    <row r="146" spans="1:11" s="890" customFormat="1" ht="21.75" customHeight="1">
      <c r="A146" s="1509"/>
      <c r="B146" s="1509"/>
      <c r="C146" s="1555" t="s">
        <v>1034</v>
      </c>
      <c r="D146" s="1770"/>
      <c r="E146" s="1770"/>
      <c r="F146" s="1770"/>
      <c r="G146" s="1771"/>
      <c r="H146" s="1772">
        <v>2867200</v>
      </c>
      <c r="I146" s="1770">
        <v>3092312</v>
      </c>
      <c r="J146" s="1770">
        <v>3092312</v>
      </c>
      <c r="K146" s="1762">
        <f>J146/I146</f>
        <v>1</v>
      </c>
    </row>
    <row r="147" spans="1:11" s="890" customFormat="1" ht="21.75" customHeight="1">
      <c r="A147" s="1606"/>
      <c r="B147" s="1606"/>
      <c r="C147" s="1560" t="s">
        <v>1035</v>
      </c>
      <c r="D147" s="1608"/>
      <c r="E147" s="1608"/>
      <c r="F147" s="1608"/>
      <c r="G147" s="1609"/>
      <c r="H147" s="1610">
        <v>29200</v>
      </c>
      <c r="I147" s="1608">
        <v>9148</v>
      </c>
      <c r="J147" s="1608">
        <v>9148</v>
      </c>
      <c r="K147" s="1611">
        <f>J147/I147</f>
        <v>1</v>
      </c>
    </row>
    <row r="148" spans="1:11" s="890" customFormat="1" ht="22.5" customHeight="1">
      <c r="A148" s="1565">
        <v>851</v>
      </c>
      <c r="B148" s="1566"/>
      <c r="C148" s="1523" t="s">
        <v>350</v>
      </c>
      <c r="D148" s="1601">
        <f>D149+D153</f>
        <v>2903000</v>
      </c>
      <c r="E148" s="1601">
        <f>E149+E153</f>
        <v>3019064</v>
      </c>
      <c r="F148" s="1601">
        <f>F149+F153</f>
        <v>2465683</v>
      </c>
      <c r="G148" s="1739">
        <f>F148/E148</f>
        <v>0.8167044487960506</v>
      </c>
      <c r="H148" s="1740">
        <f>H149+H153</f>
        <v>2903000</v>
      </c>
      <c r="I148" s="1601">
        <f>I149+I153</f>
        <v>3019064</v>
      </c>
      <c r="J148" s="1601">
        <f>J149+J153</f>
        <v>2465683</v>
      </c>
      <c r="K148" s="1741">
        <f>J148/I148</f>
        <v>0.8167044487960506</v>
      </c>
    </row>
    <row r="149" spans="1:11" s="890" customFormat="1" ht="22.5" customHeight="1">
      <c r="A149" s="1773"/>
      <c r="B149" s="1529">
        <v>85141</v>
      </c>
      <c r="C149" s="1530" t="s">
        <v>527</v>
      </c>
      <c r="D149" s="1774"/>
      <c r="E149" s="1774">
        <f>E150</f>
        <v>116064</v>
      </c>
      <c r="F149" s="1774">
        <f>F150</f>
        <v>116064</v>
      </c>
      <c r="G149" s="1775">
        <f>F149/E149</f>
        <v>1</v>
      </c>
      <c r="H149" s="1776"/>
      <c r="I149" s="1776">
        <f>I152</f>
        <v>116064</v>
      </c>
      <c r="J149" s="1776">
        <f>J152</f>
        <v>116064</v>
      </c>
      <c r="K149" s="1777">
        <f>J149/I149</f>
        <v>1</v>
      </c>
    </row>
    <row r="150" spans="1:11" s="890" customFormat="1" ht="43.5" customHeight="1">
      <c r="A150" s="1707"/>
      <c r="B150" s="1742"/>
      <c r="C150" s="1778" t="s">
        <v>528</v>
      </c>
      <c r="D150" s="1779"/>
      <c r="E150" s="1779">
        <f>E151</f>
        <v>116064</v>
      </c>
      <c r="F150" s="1779">
        <f>F151</f>
        <v>116064</v>
      </c>
      <c r="G150" s="1780">
        <f>F150/E150</f>
        <v>1</v>
      </c>
      <c r="H150" s="1781"/>
      <c r="I150" s="1779"/>
      <c r="J150" s="1779"/>
      <c r="K150" s="1782"/>
    </row>
    <row r="151" spans="1:11" s="890" customFormat="1" ht="60" customHeight="1">
      <c r="A151" s="1707"/>
      <c r="B151" s="1542">
        <v>2110</v>
      </c>
      <c r="C151" s="1543" t="s">
        <v>846</v>
      </c>
      <c r="D151" s="1733"/>
      <c r="E151" s="1733">
        <v>116064</v>
      </c>
      <c r="F151" s="1733">
        <v>116064</v>
      </c>
      <c r="G151" s="1734">
        <f>F151/E151</f>
        <v>1</v>
      </c>
      <c r="H151" s="1735"/>
      <c r="I151" s="1733"/>
      <c r="J151" s="1733"/>
      <c r="K151" s="1736"/>
    </row>
    <row r="152" spans="1:11" s="890" customFormat="1" ht="39" customHeight="1">
      <c r="A152" s="1724"/>
      <c r="B152" s="1783"/>
      <c r="C152" s="1607" t="s">
        <v>132</v>
      </c>
      <c r="D152" s="1784"/>
      <c r="E152" s="1784"/>
      <c r="F152" s="1784"/>
      <c r="G152" s="1785"/>
      <c r="H152" s="1786"/>
      <c r="I152" s="1784">
        <v>116064</v>
      </c>
      <c r="J152" s="1784">
        <v>116064</v>
      </c>
      <c r="K152" s="1787">
        <f>J152/I152</f>
        <v>1</v>
      </c>
    </row>
    <row r="153" spans="1:11" s="890" customFormat="1" ht="57.75" customHeight="1">
      <c r="A153" s="1788"/>
      <c r="B153" s="1753">
        <v>85156</v>
      </c>
      <c r="C153" s="1582" t="s">
        <v>516</v>
      </c>
      <c r="D153" s="1754">
        <f>D154+D156</f>
        <v>2903000</v>
      </c>
      <c r="E153" s="1754">
        <f>E154+E156</f>
        <v>2903000</v>
      </c>
      <c r="F153" s="1754">
        <f>F154+F156</f>
        <v>2349619</v>
      </c>
      <c r="G153" s="1755">
        <f>F153/E153</f>
        <v>0.8093761625904237</v>
      </c>
      <c r="H153" s="1756">
        <f>SUM(H158:H159)</f>
        <v>2903000</v>
      </c>
      <c r="I153" s="1754">
        <f>SUM(I158:I159)</f>
        <v>2903000</v>
      </c>
      <c r="J153" s="1754">
        <f>SUM(J158:J159)</f>
        <v>2349619</v>
      </c>
      <c r="K153" s="1757">
        <f>J153/I153</f>
        <v>0.8093761625904237</v>
      </c>
    </row>
    <row r="154" spans="1:11" s="890" customFormat="1" ht="63" customHeight="1">
      <c r="A154" s="1707"/>
      <c r="B154" s="1742"/>
      <c r="C154" s="1778" t="s">
        <v>849</v>
      </c>
      <c r="D154" s="1779">
        <f>D155</f>
        <v>118000</v>
      </c>
      <c r="E154" s="1779">
        <f>E155</f>
        <v>118000</v>
      </c>
      <c r="F154" s="1779">
        <f>F155</f>
        <v>109228</v>
      </c>
      <c r="G154" s="1780">
        <f>F154/E154</f>
        <v>0.9256610169491526</v>
      </c>
      <c r="H154" s="1781"/>
      <c r="I154" s="1779"/>
      <c r="J154" s="1779"/>
      <c r="K154" s="1782"/>
    </row>
    <row r="155" spans="1:11" s="890" customFormat="1" ht="59.25" customHeight="1">
      <c r="A155" s="1707"/>
      <c r="B155" s="1542">
        <v>2110</v>
      </c>
      <c r="C155" s="1543" t="s">
        <v>846</v>
      </c>
      <c r="D155" s="1733">
        <v>118000</v>
      </c>
      <c r="E155" s="1733">
        <v>118000</v>
      </c>
      <c r="F155" s="1733">
        <v>109228</v>
      </c>
      <c r="G155" s="1734">
        <f>F155/E155</f>
        <v>0.9256610169491526</v>
      </c>
      <c r="H155" s="1735"/>
      <c r="I155" s="1733"/>
      <c r="J155" s="1733"/>
      <c r="K155" s="1736"/>
    </row>
    <row r="156" spans="1:11" s="890" customFormat="1" ht="54.75">
      <c r="A156" s="1707"/>
      <c r="B156" s="1742"/>
      <c r="C156" s="1728" t="s">
        <v>850</v>
      </c>
      <c r="D156" s="1729">
        <f>D157</f>
        <v>2785000</v>
      </c>
      <c r="E156" s="1729">
        <f>E157</f>
        <v>2785000</v>
      </c>
      <c r="F156" s="1729">
        <f>F157</f>
        <v>2240391</v>
      </c>
      <c r="G156" s="1730">
        <f>F156/E156</f>
        <v>0.8044491921005386</v>
      </c>
      <c r="H156" s="1731"/>
      <c r="I156" s="1729"/>
      <c r="J156" s="1729"/>
      <c r="K156" s="1732"/>
    </row>
    <row r="157" spans="1:11" s="890" customFormat="1" ht="57" customHeight="1">
      <c r="A157" s="1707"/>
      <c r="B157" s="1542">
        <v>2110</v>
      </c>
      <c r="C157" s="1543" t="s">
        <v>846</v>
      </c>
      <c r="D157" s="1733">
        <v>2785000</v>
      </c>
      <c r="E157" s="1733">
        <v>2785000</v>
      </c>
      <c r="F157" s="1733">
        <v>2240391</v>
      </c>
      <c r="G157" s="1734">
        <f>F157/E157</f>
        <v>0.8044491921005386</v>
      </c>
      <c r="H157" s="1789"/>
      <c r="I157" s="1790"/>
      <c r="J157" s="1790"/>
      <c r="K157" s="1791"/>
    </row>
    <row r="158" spans="1:11" s="890" customFormat="1" ht="40.5" customHeight="1">
      <c r="A158" s="1751"/>
      <c r="B158" s="1765"/>
      <c r="C158" s="1636" t="s">
        <v>851</v>
      </c>
      <c r="D158" s="1642"/>
      <c r="E158" s="1642"/>
      <c r="F158" s="1642"/>
      <c r="G158" s="1643"/>
      <c r="H158" s="1644">
        <v>118000</v>
      </c>
      <c r="I158" s="1642">
        <v>118000</v>
      </c>
      <c r="J158" s="1642">
        <v>109228</v>
      </c>
      <c r="K158" s="1645">
        <f>J158/I158</f>
        <v>0.9256610169491526</v>
      </c>
    </row>
    <row r="159" spans="1:11" s="890" customFormat="1" ht="42" customHeight="1">
      <c r="A159" s="1737"/>
      <c r="B159" s="1738"/>
      <c r="C159" s="1792" t="s">
        <v>852</v>
      </c>
      <c r="D159" s="1608"/>
      <c r="E159" s="1608"/>
      <c r="F159" s="1608"/>
      <c r="G159" s="1609"/>
      <c r="H159" s="1610">
        <v>2785000</v>
      </c>
      <c r="I159" s="1608">
        <v>2785000</v>
      </c>
      <c r="J159" s="1608">
        <v>2240391</v>
      </c>
      <c r="K159" s="1611">
        <f>J159/I159</f>
        <v>0.8044491921005386</v>
      </c>
    </row>
    <row r="160" spans="1:11" s="890" customFormat="1" ht="21.75" customHeight="1">
      <c r="A160" s="1565">
        <v>852</v>
      </c>
      <c r="B160" s="1566"/>
      <c r="C160" s="1523" t="s">
        <v>463</v>
      </c>
      <c r="D160" s="1601">
        <f>D161+D172+D176+D180</f>
        <v>2300000</v>
      </c>
      <c r="E160" s="1601">
        <f>E161+E172+E176+E180</f>
        <v>2213434</v>
      </c>
      <c r="F160" s="1601">
        <f>F161+F172+F176+F180</f>
        <v>2231730</v>
      </c>
      <c r="G160" s="1739">
        <f aca="true" t="shared" si="13" ref="G160:G167">F160/E160</f>
        <v>1.0082658891116698</v>
      </c>
      <c r="H160" s="1740">
        <f>H161+H172+H176+H180</f>
        <v>2267000</v>
      </c>
      <c r="I160" s="1601">
        <f>I161+I172+I176+I180</f>
        <v>2180434</v>
      </c>
      <c r="J160" s="1601">
        <f>J161+J172+J176+J180</f>
        <v>2164506</v>
      </c>
      <c r="K160" s="1741">
        <f>J160/I160</f>
        <v>0.9926950322733914</v>
      </c>
    </row>
    <row r="161" spans="1:11" s="890" customFormat="1" ht="21.75" customHeight="1">
      <c r="A161" s="1773"/>
      <c r="B161" s="1529">
        <v>85203</v>
      </c>
      <c r="C161" s="1530" t="s">
        <v>433</v>
      </c>
      <c r="D161" s="1774">
        <f>D162+D164+D166</f>
        <v>2000000</v>
      </c>
      <c r="E161" s="1774">
        <f>E162+E164+E166</f>
        <v>2077000</v>
      </c>
      <c r="F161" s="1774">
        <f>F162+F164+F166</f>
        <v>2111224</v>
      </c>
      <c r="G161" s="1775">
        <f t="shared" si="13"/>
        <v>1.0164776119402985</v>
      </c>
      <c r="H161" s="1776">
        <f>SUM(H168:H171)</f>
        <v>1967000</v>
      </c>
      <c r="I161" s="1776">
        <f>SUM(I168:I171)</f>
        <v>2044000</v>
      </c>
      <c r="J161" s="1776">
        <f>SUM(J168:J171)</f>
        <v>2044000</v>
      </c>
      <c r="K161" s="1777">
        <f>J161/I161</f>
        <v>1</v>
      </c>
    </row>
    <row r="162" spans="1:11" s="890" customFormat="1" ht="42.75" customHeight="1">
      <c r="A162" s="1704"/>
      <c r="B162" s="1602"/>
      <c r="C162" s="1636" t="s">
        <v>502</v>
      </c>
      <c r="D162" s="1793">
        <f>D163</f>
        <v>1967000</v>
      </c>
      <c r="E162" s="1793">
        <f>E163</f>
        <v>1994000</v>
      </c>
      <c r="F162" s="1793">
        <f>F163</f>
        <v>1994000</v>
      </c>
      <c r="G162" s="1794">
        <f t="shared" si="13"/>
        <v>1</v>
      </c>
      <c r="H162" s="1795"/>
      <c r="I162" s="1793"/>
      <c r="J162" s="1793"/>
      <c r="K162" s="1796"/>
    </row>
    <row r="163" spans="1:11" s="890" customFormat="1" ht="59.25" customHeight="1">
      <c r="A163" s="1707"/>
      <c r="B163" s="1542">
        <v>2110</v>
      </c>
      <c r="C163" s="1543" t="s">
        <v>846</v>
      </c>
      <c r="D163" s="1733">
        <v>1967000</v>
      </c>
      <c r="E163" s="1733">
        <v>1994000</v>
      </c>
      <c r="F163" s="1733">
        <v>1994000</v>
      </c>
      <c r="G163" s="1734">
        <f t="shared" si="13"/>
        <v>1</v>
      </c>
      <c r="H163" s="1735"/>
      <c r="I163" s="1733"/>
      <c r="J163" s="1733"/>
      <c r="K163" s="1736"/>
    </row>
    <row r="164" spans="1:11" s="890" customFormat="1" ht="36.75" customHeight="1">
      <c r="A164" s="1704"/>
      <c r="B164" s="1602"/>
      <c r="C164" s="1636" t="s">
        <v>853</v>
      </c>
      <c r="D164" s="1793"/>
      <c r="E164" s="1793">
        <f>E165</f>
        <v>50000</v>
      </c>
      <c r="F164" s="1793">
        <f>F165</f>
        <v>50000</v>
      </c>
      <c r="G164" s="1794">
        <f t="shared" si="13"/>
        <v>1</v>
      </c>
      <c r="H164" s="1795"/>
      <c r="I164" s="1793"/>
      <c r="J164" s="1793"/>
      <c r="K164" s="1796"/>
    </row>
    <row r="165" spans="1:11" s="890" customFormat="1" ht="78" customHeight="1">
      <c r="A165" s="1707"/>
      <c r="B165" s="1542">
        <v>6410</v>
      </c>
      <c r="C165" s="1543" t="s">
        <v>854</v>
      </c>
      <c r="D165" s="1733"/>
      <c r="E165" s="1733">
        <v>50000</v>
      </c>
      <c r="F165" s="1733">
        <v>50000</v>
      </c>
      <c r="G165" s="1734">
        <f t="shared" si="13"/>
        <v>1</v>
      </c>
      <c r="H165" s="1735"/>
      <c r="I165" s="1733"/>
      <c r="J165" s="1733"/>
      <c r="K165" s="1736"/>
    </row>
    <row r="166" spans="1:11" s="890" customFormat="1" ht="27.75" customHeight="1">
      <c r="A166" s="1587"/>
      <c r="B166" s="1587"/>
      <c r="C166" s="1641" t="s">
        <v>832</v>
      </c>
      <c r="D166" s="1642">
        <f>D167</f>
        <v>33000</v>
      </c>
      <c r="E166" s="1642">
        <f>E167</f>
        <v>33000</v>
      </c>
      <c r="F166" s="1642">
        <f>F167</f>
        <v>67224</v>
      </c>
      <c r="G166" s="1643">
        <f t="shared" si="13"/>
        <v>2.0370909090909093</v>
      </c>
      <c r="H166" s="1644"/>
      <c r="I166" s="1642"/>
      <c r="J166" s="1642"/>
      <c r="K166" s="1645"/>
    </row>
    <row r="167" spans="1:11" s="890" customFormat="1" ht="41.25" customHeight="1">
      <c r="A167" s="1587"/>
      <c r="B167" s="1548">
        <v>2350</v>
      </c>
      <c r="C167" s="1549" t="s">
        <v>827</v>
      </c>
      <c r="D167" s="1646">
        <v>33000</v>
      </c>
      <c r="E167" s="1646">
        <v>33000</v>
      </c>
      <c r="F167" s="1646">
        <v>67224</v>
      </c>
      <c r="G167" s="1623">
        <f t="shared" si="13"/>
        <v>2.0370909090909093</v>
      </c>
      <c r="H167" s="1647"/>
      <c r="I167" s="1646"/>
      <c r="J167" s="1646"/>
      <c r="K167" s="1648"/>
    </row>
    <row r="168" spans="1:11" s="890" customFormat="1" ht="39.75" customHeight="1">
      <c r="A168" s="1737"/>
      <c r="B168" s="1738"/>
      <c r="C168" s="1607" t="s">
        <v>855</v>
      </c>
      <c r="D168" s="1797"/>
      <c r="E168" s="1797"/>
      <c r="F168" s="1797"/>
      <c r="G168" s="1798"/>
      <c r="H168" s="1799">
        <v>750000</v>
      </c>
      <c r="I168" s="1797">
        <v>750000</v>
      </c>
      <c r="J168" s="1797">
        <v>750000</v>
      </c>
      <c r="K168" s="1800">
        <f>J168/I168</f>
        <v>1</v>
      </c>
    </row>
    <row r="169" spans="1:11" s="890" customFormat="1" ht="57" customHeight="1">
      <c r="A169" s="1751"/>
      <c r="B169" s="1765"/>
      <c r="C169" s="1728" t="s">
        <v>856</v>
      </c>
      <c r="D169" s="1642"/>
      <c r="E169" s="1642"/>
      <c r="F169" s="1642"/>
      <c r="G169" s="1643"/>
      <c r="H169" s="1644">
        <v>1217000</v>
      </c>
      <c r="I169" s="1642">
        <v>1217000</v>
      </c>
      <c r="J169" s="1642">
        <v>1217000</v>
      </c>
      <c r="K169" s="1645">
        <f>J169/I169</f>
        <v>1</v>
      </c>
    </row>
    <row r="170" spans="1:11" s="890" customFormat="1" ht="39.75" customHeight="1">
      <c r="A170" s="1751"/>
      <c r="B170" s="1765"/>
      <c r="C170" s="1778" t="s">
        <v>857</v>
      </c>
      <c r="D170" s="1770"/>
      <c r="E170" s="1770"/>
      <c r="F170" s="1770"/>
      <c r="G170" s="1771"/>
      <c r="H170" s="1772"/>
      <c r="I170" s="1770">
        <v>27000</v>
      </c>
      <c r="J170" s="1770">
        <v>27000</v>
      </c>
      <c r="K170" s="1762">
        <f>J170/I170</f>
        <v>1</v>
      </c>
    </row>
    <row r="171" spans="1:11" s="890" customFormat="1" ht="39.75" customHeight="1">
      <c r="A171" s="1751"/>
      <c r="B171" s="1738"/>
      <c r="C171" s="1752" t="s">
        <v>858</v>
      </c>
      <c r="D171" s="1665"/>
      <c r="E171" s="1665"/>
      <c r="F171" s="1665"/>
      <c r="G171" s="1666"/>
      <c r="H171" s="1667"/>
      <c r="I171" s="1665">
        <v>50000</v>
      </c>
      <c r="J171" s="1665">
        <v>50000</v>
      </c>
      <c r="K171" s="1668">
        <f>J171/I171</f>
        <v>1</v>
      </c>
    </row>
    <row r="172" spans="1:11" s="890" customFormat="1" ht="42" customHeight="1">
      <c r="A172" s="1704"/>
      <c r="B172" s="1688">
        <v>85212</v>
      </c>
      <c r="C172" s="1582" t="s">
        <v>327</v>
      </c>
      <c r="D172" s="1754"/>
      <c r="E172" s="1754">
        <f>E173</f>
        <v>32789</v>
      </c>
      <c r="F172" s="1754">
        <f>F173</f>
        <v>18829</v>
      </c>
      <c r="G172" s="1801">
        <f>F172/E172</f>
        <v>0.574247461038763</v>
      </c>
      <c r="H172" s="1756"/>
      <c r="I172" s="1756">
        <f>I175</f>
        <v>32789</v>
      </c>
      <c r="J172" s="1756">
        <f>J175</f>
        <v>18829</v>
      </c>
      <c r="K172" s="1802">
        <f>J172/I172</f>
        <v>0.574247461038763</v>
      </c>
    </row>
    <row r="173" spans="1:11" s="890" customFormat="1" ht="43.5" customHeight="1">
      <c r="A173" s="1707"/>
      <c r="B173" s="1803"/>
      <c r="C173" s="1804" t="s">
        <v>880</v>
      </c>
      <c r="D173" s="1729"/>
      <c r="E173" s="1729">
        <f>E174</f>
        <v>32789</v>
      </c>
      <c r="F173" s="1729">
        <f>F174</f>
        <v>18829</v>
      </c>
      <c r="G173" s="1794">
        <f>F173/E173</f>
        <v>0.574247461038763</v>
      </c>
      <c r="H173" s="1731"/>
      <c r="I173" s="1729"/>
      <c r="J173" s="1729"/>
      <c r="K173" s="1732"/>
    </row>
    <row r="174" spans="1:11" s="890" customFormat="1" ht="57.75" customHeight="1">
      <c r="A174" s="1707"/>
      <c r="B174" s="1542">
        <v>2110</v>
      </c>
      <c r="C174" s="1543" t="s">
        <v>846</v>
      </c>
      <c r="D174" s="1733"/>
      <c r="E174" s="1733">
        <v>32789</v>
      </c>
      <c r="F174" s="1733">
        <v>18829</v>
      </c>
      <c r="G174" s="1734">
        <f>F174/E174</f>
        <v>0.574247461038763</v>
      </c>
      <c r="H174" s="1735"/>
      <c r="I174" s="1733"/>
      <c r="J174" s="1733"/>
      <c r="K174" s="1736"/>
    </row>
    <row r="175" spans="1:11" s="890" customFormat="1" ht="33.75" customHeight="1">
      <c r="A175" s="1704"/>
      <c r="B175" s="1693"/>
      <c r="C175" s="1575" t="s">
        <v>139</v>
      </c>
      <c r="D175" s="1608"/>
      <c r="E175" s="1608"/>
      <c r="F175" s="1608"/>
      <c r="G175" s="1609"/>
      <c r="H175" s="1610"/>
      <c r="I175" s="1608">
        <v>32789</v>
      </c>
      <c r="J175" s="1608">
        <v>18829</v>
      </c>
      <c r="K175" s="1611">
        <f>J175/I175</f>
        <v>0.574247461038763</v>
      </c>
    </row>
    <row r="176" spans="1:11" s="890" customFormat="1" ht="21.75" customHeight="1">
      <c r="A176" s="1704"/>
      <c r="B176" s="1688">
        <v>85216</v>
      </c>
      <c r="C176" s="1582" t="s">
        <v>415</v>
      </c>
      <c r="D176" s="1754">
        <f aca="true" t="shared" si="14" ref="D176:F177">D177</f>
        <v>44000</v>
      </c>
      <c r="E176" s="1754">
        <f t="shared" si="14"/>
        <v>11211</v>
      </c>
      <c r="F176" s="1754">
        <f t="shared" si="14"/>
        <v>11211</v>
      </c>
      <c r="G176" s="1755">
        <f>F176/E176</f>
        <v>1</v>
      </c>
      <c r="H176" s="1756">
        <f>H179</f>
        <v>44000</v>
      </c>
      <c r="I176" s="1756">
        <f>I179</f>
        <v>11211</v>
      </c>
      <c r="J176" s="1756">
        <f>J179</f>
        <v>11211</v>
      </c>
      <c r="K176" s="1757">
        <f>J176/I176</f>
        <v>1</v>
      </c>
    </row>
    <row r="177" spans="1:11" s="890" customFormat="1" ht="39.75" customHeight="1">
      <c r="A177" s="1707"/>
      <c r="B177" s="1803"/>
      <c r="C177" s="1804" t="s">
        <v>434</v>
      </c>
      <c r="D177" s="1729">
        <f t="shared" si="14"/>
        <v>44000</v>
      </c>
      <c r="E177" s="1729">
        <f t="shared" si="14"/>
        <v>11211</v>
      </c>
      <c r="F177" s="1729">
        <f t="shared" si="14"/>
        <v>11211</v>
      </c>
      <c r="G177" s="1730">
        <f>F177/E177</f>
        <v>1</v>
      </c>
      <c r="H177" s="1731"/>
      <c r="I177" s="1729"/>
      <c r="J177" s="1729"/>
      <c r="K177" s="1732"/>
    </row>
    <row r="178" spans="1:11" s="890" customFormat="1" ht="60.75" customHeight="1">
      <c r="A178" s="1707"/>
      <c r="B178" s="1542">
        <v>2110</v>
      </c>
      <c r="C178" s="1543" t="s">
        <v>846</v>
      </c>
      <c r="D178" s="1733">
        <v>44000</v>
      </c>
      <c r="E178" s="1733">
        <v>11211</v>
      </c>
      <c r="F178" s="1733">
        <v>11211</v>
      </c>
      <c r="G178" s="1734">
        <f>F178/E178</f>
        <v>1</v>
      </c>
      <c r="H178" s="1735"/>
      <c r="I178" s="1733"/>
      <c r="J178" s="1733"/>
      <c r="K178" s="1736"/>
    </row>
    <row r="179" spans="1:11" s="890" customFormat="1" ht="39" customHeight="1">
      <c r="A179" s="1704"/>
      <c r="B179" s="1693"/>
      <c r="C179" s="1575" t="s">
        <v>140</v>
      </c>
      <c r="D179" s="1608"/>
      <c r="E179" s="1608"/>
      <c r="F179" s="1608"/>
      <c r="G179" s="1609"/>
      <c r="H179" s="1610">
        <v>44000</v>
      </c>
      <c r="I179" s="1608">
        <v>11211</v>
      </c>
      <c r="J179" s="1608">
        <v>11211</v>
      </c>
      <c r="K179" s="1611">
        <f>J179/I179</f>
        <v>1</v>
      </c>
    </row>
    <row r="180" spans="1:11" s="890" customFormat="1" ht="25.5" customHeight="1">
      <c r="A180" s="1704"/>
      <c r="B180" s="1613">
        <v>85231</v>
      </c>
      <c r="C180" s="1582" t="s">
        <v>435</v>
      </c>
      <c r="D180" s="1754">
        <f aca="true" t="shared" si="15" ref="D180:F181">D181</f>
        <v>256000</v>
      </c>
      <c r="E180" s="1754">
        <f t="shared" si="15"/>
        <v>92434</v>
      </c>
      <c r="F180" s="1754">
        <f t="shared" si="15"/>
        <v>90466</v>
      </c>
      <c r="G180" s="1755">
        <f>F180/E180</f>
        <v>0.9787091330030075</v>
      </c>
      <c r="H180" s="1756">
        <f>H183</f>
        <v>256000</v>
      </c>
      <c r="I180" s="1756">
        <f>I183</f>
        <v>92434</v>
      </c>
      <c r="J180" s="1756">
        <f>J183</f>
        <v>90466</v>
      </c>
      <c r="K180" s="1757">
        <f>J180/I180</f>
        <v>0.9787091330030075</v>
      </c>
    </row>
    <row r="181" spans="1:11" s="890" customFormat="1" ht="39.75" customHeight="1">
      <c r="A181" s="1707"/>
      <c r="B181" s="1612"/>
      <c r="C181" s="1589" t="s">
        <v>437</v>
      </c>
      <c r="D181" s="1743">
        <f t="shared" si="15"/>
        <v>256000</v>
      </c>
      <c r="E181" s="1743">
        <f t="shared" si="15"/>
        <v>92434</v>
      </c>
      <c r="F181" s="1743">
        <f t="shared" si="15"/>
        <v>90466</v>
      </c>
      <c r="G181" s="1744">
        <f>F181/E181</f>
        <v>0.9787091330030075</v>
      </c>
      <c r="H181" s="1745"/>
      <c r="I181" s="1743"/>
      <c r="J181" s="1743"/>
      <c r="K181" s="1746"/>
    </row>
    <row r="182" spans="1:11" s="890" customFormat="1" ht="60" customHeight="1">
      <c r="A182" s="1707"/>
      <c r="B182" s="1542">
        <v>2110</v>
      </c>
      <c r="C182" s="1543" t="s">
        <v>846</v>
      </c>
      <c r="D182" s="1747">
        <v>256000</v>
      </c>
      <c r="E182" s="1747">
        <v>92434</v>
      </c>
      <c r="F182" s="1747">
        <v>90466</v>
      </c>
      <c r="G182" s="1748">
        <f>F182/E182</f>
        <v>0.9787091330030075</v>
      </c>
      <c r="H182" s="1749"/>
      <c r="I182" s="1747"/>
      <c r="J182" s="1747"/>
      <c r="K182" s="1750"/>
    </row>
    <row r="183" spans="1:11" s="890" customFormat="1" ht="27" customHeight="1">
      <c r="A183" s="1709"/>
      <c r="B183" s="1725"/>
      <c r="C183" s="1607" t="s">
        <v>141</v>
      </c>
      <c r="D183" s="1608"/>
      <c r="E183" s="1608"/>
      <c r="F183" s="1608"/>
      <c r="G183" s="1609"/>
      <c r="H183" s="1610">
        <v>256000</v>
      </c>
      <c r="I183" s="1608">
        <v>92434</v>
      </c>
      <c r="J183" s="1608">
        <v>90466</v>
      </c>
      <c r="K183" s="1611">
        <f>J183/I183</f>
        <v>0.9787091330030075</v>
      </c>
    </row>
    <row r="184" spans="1:11" s="890" customFormat="1" ht="21.75" customHeight="1">
      <c r="A184" s="1565">
        <v>853</v>
      </c>
      <c r="B184" s="1566"/>
      <c r="C184" s="1523" t="s">
        <v>464</v>
      </c>
      <c r="D184" s="1601">
        <f>D185+D194</f>
        <v>509000</v>
      </c>
      <c r="E184" s="1601">
        <f>E185+E194</f>
        <v>582410</v>
      </c>
      <c r="F184" s="1601">
        <f>F185+F194</f>
        <v>581762</v>
      </c>
      <c r="G184" s="1739">
        <f aca="true" t="shared" si="16" ref="G184:G189">F184/E184</f>
        <v>0.9988873817413849</v>
      </c>
      <c r="H184" s="1740">
        <f>H185+H194</f>
        <v>509000</v>
      </c>
      <c r="I184" s="1601">
        <f>I185+I194</f>
        <v>582410</v>
      </c>
      <c r="J184" s="1601">
        <f>J185+J194</f>
        <v>581762</v>
      </c>
      <c r="K184" s="1741">
        <f>J184/I184</f>
        <v>0.9988873817413849</v>
      </c>
    </row>
    <row r="185" spans="1:11" s="890" customFormat="1" ht="21.75" customHeight="1">
      <c r="A185" s="1704"/>
      <c r="B185" s="1753">
        <v>85321</v>
      </c>
      <c r="C185" s="1582" t="s">
        <v>518</v>
      </c>
      <c r="D185" s="1754">
        <f>D186+D188</f>
        <v>509000</v>
      </c>
      <c r="E185" s="1754">
        <f>E186+E188</f>
        <v>509000</v>
      </c>
      <c r="F185" s="1754">
        <f>F186+F188</f>
        <v>508748</v>
      </c>
      <c r="G185" s="1755">
        <f t="shared" si="16"/>
        <v>0.9995049115913556</v>
      </c>
      <c r="H185" s="1756">
        <f>SUM(H190:H193)</f>
        <v>509000</v>
      </c>
      <c r="I185" s="1756">
        <f>SUM(I190:I193)</f>
        <v>509000</v>
      </c>
      <c r="J185" s="1756">
        <f>SUM(J190:J193)</f>
        <v>508748</v>
      </c>
      <c r="K185" s="1757">
        <f>J185/I185</f>
        <v>0.9995049115913556</v>
      </c>
    </row>
    <row r="186" spans="1:11" s="890" customFormat="1" ht="42" customHeight="1">
      <c r="A186" s="1707"/>
      <c r="B186" s="1763"/>
      <c r="C186" s="1759" t="s">
        <v>859</v>
      </c>
      <c r="D186" s="1743">
        <f>D187</f>
        <v>501000</v>
      </c>
      <c r="E186" s="1743">
        <f>E187</f>
        <v>501000</v>
      </c>
      <c r="F186" s="1743">
        <f>F187</f>
        <v>501000</v>
      </c>
      <c r="G186" s="1744">
        <f t="shared" si="16"/>
        <v>1</v>
      </c>
      <c r="H186" s="1745"/>
      <c r="I186" s="1743"/>
      <c r="J186" s="1743"/>
      <c r="K186" s="1746"/>
    </row>
    <row r="187" spans="1:11" s="890" customFormat="1" ht="60" customHeight="1">
      <c r="A187" s="1724"/>
      <c r="B187" s="1542">
        <v>2110</v>
      </c>
      <c r="C187" s="1543" t="s">
        <v>846</v>
      </c>
      <c r="D187" s="1747">
        <v>501000</v>
      </c>
      <c r="E187" s="1747">
        <v>501000</v>
      </c>
      <c r="F187" s="1747">
        <v>501000</v>
      </c>
      <c r="G187" s="1748">
        <f t="shared" si="16"/>
        <v>1</v>
      </c>
      <c r="H187" s="1749"/>
      <c r="I187" s="1747"/>
      <c r="J187" s="1747"/>
      <c r="K187" s="1750"/>
    </row>
    <row r="188" spans="1:11" s="890" customFormat="1" ht="54.75">
      <c r="A188" s="1707"/>
      <c r="B188" s="1742"/>
      <c r="C188" s="1804" t="s">
        <v>860</v>
      </c>
      <c r="D188" s="1729">
        <f>D189</f>
        <v>8000</v>
      </c>
      <c r="E188" s="1729">
        <f>E189</f>
        <v>8000</v>
      </c>
      <c r="F188" s="1729">
        <f>F189</f>
        <v>7748</v>
      </c>
      <c r="G188" s="1730">
        <f t="shared" si="16"/>
        <v>0.9685</v>
      </c>
      <c r="H188" s="1731"/>
      <c r="I188" s="1729"/>
      <c r="J188" s="1729"/>
      <c r="K188" s="1732"/>
    </row>
    <row r="189" spans="1:11" s="890" customFormat="1" ht="73.5" customHeight="1">
      <c r="A189" s="1707"/>
      <c r="B189" s="1542">
        <v>6410</v>
      </c>
      <c r="C189" s="1543" t="s">
        <v>854</v>
      </c>
      <c r="D189" s="1733">
        <v>8000</v>
      </c>
      <c r="E189" s="1733">
        <v>8000</v>
      </c>
      <c r="F189" s="1733">
        <v>7748</v>
      </c>
      <c r="G189" s="1734">
        <f t="shared" si="16"/>
        <v>0.9685</v>
      </c>
      <c r="H189" s="1735"/>
      <c r="I189" s="1733"/>
      <c r="J189" s="1733"/>
      <c r="K189" s="1736"/>
    </row>
    <row r="190" spans="1:11" s="890" customFormat="1" ht="21.75" customHeight="1">
      <c r="A190" s="1509"/>
      <c r="B190" s="1509"/>
      <c r="C190" s="1550" t="s">
        <v>1033</v>
      </c>
      <c r="D190" s="1766"/>
      <c r="E190" s="1766"/>
      <c r="F190" s="1766"/>
      <c r="G190" s="1767"/>
      <c r="H190" s="1768">
        <v>266100</v>
      </c>
      <c r="I190" s="1766">
        <v>246227</v>
      </c>
      <c r="J190" s="1766">
        <v>246227</v>
      </c>
      <c r="K190" s="1769">
        <f>J190/I190</f>
        <v>1</v>
      </c>
    </row>
    <row r="191" spans="1:11" s="890" customFormat="1" ht="21.75" customHeight="1">
      <c r="A191" s="1509"/>
      <c r="B191" s="1509"/>
      <c r="C191" s="1555" t="s">
        <v>1034</v>
      </c>
      <c r="D191" s="1770"/>
      <c r="E191" s="1770"/>
      <c r="F191" s="1770"/>
      <c r="G191" s="1771"/>
      <c r="H191" s="1772">
        <v>179600</v>
      </c>
      <c r="I191" s="1770">
        <v>203380</v>
      </c>
      <c r="J191" s="1770">
        <v>203380</v>
      </c>
      <c r="K191" s="1762">
        <f>J191/I191</f>
        <v>1</v>
      </c>
    </row>
    <row r="192" spans="1:11" s="890" customFormat="1" ht="21.75" customHeight="1">
      <c r="A192" s="1509"/>
      <c r="B192" s="1509"/>
      <c r="C192" s="1555" t="s">
        <v>1035</v>
      </c>
      <c r="D192" s="1770"/>
      <c r="E192" s="1770"/>
      <c r="F192" s="1770"/>
      <c r="G192" s="1771"/>
      <c r="H192" s="1772">
        <v>55300</v>
      </c>
      <c r="I192" s="1770">
        <v>51393</v>
      </c>
      <c r="J192" s="1770">
        <v>51393</v>
      </c>
      <c r="K192" s="1762">
        <f>J192/I192</f>
        <v>1</v>
      </c>
    </row>
    <row r="193" spans="1:11" s="890" customFormat="1" ht="21.75" customHeight="1">
      <c r="A193" s="1509"/>
      <c r="B193" s="1509"/>
      <c r="C193" s="1805" t="s">
        <v>1002</v>
      </c>
      <c r="D193" s="1766"/>
      <c r="E193" s="1766"/>
      <c r="F193" s="1766"/>
      <c r="G193" s="1666"/>
      <c r="H193" s="1768">
        <v>8000</v>
      </c>
      <c r="I193" s="1768">
        <v>8000</v>
      </c>
      <c r="J193" s="1768">
        <v>7748</v>
      </c>
      <c r="K193" s="1668">
        <f>J193/I193</f>
        <v>0.9685</v>
      </c>
    </row>
    <row r="194" spans="1:11" s="890" customFormat="1" ht="21.75" customHeight="1">
      <c r="A194" s="1806"/>
      <c r="B194" s="1705">
        <v>85334</v>
      </c>
      <c r="C194" s="1807" t="s">
        <v>898</v>
      </c>
      <c r="D194" s="1808"/>
      <c r="E194" s="1808">
        <f>E195</f>
        <v>73410</v>
      </c>
      <c r="F194" s="1808">
        <f>F195</f>
        <v>73014</v>
      </c>
      <c r="G194" s="1755">
        <f>F194/E194</f>
        <v>0.9946056395586432</v>
      </c>
      <c r="H194" s="1809"/>
      <c r="I194" s="1808">
        <f>I197</f>
        <v>73410</v>
      </c>
      <c r="J194" s="1808">
        <f>J197</f>
        <v>73014</v>
      </c>
      <c r="K194" s="1757">
        <f>J194/I194</f>
        <v>0.9946056395586432</v>
      </c>
    </row>
    <row r="195" spans="1:11" s="890" customFormat="1" ht="36.75" customHeight="1">
      <c r="A195" s="1810"/>
      <c r="B195" s="1626"/>
      <c r="C195" s="1589" t="s">
        <v>934</v>
      </c>
      <c r="D195" s="1766"/>
      <c r="E195" s="1766">
        <f>E196</f>
        <v>73410</v>
      </c>
      <c r="F195" s="1766">
        <f>F196</f>
        <v>73014</v>
      </c>
      <c r="G195" s="1744">
        <f>F195/E195</f>
        <v>0.9946056395586432</v>
      </c>
      <c r="H195" s="1768"/>
      <c r="I195" s="1766"/>
      <c r="J195" s="1766"/>
      <c r="K195" s="1769"/>
    </row>
    <row r="196" spans="1:11" s="890" customFormat="1" ht="64.5" customHeight="1">
      <c r="A196" s="1727"/>
      <c r="B196" s="1594">
        <v>2110</v>
      </c>
      <c r="C196" s="1543" t="s">
        <v>846</v>
      </c>
      <c r="D196" s="1733"/>
      <c r="E196" s="1733">
        <v>73410</v>
      </c>
      <c r="F196" s="1733">
        <v>73014</v>
      </c>
      <c r="G196" s="1734">
        <f>F196/E196</f>
        <v>0.9946056395586432</v>
      </c>
      <c r="H196" s="1735"/>
      <c r="I196" s="1733"/>
      <c r="J196" s="1733"/>
      <c r="K196" s="1736"/>
    </row>
    <row r="197" spans="1:11" s="890" customFormat="1" ht="25.5" customHeight="1">
      <c r="A197" s="1606"/>
      <c r="B197" s="1606"/>
      <c r="C197" s="1811" t="s">
        <v>861</v>
      </c>
      <c r="D197" s="1608"/>
      <c r="E197" s="1608"/>
      <c r="F197" s="1608"/>
      <c r="G197" s="1609"/>
      <c r="H197" s="1610"/>
      <c r="I197" s="1608">
        <v>73410</v>
      </c>
      <c r="J197" s="1608">
        <v>73014</v>
      </c>
      <c r="K197" s="1800">
        <f>J197/I197</f>
        <v>0.9946056395586432</v>
      </c>
    </row>
    <row r="200" ht="15">
      <c r="I200" s="1840" t="s">
        <v>330</v>
      </c>
    </row>
    <row r="201" ht="15">
      <c r="I201" s="1841" t="s">
        <v>331</v>
      </c>
    </row>
  </sheetData>
  <mergeCells count="8">
    <mergeCell ref="H6:H7"/>
    <mergeCell ref="I6:I7"/>
    <mergeCell ref="J6:J7"/>
    <mergeCell ref="K6:K7"/>
    <mergeCell ref="D6:D7"/>
    <mergeCell ref="E6:E7"/>
    <mergeCell ref="F6:F7"/>
    <mergeCell ref="G6:G7"/>
  </mergeCells>
  <printOptions horizontalCentered="1"/>
  <pageMargins left="0.54" right="0.5" top="0.5118110236220472" bottom="0.6692913385826772" header="0.5118110236220472" footer="0.5118110236220472"/>
  <pageSetup firstPageNumber="79" useFirstPageNumber="1" horizontalDpi="600" verticalDpi="600" orientation="landscape" pageOrder="overThenDown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32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695" customWidth="1"/>
    <col min="2" max="2" width="8.25390625" style="695" customWidth="1"/>
    <col min="3" max="3" width="64.75390625" style="695" customWidth="1"/>
    <col min="4" max="6" width="15.75390625" style="696" customWidth="1"/>
    <col min="7" max="7" width="12.75390625" style="696" customWidth="1"/>
    <col min="8" max="8" width="7.875" style="695" customWidth="1"/>
    <col min="9" max="9" width="10.625" style="695" customWidth="1"/>
    <col min="10" max="10" width="10.875" style="695" bestFit="1" customWidth="1"/>
    <col min="11" max="16384" width="7.875" style="695" customWidth="1"/>
  </cols>
  <sheetData>
    <row r="1" ht="18" customHeight="1">
      <c r="F1" s="697" t="s">
        <v>975</v>
      </c>
    </row>
    <row r="2" ht="18" customHeight="1">
      <c r="F2" s="697" t="s">
        <v>873</v>
      </c>
    </row>
    <row r="3" spans="3:6" ht="18" customHeight="1">
      <c r="C3" s="698" t="s">
        <v>976</v>
      </c>
      <c r="F3" s="697" t="s">
        <v>884</v>
      </c>
    </row>
    <row r="4" ht="18" customHeight="1">
      <c r="F4" s="697" t="s">
        <v>977</v>
      </c>
    </row>
    <row r="5" ht="15.75">
      <c r="C5" s="699"/>
    </row>
    <row r="6" ht="15.75" thickBot="1">
      <c r="G6" s="700" t="s">
        <v>450</v>
      </c>
    </row>
    <row r="7" spans="1:7" ht="15.75" customHeight="1" thickTop="1">
      <c r="A7" s="1838" t="s">
        <v>964</v>
      </c>
      <c r="B7" s="1838" t="s">
        <v>529</v>
      </c>
      <c r="C7" s="1839" t="s">
        <v>978</v>
      </c>
      <c r="D7" s="1835" t="s">
        <v>979</v>
      </c>
      <c r="E7" s="1835" t="s">
        <v>980</v>
      </c>
      <c r="F7" s="1835" t="s">
        <v>981</v>
      </c>
      <c r="G7" s="1835" t="s">
        <v>982</v>
      </c>
    </row>
    <row r="8" spans="1:7" ht="15.75" customHeight="1">
      <c r="A8" s="1836"/>
      <c r="B8" s="1836"/>
      <c r="C8" s="1836"/>
      <c r="D8" s="1836"/>
      <c r="E8" s="1836"/>
      <c r="F8" s="1836"/>
      <c r="G8" s="1836"/>
    </row>
    <row r="9" spans="1:7" ht="15.75" customHeight="1">
      <c r="A9" s="1836"/>
      <c r="B9" s="1836"/>
      <c r="C9" s="1836"/>
      <c r="D9" s="1836"/>
      <c r="E9" s="1836"/>
      <c r="F9" s="1836"/>
      <c r="G9" s="1836"/>
    </row>
    <row r="10" spans="1:7" ht="15.75" customHeight="1" thickBot="1">
      <c r="A10" s="1837"/>
      <c r="B10" s="1837"/>
      <c r="C10" s="1837"/>
      <c r="D10" s="1837"/>
      <c r="E10" s="1837"/>
      <c r="F10" s="1837"/>
      <c r="G10" s="1837"/>
    </row>
    <row r="11" spans="1:7" s="704" customFormat="1" ht="14.25" customHeight="1" thickBot="1" thickTop="1">
      <c r="A11" s="702">
        <v>1</v>
      </c>
      <c r="B11" s="702">
        <v>2</v>
      </c>
      <c r="C11" s="702">
        <v>3</v>
      </c>
      <c r="D11" s="703">
        <v>4</v>
      </c>
      <c r="E11" s="703">
        <v>5</v>
      </c>
      <c r="F11" s="703">
        <v>6</v>
      </c>
      <c r="G11" s="703">
        <v>7</v>
      </c>
    </row>
    <row r="12" spans="1:10" s="709" customFormat="1" ht="24.75" customHeight="1" thickBot="1" thickTop="1">
      <c r="A12" s="705"/>
      <c r="B12" s="705"/>
      <c r="C12" s="706" t="s">
        <v>983</v>
      </c>
      <c r="D12" s="707">
        <f>D14+D465+D492</f>
        <v>685769556</v>
      </c>
      <c r="E12" s="707">
        <f>E14+E465+E492</f>
        <v>757821862</v>
      </c>
      <c r="F12" s="707">
        <f>F14+F465+F492</f>
        <v>748272870</v>
      </c>
      <c r="G12" s="708">
        <f>F12/E12</f>
        <v>0.9873994239559164</v>
      </c>
      <c r="J12" s="710"/>
    </row>
    <row r="13" spans="1:7" s="709" customFormat="1" ht="15" customHeight="1">
      <c r="A13" s="711"/>
      <c r="B13" s="711"/>
      <c r="C13" s="712" t="s">
        <v>965</v>
      </c>
      <c r="D13" s="713"/>
      <c r="E13" s="713"/>
      <c r="F13" s="713"/>
      <c r="G13" s="714"/>
    </row>
    <row r="14" spans="1:10" s="709" customFormat="1" ht="19.5" customHeight="1" thickBot="1">
      <c r="A14" s="715"/>
      <c r="B14" s="715"/>
      <c r="C14" s="716" t="s">
        <v>984</v>
      </c>
      <c r="D14" s="717">
        <f>D15+D18+D21+D24+D40+D51+D70+D83+D99+D117+D120+D124+D135+D236+D258+D309+D327+D382+D420+D451</f>
        <v>640316695</v>
      </c>
      <c r="E14" s="717">
        <f>E15+E18+E21+E24+E40+E51+E70+E83+E99+E117+E120+E124+E135+E236+E258+E309+E327+E382+E420+E451</f>
        <v>686782538</v>
      </c>
      <c r="F14" s="717">
        <f>F15+F18+F21+F24+F40+F51+F70+F83+F99+F117+F120+F124+F135+F236+F258+F309+F327+F382+F420+F451</f>
        <v>678547177</v>
      </c>
      <c r="G14" s="718">
        <f aca="true" t="shared" si="0" ref="G14:G28">F14/E14</f>
        <v>0.9880087792797084</v>
      </c>
      <c r="J14" s="710"/>
    </row>
    <row r="15" spans="1:7" s="709" customFormat="1" ht="19.5" customHeight="1" thickTop="1">
      <c r="A15" s="133" t="s">
        <v>382</v>
      </c>
      <c r="B15" s="719"/>
      <c r="C15" s="720" t="s">
        <v>381</v>
      </c>
      <c r="D15" s="601">
        <f aca="true" t="shared" si="1" ref="D15:F16">D16</f>
        <v>15000</v>
      </c>
      <c r="E15" s="601">
        <f t="shared" si="1"/>
        <v>15000</v>
      </c>
      <c r="F15" s="601">
        <f t="shared" si="1"/>
        <v>14977</v>
      </c>
      <c r="G15" s="572">
        <f t="shared" si="0"/>
        <v>0.9984666666666666</v>
      </c>
    </row>
    <row r="16" spans="1:7" s="725" customFormat="1" ht="19.5" customHeight="1">
      <c r="A16" s="231"/>
      <c r="B16" s="721" t="s">
        <v>985</v>
      </c>
      <c r="C16" s="722" t="s">
        <v>986</v>
      </c>
      <c r="D16" s="723">
        <f t="shared" si="1"/>
        <v>15000</v>
      </c>
      <c r="E16" s="723">
        <f t="shared" si="1"/>
        <v>15000</v>
      </c>
      <c r="F16" s="723">
        <f t="shared" si="1"/>
        <v>14977</v>
      </c>
      <c r="G16" s="724">
        <f t="shared" si="0"/>
        <v>0.9984666666666666</v>
      </c>
    </row>
    <row r="17" spans="1:7" s="729" customFormat="1" ht="18.75" customHeight="1">
      <c r="A17" s="726"/>
      <c r="B17" s="726"/>
      <c r="C17" s="414" t="s">
        <v>987</v>
      </c>
      <c r="D17" s="727">
        <v>15000</v>
      </c>
      <c r="E17" s="727">
        <v>15000</v>
      </c>
      <c r="F17" s="727">
        <v>14977</v>
      </c>
      <c r="G17" s="728">
        <f t="shared" si="0"/>
        <v>0.9984666666666666</v>
      </c>
    </row>
    <row r="18" spans="1:7" s="709" customFormat="1" ht="19.5" customHeight="1">
      <c r="A18" s="180" t="s">
        <v>988</v>
      </c>
      <c r="B18" s="719"/>
      <c r="C18" s="720" t="s">
        <v>989</v>
      </c>
      <c r="D18" s="601">
        <f aca="true" t="shared" si="2" ref="D18:F19">D19</f>
        <v>5000</v>
      </c>
      <c r="E18" s="601">
        <f t="shared" si="2"/>
        <v>5100</v>
      </c>
      <c r="F18" s="601">
        <f t="shared" si="2"/>
        <v>5100</v>
      </c>
      <c r="G18" s="572">
        <f t="shared" si="0"/>
        <v>1</v>
      </c>
    </row>
    <row r="19" spans="1:7" s="725" customFormat="1" ht="19.5" customHeight="1">
      <c r="A19" s="231"/>
      <c r="B19" s="721" t="s">
        <v>990</v>
      </c>
      <c r="C19" s="722" t="s">
        <v>991</v>
      </c>
      <c r="D19" s="723">
        <f t="shared" si="2"/>
        <v>5000</v>
      </c>
      <c r="E19" s="723">
        <f t="shared" si="2"/>
        <v>5100</v>
      </c>
      <c r="F19" s="723">
        <f t="shared" si="2"/>
        <v>5100</v>
      </c>
      <c r="G19" s="724">
        <f t="shared" si="0"/>
        <v>1</v>
      </c>
    </row>
    <row r="20" spans="1:7" s="729" customFormat="1" ht="18.75" customHeight="1">
      <c r="A20" s="726"/>
      <c r="B20" s="726"/>
      <c r="C20" s="414" t="s">
        <v>992</v>
      </c>
      <c r="D20" s="727">
        <v>5000</v>
      </c>
      <c r="E20" s="727">
        <v>5100</v>
      </c>
      <c r="F20" s="727">
        <v>5100</v>
      </c>
      <c r="G20" s="728">
        <f t="shared" si="0"/>
        <v>1</v>
      </c>
    </row>
    <row r="21" spans="1:7" s="709" customFormat="1" ht="19.5" customHeight="1">
      <c r="A21" s="719">
        <v>500</v>
      </c>
      <c r="B21" s="719"/>
      <c r="C21" s="720" t="s">
        <v>993</v>
      </c>
      <c r="D21" s="730">
        <f>D22</f>
        <v>4800</v>
      </c>
      <c r="E21" s="730">
        <f>E22</f>
        <v>4800</v>
      </c>
      <c r="F21" s="730">
        <f>F22</f>
        <v>4737</v>
      </c>
      <c r="G21" s="731">
        <f t="shared" si="0"/>
        <v>0.986875</v>
      </c>
    </row>
    <row r="22" spans="1:7" s="725" customFormat="1" ht="19.5" customHeight="1">
      <c r="A22" s="231"/>
      <c r="B22" s="722">
        <v>50095</v>
      </c>
      <c r="C22" s="722" t="s">
        <v>966</v>
      </c>
      <c r="D22" s="732">
        <f>SUM(D23:D23)</f>
        <v>4800</v>
      </c>
      <c r="E22" s="732">
        <f>SUM(E23:E23)</f>
        <v>4800</v>
      </c>
      <c r="F22" s="732">
        <f>SUM(F23:F23)</f>
        <v>4737</v>
      </c>
      <c r="G22" s="733">
        <f t="shared" si="0"/>
        <v>0.986875</v>
      </c>
    </row>
    <row r="23" spans="1:7" s="729" customFormat="1" ht="18.75" customHeight="1">
      <c r="A23" s="726"/>
      <c r="B23" s="726"/>
      <c r="C23" s="510" t="s">
        <v>994</v>
      </c>
      <c r="D23" s="586">
        <v>4800</v>
      </c>
      <c r="E23" s="586">
        <v>4800</v>
      </c>
      <c r="F23" s="586">
        <v>4737</v>
      </c>
      <c r="G23" s="587">
        <f t="shared" si="0"/>
        <v>0.986875</v>
      </c>
    </row>
    <row r="24" spans="1:7" s="709" customFormat="1" ht="19.5" customHeight="1">
      <c r="A24" s="719">
        <v>600</v>
      </c>
      <c r="B24" s="734"/>
      <c r="C24" s="183" t="s">
        <v>522</v>
      </c>
      <c r="D24" s="735">
        <f>D25+D30+D34+D38</f>
        <v>58857191</v>
      </c>
      <c r="E24" s="735">
        <f>E25+E30+E34+E38</f>
        <v>55754064</v>
      </c>
      <c r="F24" s="735">
        <f>F25+F30+F34+F38</f>
        <v>55015326</v>
      </c>
      <c r="G24" s="736">
        <f t="shared" si="0"/>
        <v>0.9867500600494342</v>
      </c>
    </row>
    <row r="25" spans="1:7" s="564" customFormat="1" ht="19.5" customHeight="1">
      <c r="A25" s="737"/>
      <c r="B25" s="722">
        <v>60004</v>
      </c>
      <c r="C25" s="722" t="s">
        <v>995</v>
      </c>
      <c r="D25" s="723">
        <f>SUM(D26:D27)</f>
        <v>14745191</v>
      </c>
      <c r="E25" s="723">
        <f>SUM(E26:E29)</f>
        <v>14961191</v>
      </c>
      <c r="F25" s="723">
        <f>SUM(F26:F29)</f>
        <v>14777543</v>
      </c>
      <c r="G25" s="724">
        <f t="shared" si="0"/>
        <v>0.9877250414088022</v>
      </c>
    </row>
    <row r="26" spans="1:7" s="564" customFormat="1" ht="18.75" customHeight="1">
      <c r="A26" s="737"/>
      <c r="B26" s="738"/>
      <c r="C26" s="739" t="s">
        <v>996</v>
      </c>
      <c r="D26" s="586">
        <f>500000+3600000+1500000</f>
        <v>5600000</v>
      </c>
      <c r="E26" s="586">
        <f>500000+3600000+1500000</f>
        <v>5600000</v>
      </c>
      <c r="F26" s="586">
        <v>5600000</v>
      </c>
      <c r="G26" s="587">
        <f t="shared" si="0"/>
        <v>1</v>
      </c>
    </row>
    <row r="27" spans="1:7" s="709" customFormat="1" ht="18.75" customHeight="1">
      <c r="A27" s="737"/>
      <c r="B27" s="737"/>
      <c r="C27" s="740" t="s">
        <v>997</v>
      </c>
      <c r="D27" s="610">
        <v>9145191</v>
      </c>
      <c r="E27" s="610">
        <v>9145191</v>
      </c>
      <c r="F27" s="610">
        <v>9145191</v>
      </c>
      <c r="G27" s="611">
        <f t="shared" si="0"/>
        <v>1</v>
      </c>
    </row>
    <row r="28" spans="1:7" s="709" customFormat="1" ht="18.75" customHeight="1">
      <c r="A28" s="737"/>
      <c r="B28" s="737"/>
      <c r="C28" s="740" t="s">
        <v>998</v>
      </c>
      <c r="D28" s="610"/>
      <c r="E28" s="610">
        <v>36000</v>
      </c>
      <c r="F28" s="610">
        <v>32352</v>
      </c>
      <c r="G28" s="611">
        <f t="shared" si="0"/>
        <v>0.8986666666666666</v>
      </c>
    </row>
    <row r="29" spans="1:7" s="709" customFormat="1" ht="18.75" customHeight="1">
      <c r="A29" s="741"/>
      <c r="B29" s="741"/>
      <c r="C29" s="741" t="s">
        <v>999</v>
      </c>
      <c r="D29" s="742"/>
      <c r="E29" s="742">
        <v>180000</v>
      </c>
      <c r="F29" s="742"/>
      <c r="G29" s="743"/>
    </row>
    <row r="30" spans="1:7" s="564" customFormat="1" ht="19.5" customHeight="1">
      <c r="A30" s="737"/>
      <c r="B30" s="232">
        <v>60015</v>
      </c>
      <c r="C30" s="232" t="s">
        <v>523</v>
      </c>
      <c r="D30" s="744">
        <f>SUM(D31:D33)</f>
        <v>37959000</v>
      </c>
      <c r="E30" s="744">
        <f>SUM(E31:E33)</f>
        <v>36600996</v>
      </c>
      <c r="F30" s="744">
        <f>SUM(F31:F33)</f>
        <v>36301437</v>
      </c>
      <c r="G30" s="745">
        <f aca="true" t="shared" si="3" ref="G30:G37">F30/E30</f>
        <v>0.9918155505932134</v>
      </c>
    </row>
    <row r="31" spans="1:7" s="564" customFormat="1" ht="19.5" customHeight="1">
      <c r="A31" s="737"/>
      <c r="B31" s="738"/>
      <c r="C31" s="739" t="s">
        <v>1000</v>
      </c>
      <c r="D31" s="586">
        <v>4200000</v>
      </c>
      <c r="E31" s="586">
        <v>4841323</v>
      </c>
      <c r="F31" s="586">
        <v>4839684</v>
      </c>
      <c r="G31" s="587">
        <f t="shared" si="3"/>
        <v>0.9996614561763386</v>
      </c>
    </row>
    <row r="32" spans="1:7" s="709" customFormat="1" ht="19.5" customHeight="1">
      <c r="A32" s="737"/>
      <c r="B32" s="737"/>
      <c r="C32" s="740" t="s">
        <v>1001</v>
      </c>
      <c r="D32" s="610">
        <v>2200000</v>
      </c>
      <c r="E32" s="610">
        <v>1473700</v>
      </c>
      <c r="F32" s="610">
        <v>1426524</v>
      </c>
      <c r="G32" s="611">
        <f t="shared" si="3"/>
        <v>0.9679880572708149</v>
      </c>
    </row>
    <row r="33" spans="1:7" s="709" customFormat="1" ht="19.5" customHeight="1">
      <c r="A33" s="737"/>
      <c r="B33" s="741"/>
      <c r="C33" s="741" t="s">
        <v>1002</v>
      </c>
      <c r="D33" s="742">
        <f>33059000-1500000</f>
        <v>31559000</v>
      </c>
      <c r="E33" s="742">
        <v>30285973</v>
      </c>
      <c r="F33" s="742">
        <v>30035229</v>
      </c>
      <c r="G33" s="743">
        <f t="shared" si="3"/>
        <v>0.9917207877059125</v>
      </c>
    </row>
    <row r="34" spans="1:7" s="709" customFormat="1" ht="19.5" customHeight="1">
      <c r="A34" s="737"/>
      <c r="B34" s="232">
        <v>60016</v>
      </c>
      <c r="C34" s="232" t="s">
        <v>524</v>
      </c>
      <c r="D34" s="744">
        <f>SUM(D35:D37)</f>
        <v>6053000</v>
      </c>
      <c r="E34" s="744">
        <f>SUM(E35:E37)</f>
        <v>4041877</v>
      </c>
      <c r="F34" s="744">
        <f>SUM(F35:F37)</f>
        <v>3786352</v>
      </c>
      <c r="G34" s="745">
        <f t="shared" si="3"/>
        <v>0.9367806096029146</v>
      </c>
    </row>
    <row r="35" spans="1:7" s="709" customFormat="1" ht="19.5" customHeight="1">
      <c r="A35" s="737"/>
      <c r="B35" s="737"/>
      <c r="C35" s="739" t="s">
        <v>1000</v>
      </c>
      <c r="D35" s="586">
        <v>2212150</v>
      </c>
      <c r="E35" s="586">
        <v>2222827</v>
      </c>
      <c r="F35" s="586">
        <v>2221559</v>
      </c>
      <c r="G35" s="587">
        <f t="shared" si="3"/>
        <v>0.9994295552465396</v>
      </c>
    </row>
    <row r="36" spans="1:7" s="709" customFormat="1" ht="19.5" customHeight="1">
      <c r="A36" s="737"/>
      <c r="B36" s="737"/>
      <c r="C36" s="740" t="s">
        <v>1001</v>
      </c>
      <c r="D36" s="610">
        <v>700000</v>
      </c>
      <c r="E36" s="610">
        <v>580000</v>
      </c>
      <c r="F36" s="610">
        <v>374693</v>
      </c>
      <c r="G36" s="746">
        <f t="shared" si="3"/>
        <v>0.6460224137931034</v>
      </c>
    </row>
    <row r="37" spans="1:7" s="709" customFormat="1" ht="19.5" customHeight="1">
      <c r="A37" s="737"/>
      <c r="B37" s="741"/>
      <c r="C37" s="741" t="s">
        <v>1002</v>
      </c>
      <c r="D37" s="742">
        <v>3140850</v>
      </c>
      <c r="E37" s="742">
        <v>1239050</v>
      </c>
      <c r="F37" s="742">
        <v>1190100</v>
      </c>
      <c r="G37" s="743">
        <f t="shared" si="3"/>
        <v>0.9604939267987571</v>
      </c>
    </row>
    <row r="38" spans="1:7" s="709" customFormat="1" ht="19.5" customHeight="1">
      <c r="A38" s="737"/>
      <c r="B38" s="232">
        <v>60017</v>
      </c>
      <c r="C38" s="232" t="s">
        <v>1003</v>
      </c>
      <c r="D38" s="744">
        <f>D39</f>
        <v>100000</v>
      </c>
      <c r="E38" s="744">
        <f>E39</f>
        <v>150000</v>
      </c>
      <c r="F38" s="744">
        <f>F39</f>
        <v>149994</v>
      </c>
      <c r="G38" s="745">
        <v>0.9999</v>
      </c>
    </row>
    <row r="39" spans="1:7" s="709" customFormat="1" ht="19.5" customHeight="1">
      <c r="A39" s="741"/>
      <c r="B39" s="747"/>
      <c r="C39" s="747" t="s">
        <v>1000</v>
      </c>
      <c r="D39" s="727">
        <v>100000</v>
      </c>
      <c r="E39" s="727">
        <v>150000</v>
      </c>
      <c r="F39" s="727">
        <v>149994</v>
      </c>
      <c r="G39" s="728">
        <v>0.9999</v>
      </c>
    </row>
    <row r="40" spans="1:7" s="709" customFormat="1" ht="19.5" customHeight="1">
      <c r="A40" s="720">
        <v>630</v>
      </c>
      <c r="B40" s="720"/>
      <c r="C40" s="720" t="s">
        <v>446</v>
      </c>
      <c r="D40" s="601">
        <f>D41+D46</f>
        <v>400000</v>
      </c>
      <c r="E40" s="601">
        <f>E41+E46</f>
        <v>461200</v>
      </c>
      <c r="F40" s="601">
        <f>F41+F46</f>
        <v>370143</v>
      </c>
      <c r="G40" s="572">
        <f>F40/E40</f>
        <v>0.8025650477016478</v>
      </c>
    </row>
    <row r="41" spans="1:7" s="709" customFormat="1" ht="19.5" customHeight="1">
      <c r="A41" s="737"/>
      <c r="B41" s="722">
        <v>63001</v>
      </c>
      <c r="C41" s="722" t="s">
        <v>893</v>
      </c>
      <c r="D41" s="723">
        <f>D42</f>
        <v>160000</v>
      </c>
      <c r="E41" s="723">
        <f>E42</f>
        <v>160000</v>
      </c>
      <c r="F41" s="723">
        <f>F42</f>
        <v>160000</v>
      </c>
      <c r="G41" s="724">
        <f>F41/E41</f>
        <v>1</v>
      </c>
    </row>
    <row r="42" spans="1:7" s="709" customFormat="1" ht="19.5" customHeight="1">
      <c r="A42" s="737"/>
      <c r="B42" s="737"/>
      <c r="C42" s="737" t="s">
        <v>1004</v>
      </c>
      <c r="D42" s="626">
        <v>160000</v>
      </c>
      <c r="E42" s="626">
        <v>160000</v>
      </c>
      <c r="F42" s="626">
        <v>160000</v>
      </c>
      <c r="G42" s="627">
        <f>F42/E42</f>
        <v>1</v>
      </c>
    </row>
    <row r="43" spans="1:7" s="709" customFormat="1" ht="15" customHeight="1">
      <c r="A43" s="737"/>
      <c r="B43" s="737"/>
      <c r="C43" s="726" t="s">
        <v>1005</v>
      </c>
      <c r="D43" s="748"/>
      <c r="E43" s="748"/>
      <c r="F43" s="748"/>
      <c r="G43" s="749"/>
    </row>
    <row r="44" spans="1:7" s="709" customFormat="1" ht="16.5" customHeight="1">
      <c r="A44" s="737"/>
      <c r="B44" s="737"/>
      <c r="C44" s="726" t="s">
        <v>1006</v>
      </c>
      <c r="D44" s="748"/>
      <c r="E44" s="748"/>
      <c r="F44" s="748"/>
      <c r="G44" s="749"/>
    </row>
    <row r="45" spans="1:7" s="709" customFormat="1" ht="16.5" customHeight="1">
      <c r="A45" s="737"/>
      <c r="B45" s="741"/>
      <c r="C45" s="750" t="s">
        <v>1002</v>
      </c>
      <c r="D45" s="751">
        <v>12000</v>
      </c>
      <c r="E45" s="751">
        <v>12000</v>
      </c>
      <c r="F45" s="751">
        <v>12000</v>
      </c>
      <c r="G45" s="752">
        <f>F45/E45</f>
        <v>1</v>
      </c>
    </row>
    <row r="46" spans="1:7" s="709" customFormat="1" ht="19.5" customHeight="1">
      <c r="A46" s="737"/>
      <c r="B46" s="232">
        <v>63003</v>
      </c>
      <c r="C46" s="232" t="s">
        <v>320</v>
      </c>
      <c r="D46" s="744">
        <f>D47+D48+D50</f>
        <v>240000</v>
      </c>
      <c r="E46" s="744">
        <f>E47+E48+E50</f>
        <v>301200</v>
      </c>
      <c r="F46" s="744">
        <f>F47+F48+F50</f>
        <v>210143</v>
      </c>
      <c r="G46" s="745">
        <f>F46/E46</f>
        <v>0.6976859229747676</v>
      </c>
    </row>
    <row r="47" spans="1:7" s="709" customFormat="1" ht="18.75" customHeight="1">
      <c r="A47" s="737"/>
      <c r="B47" s="737"/>
      <c r="C47" s="740" t="s">
        <v>1007</v>
      </c>
      <c r="D47" s="610">
        <v>50000</v>
      </c>
      <c r="E47" s="610">
        <v>50000</v>
      </c>
      <c r="F47" s="610">
        <v>48078</v>
      </c>
      <c r="G47" s="611">
        <f>F47/E47</f>
        <v>0.96156</v>
      </c>
    </row>
    <row r="48" spans="1:7" s="709" customFormat="1" ht="18.75" customHeight="1">
      <c r="A48" s="737"/>
      <c r="B48" s="737"/>
      <c r="C48" s="753" t="s">
        <v>1008</v>
      </c>
      <c r="D48" s="754">
        <v>190000</v>
      </c>
      <c r="E48" s="754">
        <v>190000</v>
      </c>
      <c r="F48" s="754">
        <v>162065</v>
      </c>
      <c r="G48" s="755">
        <f>F48/E48</f>
        <v>0.8529736842105263</v>
      </c>
    </row>
    <row r="49" spans="1:7" s="709" customFormat="1" ht="16.5" customHeight="1">
      <c r="A49" s="737"/>
      <c r="B49" s="737"/>
      <c r="C49" s="756" t="s">
        <v>1009</v>
      </c>
      <c r="D49" s="757"/>
      <c r="E49" s="757">
        <v>4056</v>
      </c>
      <c r="F49" s="757">
        <v>4056</v>
      </c>
      <c r="G49" s="758">
        <f>F49/E49</f>
        <v>1</v>
      </c>
    </row>
    <row r="50" spans="1:7" s="709" customFormat="1" ht="25.5" customHeight="1">
      <c r="A50" s="741"/>
      <c r="B50" s="741"/>
      <c r="C50" s="495" t="s">
        <v>1010</v>
      </c>
      <c r="D50" s="742"/>
      <c r="E50" s="742">
        <v>61200</v>
      </c>
      <c r="F50" s="742"/>
      <c r="G50" s="743"/>
    </row>
    <row r="51" spans="1:7" s="709" customFormat="1" ht="19.5" customHeight="1">
      <c r="A51" s="720">
        <v>700</v>
      </c>
      <c r="B51" s="720"/>
      <c r="C51" s="720" t="s">
        <v>387</v>
      </c>
      <c r="D51" s="601">
        <f>D52+D58+D62+D68+D66</f>
        <v>8308000</v>
      </c>
      <c r="E51" s="601">
        <f>E52+E58+E62+E68+E66</f>
        <v>9684365</v>
      </c>
      <c r="F51" s="601">
        <f>F52+F58+F62+F68+F66</f>
        <v>9592163</v>
      </c>
      <c r="G51" s="572">
        <f>F51/E51</f>
        <v>0.9904792931699704</v>
      </c>
    </row>
    <row r="52" spans="1:7" s="709" customFormat="1" ht="19.5" customHeight="1">
      <c r="A52" s="737"/>
      <c r="B52" s="722">
        <v>70001</v>
      </c>
      <c r="C52" s="722" t="s">
        <v>448</v>
      </c>
      <c r="D52" s="723">
        <f>D53</f>
        <v>4350000</v>
      </c>
      <c r="E52" s="723">
        <f>E53</f>
        <v>4445000</v>
      </c>
      <c r="F52" s="723">
        <f>F53</f>
        <v>4445000</v>
      </c>
      <c r="G52" s="724">
        <f>F52/E52</f>
        <v>1</v>
      </c>
    </row>
    <row r="53" spans="1:7" s="709" customFormat="1" ht="19.5" customHeight="1">
      <c r="A53" s="737"/>
      <c r="B53" s="737"/>
      <c r="C53" s="759" t="s">
        <v>1011</v>
      </c>
      <c r="D53" s="760">
        <v>4350000</v>
      </c>
      <c r="E53" s="760">
        <v>4445000</v>
      </c>
      <c r="F53" s="760">
        <v>4445000</v>
      </c>
      <c r="G53" s="761">
        <f>F53/E53</f>
        <v>1</v>
      </c>
    </row>
    <row r="54" spans="1:7" s="709" customFormat="1" ht="15" customHeight="1">
      <c r="A54" s="737"/>
      <c r="B54" s="737"/>
      <c r="C54" s="762" t="s">
        <v>1005</v>
      </c>
      <c r="D54" s="748"/>
      <c r="E54" s="748"/>
      <c r="F54" s="748"/>
      <c r="G54" s="749"/>
    </row>
    <row r="55" spans="1:7" s="709" customFormat="1" ht="24.75" customHeight="1">
      <c r="A55" s="741"/>
      <c r="B55" s="741"/>
      <c r="C55" s="763" t="s">
        <v>1012</v>
      </c>
      <c r="D55" s="751"/>
      <c r="E55" s="751"/>
      <c r="F55" s="751"/>
      <c r="G55" s="752"/>
    </row>
    <row r="56" spans="1:7" s="709" customFormat="1" ht="16.5" customHeight="1">
      <c r="A56" s="737"/>
      <c r="B56" s="737"/>
      <c r="C56" s="762" t="s">
        <v>1013</v>
      </c>
      <c r="D56" s="748">
        <v>4000000</v>
      </c>
      <c r="E56" s="748">
        <v>4000000</v>
      </c>
      <c r="F56" s="748">
        <v>4000000</v>
      </c>
      <c r="G56" s="749">
        <f aca="true" t="shared" si="4" ref="G56:G71">F56/E56</f>
        <v>1</v>
      </c>
    </row>
    <row r="57" spans="1:7" s="709" customFormat="1" ht="16.5" customHeight="1">
      <c r="A57" s="737"/>
      <c r="B57" s="741"/>
      <c r="C57" s="763" t="s">
        <v>1002</v>
      </c>
      <c r="D57" s="751">
        <v>350000</v>
      </c>
      <c r="E57" s="751">
        <v>445000</v>
      </c>
      <c r="F57" s="751">
        <v>445000</v>
      </c>
      <c r="G57" s="752">
        <f t="shared" si="4"/>
        <v>1</v>
      </c>
    </row>
    <row r="58" spans="1:7" s="709" customFormat="1" ht="19.5" customHeight="1">
      <c r="A58" s="737"/>
      <c r="B58" s="78">
        <v>70004</v>
      </c>
      <c r="C58" s="506" t="s">
        <v>1014</v>
      </c>
      <c r="D58" s="744">
        <f>SUM(D59:D61)</f>
        <v>275000</v>
      </c>
      <c r="E58" s="744">
        <f>SUM(E59:E61)</f>
        <v>275000</v>
      </c>
      <c r="F58" s="744">
        <f>SUM(F59:F61)</f>
        <v>235651</v>
      </c>
      <c r="G58" s="745">
        <f t="shared" si="4"/>
        <v>0.8569127272727273</v>
      </c>
    </row>
    <row r="59" spans="1:7" s="709" customFormat="1" ht="19.5" customHeight="1">
      <c r="A59" s="737"/>
      <c r="B59" s="737"/>
      <c r="C59" s="739" t="s">
        <v>1015</v>
      </c>
      <c r="D59" s="586">
        <v>200000</v>
      </c>
      <c r="E59" s="586">
        <v>200000</v>
      </c>
      <c r="F59" s="586">
        <v>200000</v>
      </c>
      <c r="G59" s="587">
        <f t="shared" si="4"/>
        <v>1</v>
      </c>
    </row>
    <row r="60" spans="1:7" s="709" customFormat="1" ht="27.75" customHeight="1">
      <c r="A60" s="737"/>
      <c r="B60" s="737"/>
      <c r="C60" s="510" t="s">
        <v>1016</v>
      </c>
      <c r="D60" s="764">
        <v>25000</v>
      </c>
      <c r="E60" s="764">
        <v>25000</v>
      </c>
      <c r="F60" s="764">
        <v>21781</v>
      </c>
      <c r="G60" s="746">
        <f t="shared" si="4"/>
        <v>0.87124</v>
      </c>
    </row>
    <row r="61" spans="1:7" s="709" customFormat="1" ht="19.5" customHeight="1">
      <c r="A61" s="737"/>
      <c r="B61" s="741"/>
      <c r="C61" s="495" t="s">
        <v>1017</v>
      </c>
      <c r="D61" s="742">
        <v>50000</v>
      </c>
      <c r="E61" s="742">
        <v>50000</v>
      </c>
      <c r="F61" s="742">
        <v>13870</v>
      </c>
      <c r="G61" s="743">
        <f t="shared" si="4"/>
        <v>0.2774</v>
      </c>
    </row>
    <row r="62" spans="1:7" s="709" customFormat="1" ht="19.5" customHeight="1">
      <c r="A62" s="737"/>
      <c r="B62" s="232">
        <v>70005</v>
      </c>
      <c r="C62" s="232" t="s">
        <v>425</v>
      </c>
      <c r="D62" s="744">
        <f>D63+D65</f>
        <v>683000</v>
      </c>
      <c r="E62" s="744">
        <f>E63+E65</f>
        <v>1314365</v>
      </c>
      <c r="F62" s="744">
        <f>F63+F65</f>
        <v>1261818</v>
      </c>
      <c r="G62" s="745">
        <f t="shared" si="4"/>
        <v>0.9600209987332285</v>
      </c>
    </row>
    <row r="63" spans="1:7" s="709" customFormat="1" ht="28.5" customHeight="1">
      <c r="A63" s="737"/>
      <c r="B63" s="737"/>
      <c r="C63" s="759" t="s">
        <v>1018</v>
      </c>
      <c r="D63" s="760">
        <v>483000</v>
      </c>
      <c r="E63" s="760">
        <v>633000</v>
      </c>
      <c r="F63" s="760">
        <v>580453</v>
      </c>
      <c r="G63" s="761">
        <f t="shared" si="4"/>
        <v>0.9169873617693522</v>
      </c>
    </row>
    <row r="64" spans="1:7" s="709" customFormat="1" ht="16.5" customHeight="1">
      <c r="A64" s="737"/>
      <c r="B64" s="737"/>
      <c r="C64" s="756" t="s">
        <v>1019</v>
      </c>
      <c r="D64" s="757">
        <v>180000</v>
      </c>
      <c r="E64" s="757">
        <v>304000</v>
      </c>
      <c r="F64" s="757">
        <v>279089</v>
      </c>
      <c r="G64" s="758">
        <f t="shared" si="4"/>
        <v>0.9180559210526316</v>
      </c>
    </row>
    <row r="65" spans="1:7" s="709" customFormat="1" ht="19.5" customHeight="1">
      <c r="A65" s="737"/>
      <c r="B65" s="741"/>
      <c r="C65" s="495" t="s">
        <v>1017</v>
      </c>
      <c r="D65" s="742">
        <v>200000</v>
      </c>
      <c r="E65" s="742">
        <v>681365</v>
      </c>
      <c r="F65" s="742">
        <v>681365</v>
      </c>
      <c r="G65" s="743">
        <f t="shared" si="4"/>
        <v>1</v>
      </c>
    </row>
    <row r="66" spans="1:7" s="709" customFormat="1" ht="19.5" customHeight="1">
      <c r="A66" s="737"/>
      <c r="B66" s="232">
        <v>70021</v>
      </c>
      <c r="C66" s="232" t="s">
        <v>1020</v>
      </c>
      <c r="D66" s="744">
        <f>D67</f>
        <v>1000000</v>
      </c>
      <c r="E66" s="744">
        <f>E67</f>
        <v>1000000</v>
      </c>
      <c r="F66" s="744">
        <f>F67</f>
        <v>1000000</v>
      </c>
      <c r="G66" s="745">
        <f t="shared" si="4"/>
        <v>1</v>
      </c>
    </row>
    <row r="67" spans="1:7" s="709" customFormat="1" ht="19.5" customHeight="1">
      <c r="A67" s="737"/>
      <c r="B67" s="747"/>
      <c r="C67" s="414" t="s">
        <v>1021</v>
      </c>
      <c r="D67" s="727">
        <v>1000000</v>
      </c>
      <c r="E67" s="727">
        <v>1000000</v>
      </c>
      <c r="F67" s="727">
        <v>1000000</v>
      </c>
      <c r="G67" s="728">
        <f t="shared" si="4"/>
        <v>1</v>
      </c>
    </row>
    <row r="68" spans="1:7" s="709" customFormat="1" ht="19.5" customHeight="1">
      <c r="A68" s="737"/>
      <c r="B68" s="232">
        <v>70095</v>
      </c>
      <c r="C68" s="232" t="s">
        <v>966</v>
      </c>
      <c r="D68" s="744">
        <f>SUM(D69:D69)</f>
        <v>2000000</v>
      </c>
      <c r="E68" s="744">
        <f>SUM(E69:E69)</f>
        <v>2650000</v>
      </c>
      <c r="F68" s="744">
        <f>SUM(F69:F69)</f>
        <v>2649694</v>
      </c>
      <c r="G68" s="745">
        <f t="shared" si="4"/>
        <v>0.9998845283018868</v>
      </c>
    </row>
    <row r="69" spans="1:7" s="709" customFormat="1" ht="19.5" customHeight="1">
      <c r="A69" s="741"/>
      <c r="B69" s="741"/>
      <c r="C69" s="741" t="s">
        <v>1002</v>
      </c>
      <c r="D69" s="742">
        <v>2000000</v>
      </c>
      <c r="E69" s="742">
        <v>2650000</v>
      </c>
      <c r="F69" s="742">
        <v>2649694</v>
      </c>
      <c r="G69" s="743">
        <f t="shared" si="4"/>
        <v>0.9998845283018868</v>
      </c>
    </row>
    <row r="70" spans="1:7" s="709" customFormat="1" ht="19.5" customHeight="1">
      <c r="A70" s="720">
        <v>710</v>
      </c>
      <c r="B70" s="720"/>
      <c r="C70" s="720" t="s">
        <v>393</v>
      </c>
      <c r="D70" s="601">
        <f>D71+D74+D81+D76</f>
        <v>2007400</v>
      </c>
      <c r="E70" s="601">
        <f>E71+E74+E81+E76</f>
        <v>2473300</v>
      </c>
      <c r="F70" s="601">
        <f>F71+F74+F81+F76</f>
        <v>2145209</v>
      </c>
      <c r="G70" s="572">
        <f t="shared" si="4"/>
        <v>0.8673468645129988</v>
      </c>
    </row>
    <row r="71" spans="1:7" s="709" customFormat="1" ht="19.5" customHeight="1">
      <c r="A71" s="737"/>
      <c r="B71" s="722">
        <v>71004</v>
      </c>
      <c r="C71" s="722" t="s">
        <v>1022</v>
      </c>
      <c r="D71" s="723">
        <f>SUM(D72:D73)</f>
        <v>110000</v>
      </c>
      <c r="E71" s="723">
        <f>SUM(E72:E73)</f>
        <v>107000</v>
      </c>
      <c r="F71" s="723">
        <f>SUM(F72:F73)</f>
        <v>65786</v>
      </c>
      <c r="G71" s="724">
        <f t="shared" si="4"/>
        <v>0.614822429906542</v>
      </c>
    </row>
    <row r="72" spans="1:7" s="709" customFormat="1" ht="19.5" customHeight="1">
      <c r="A72" s="737"/>
      <c r="B72" s="737"/>
      <c r="C72" s="494" t="s">
        <v>1023</v>
      </c>
      <c r="D72" s="586">
        <v>3000</v>
      </c>
      <c r="E72" s="586"/>
      <c r="F72" s="586"/>
      <c r="G72" s="587"/>
    </row>
    <row r="73" spans="1:7" s="709" customFormat="1" ht="19.5" customHeight="1">
      <c r="A73" s="737"/>
      <c r="B73" s="741"/>
      <c r="C73" s="741" t="s">
        <v>1024</v>
      </c>
      <c r="D73" s="742">
        <v>107000</v>
      </c>
      <c r="E73" s="742">
        <v>107000</v>
      </c>
      <c r="F73" s="742">
        <v>65786</v>
      </c>
      <c r="G73" s="743">
        <f aca="true" t="shared" si="5" ref="G73:G79">F73/E73</f>
        <v>0.614822429906542</v>
      </c>
    </row>
    <row r="74" spans="1:7" s="709" customFormat="1" ht="19.5" customHeight="1">
      <c r="A74" s="737"/>
      <c r="B74" s="232">
        <v>71014</v>
      </c>
      <c r="C74" s="232" t="s">
        <v>1025</v>
      </c>
      <c r="D74" s="744">
        <f>D75</f>
        <v>800000</v>
      </c>
      <c r="E74" s="744">
        <f>E75</f>
        <v>800000</v>
      </c>
      <c r="F74" s="744">
        <f>F75</f>
        <v>798020</v>
      </c>
      <c r="G74" s="745">
        <f t="shared" si="5"/>
        <v>0.997525</v>
      </c>
    </row>
    <row r="75" spans="1:7" s="709" customFormat="1" ht="27" customHeight="1">
      <c r="A75" s="737"/>
      <c r="B75" s="747"/>
      <c r="C75" s="414" t="s">
        <v>1026</v>
      </c>
      <c r="D75" s="727">
        <v>800000</v>
      </c>
      <c r="E75" s="727">
        <v>800000</v>
      </c>
      <c r="F75" s="727">
        <v>798020</v>
      </c>
      <c r="G75" s="728">
        <f t="shared" si="5"/>
        <v>0.997525</v>
      </c>
    </row>
    <row r="76" spans="1:7" s="709" customFormat="1" ht="19.5" customHeight="1">
      <c r="A76" s="737"/>
      <c r="B76" s="232">
        <v>71035</v>
      </c>
      <c r="C76" s="232" t="s">
        <v>442</v>
      </c>
      <c r="D76" s="744">
        <f>SUM(D77:D78)</f>
        <v>1053400</v>
      </c>
      <c r="E76" s="744">
        <f>SUM(E77:E79)</f>
        <v>1522300</v>
      </c>
      <c r="F76" s="744">
        <f>SUM(F77:F79)</f>
        <v>1237403</v>
      </c>
      <c r="G76" s="745">
        <f t="shared" si="5"/>
        <v>0.8128509492215726</v>
      </c>
    </row>
    <row r="77" spans="1:7" s="709" customFormat="1" ht="19.5" customHeight="1">
      <c r="A77" s="737"/>
      <c r="B77" s="738"/>
      <c r="C77" s="494" t="s">
        <v>1027</v>
      </c>
      <c r="D77" s="586">
        <v>1020000</v>
      </c>
      <c r="E77" s="586">
        <v>1235900</v>
      </c>
      <c r="F77" s="586">
        <v>1142400</v>
      </c>
      <c r="G77" s="587">
        <f t="shared" si="5"/>
        <v>0.9243466299862448</v>
      </c>
    </row>
    <row r="78" spans="1:7" s="709" customFormat="1" ht="19.5" customHeight="1">
      <c r="A78" s="737"/>
      <c r="B78" s="737"/>
      <c r="C78" s="765" t="s">
        <v>1028</v>
      </c>
      <c r="D78" s="610">
        <v>33400</v>
      </c>
      <c r="E78" s="610">
        <v>36400</v>
      </c>
      <c r="F78" s="610">
        <v>36101</v>
      </c>
      <c r="G78" s="611">
        <f t="shared" si="5"/>
        <v>0.9917857142857143</v>
      </c>
    </row>
    <row r="79" spans="1:7" s="709" customFormat="1" ht="19.5" customHeight="1">
      <c r="A79" s="737"/>
      <c r="B79" s="737"/>
      <c r="C79" s="766" t="s">
        <v>1002</v>
      </c>
      <c r="D79" s="626"/>
      <c r="E79" s="626">
        <v>250000</v>
      </c>
      <c r="F79" s="626">
        <v>58902</v>
      </c>
      <c r="G79" s="627">
        <f t="shared" si="5"/>
        <v>0.235608</v>
      </c>
    </row>
    <row r="80" spans="1:7" s="709" customFormat="1" ht="19.5" customHeight="1">
      <c r="A80" s="767"/>
      <c r="B80" s="767"/>
      <c r="C80" s="660"/>
      <c r="D80" s="768"/>
      <c r="E80" s="768"/>
      <c r="F80" s="768"/>
      <c r="G80" s="769"/>
    </row>
    <row r="81" spans="1:7" s="709" customFormat="1" ht="19.5" customHeight="1">
      <c r="A81" s="737"/>
      <c r="B81" s="232">
        <v>71095</v>
      </c>
      <c r="C81" s="232" t="s">
        <v>966</v>
      </c>
      <c r="D81" s="744">
        <f>D82</f>
        <v>44000</v>
      </c>
      <c r="E81" s="744">
        <f>E82</f>
        <v>44000</v>
      </c>
      <c r="F81" s="744">
        <f>F82</f>
        <v>44000</v>
      </c>
      <c r="G81" s="745">
        <f aca="true" t="shared" si="6" ref="G81:G86">F81/E81</f>
        <v>1</v>
      </c>
    </row>
    <row r="82" spans="1:7" s="709" customFormat="1" ht="19.5" customHeight="1">
      <c r="A82" s="737"/>
      <c r="B82" s="738"/>
      <c r="C82" s="739" t="s">
        <v>1021</v>
      </c>
      <c r="D82" s="586">
        <v>44000</v>
      </c>
      <c r="E82" s="586">
        <v>44000</v>
      </c>
      <c r="F82" s="586">
        <v>44000</v>
      </c>
      <c r="G82" s="728">
        <f t="shared" si="6"/>
        <v>1</v>
      </c>
    </row>
    <row r="83" spans="1:7" s="709" customFormat="1" ht="19.5" customHeight="1">
      <c r="A83" s="719">
        <v>750</v>
      </c>
      <c r="B83" s="719"/>
      <c r="C83" s="719" t="s">
        <v>391</v>
      </c>
      <c r="D83" s="735">
        <f>D84+D89+D95</f>
        <v>49133000</v>
      </c>
      <c r="E83" s="735">
        <f>E84+E89+E95</f>
        <v>49591000</v>
      </c>
      <c r="F83" s="735">
        <f>F84+F89+F95</f>
        <v>48985940</v>
      </c>
      <c r="G83" s="736">
        <f t="shared" si="6"/>
        <v>0.9877989957855255</v>
      </c>
    </row>
    <row r="84" spans="1:7" s="709" customFormat="1" ht="19.5" customHeight="1">
      <c r="A84" s="737"/>
      <c r="B84" s="722">
        <v>75022</v>
      </c>
      <c r="C84" s="722" t="s">
        <v>1029</v>
      </c>
      <c r="D84" s="723">
        <f>D85+D86+D88</f>
        <v>1196000</v>
      </c>
      <c r="E84" s="723">
        <f>E85+E86+E88</f>
        <v>1196000</v>
      </c>
      <c r="F84" s="723">
        <f>F85+F86+F88</f>
        <v>1168813</v>
      </c>
      <c r="G84" s="724">
        <f t="shared" si="6"/>
        <v>0.9772683946488294</v>
      </c>
    </row>
    <row r="85" spans="1:7" s="709" customFormat="1" ht="19.5" customHeight="1">
      <c r="A85" s="737"/>
      <c r="B85" s="737"/>
      <c r="C85" s="739" t="s">
        <v>1030</v>
      </c>
      <c r="D85" s="586">
        <v>810000</v>
      </c>
      <c r="E85" s="586">
        <v>810000</v>
      </c>
      <c r="F85" s="586">
        <v>805385</v>
      </c>
      <c r="G85" s="587">
        <f t="shared" si="6"/>
        <v>0.9943024691358024</v>
      </c>
    </row>
    <row r="86" spans="1:7" s="709" customFormat="1" ht="19.5" customHeight="1">
      <c r="A86" s="737"/>
      <c r="B86" s="737"/>
      <c r="C86" s="753" t="s">
        <v>1031</v>
      </c>
      <c r="D86" s="754">
        <v>376000</v>
      </c>
      <c r="E86" s="754">
        <v>386000</v>
      </c>
      <c r="F86" s="754">
        <v>363428</v>
      </c>
      <c r="G86" s="755">
        <f t="shared" si="6"/>
        <v>0.9415233160621762</v>
      </c>
    </row>
    <row r="87" spans="1:7" s="709" customFormat="1" ht="16.5" customHeight="1">
      <c r="A87" s="737"/>
      <c r="B87" s="737"/>
      <c r="C87" s="756" t="s">
        <v>1019</v>
      </c>
      <c r="D87" s="757">
        <v>10000</v>
      </c>
      <c r="E87" s="757">
        <v>3900</v>
      </c>
      <c r="F87" s="757"/>
      <c r="G87" s="758"/>
    </row>
    <row r="88" spans="1:7" s="709" customFormat="1" ht="19.5" customHeight="1">
      <c r="A88" s="737"/>
      <c r="B88" s="741"/>
      <c r="C88" s="508" t="s">
        <v>1032</v>
      </c>
      <c r="D88" s="770">
        <v>10000</v>
      </c>
      <c r="E88" s="770"/>
      <c r="F88" s="770"/>
      <c r="G88" s="771"/>
    </row>
    <row r="89" spans="1:7" s="709" customFormat="1" ht="19.5" customHeight="1">
      <c r="A89" s="737"/>
      <c r="B89" s="232">
        <v>75023</v>
      </c>
      <c r="C89" s="232" t="s">
        <v>449</v>
      </c>
      <c r="D89" s="744">
        <f>D90+D91+D93+D94</f>
        <v>46912000</v>
      </c>
      <c r="E89" s="744">
        <f>E90+E91+E93+E94</f>
        <v>46880000</v>
      </c>
      <c r="F89" s="744">
        <f>F90+F91+F93+F94</f>
        <v>46309451</v>
      </c>
      <c r="G89" s="745">
        <f aca="true" t="shared" si="7" ref="G89:G96">F89/E89</f>
        <v>0.9878295861774744</v>
      </c>
    </row>
    <row r="90" spans="1:7" s="709" customFormat="1" ht="19.5" customHeight="1">
      <c r="A90" s="737"/>
      <c r="B90" s="737"/>
      <c r="C90" s="739" t="s">
        <v>1033</v>
      </c>
      <c r="D90" s="586">
        <v>29730000</v>
      </c>
      <c r="E90" s="586">
        <v>29072000</v>
      </c>
      <c r="F90" s="586">
        <v>28797838</v>
      </c>
      <c r="G90" s="587">
        <f t="shared" si="7"/>
        <v>0.9905695514584479</v>
      </c>
    </row>
    <row r="91" spans="1:7" s="709" customFormat="1" ht="19.5" customHeight="1">
      <c r="A91" s="737"/>
      <c r="B91" s="737"/>
      <c r="C91" s="753" t="s">
        <v>1034</v>
      </c>
      <c r="D91" s="754">
        <f>10000000-300000</f>
        <v>9700000</v>
      </c>
      <c r="E91" s="754">
        <v>11533000</v>
      </c>
      <c r="F91" s="754">
        <v>11366652</v>
      </c>
      <c r="G91" s="755">
        <f t="shared" si="7"/>
        <v>0.9855763461371716</v>
      </c>
    </row>
    <row r="92" spans="1:7" s="709" customFormat="1" ht="16.5" customHeight="1">
      <c r="A92" s="737"/>
      <c r="B92" s="737"/>
      <c r="C92" s="756" t="s">
        <v>1019</v>
      </c>
      <c r="D92" s="757">
        <v>500000</v>
      </c>
      <c r="E92" s="757">
        <v>588000</v>
      </c>
      <c r="F92" s="757">
        <v>466282</v>
      </c>
      <c r="G92" s="758">
        <f t="shared" si="7"/>
        <v>0.7929965986394558</v>
      </c>
    </row>
    <row r="93" spans="1:7" s="709" customFormat="1" ht="19.5" customHeight="1">
      <c r="A93" s="737"/>
      <c r="B93" s="737"/>
      <c r="C93" s="740" t="s">
        <v>1035</v>
      </c>
      <c r="D93" s="610">
        <v>5682000</v>
      </c>
      <c r="E93" s="610">
        <v>5225000</v>
      </c>
      <c r="F93" s="610">
        <v>5220167</v>
      </c>
      <c r="G93" s="611">
        <f t="shared" si="7"/>
        <v>0.9990750239234449</v>
      </c>
    </row>
    <row r="94" spans="1:7" s="709" customFormat="1" ht="19.5" customHeight="1">
      <c r="A94" s="737"/>
      <c r="B94" s="741"/>
      <c r="C94" s="741" t="s">
        <v>1002</v>
      </c>
      <c r="D94" s="742">
        <f>1000000+800000</f>
        <v>1800000</v>
      </c>
      <c r="E94" s="742">
        <v>1050000</v>
      </c>
      <c r="F94" s="742">
        <v>924794</v>
      </c>
      <c r="G94" s="743">
        <f t="shared" si="7"/>
        <v>0.8807561904761905</v>
      </c>
    </row>
    <row r="95" spans="1:7" s="709" customFormat="1" ht="19.5" customHeight="1">
      <c r="A95" s="737"/>
      <c r="B95" s="232">
        <v>75095</v>
      </c>
      <c r="C95" s="232" t="s">
        <v>966</v>
      </c>
      <c r="D95" s="744">
        <f>SUM(D96:D98)</f>
        <v>1025000</v>
      </c>
      <c r="E95" s="744">
        <f>SUM(E96:E98)</f>
        <v>1515000</v>
      </c>
      <c r="F95" s="744">
        <f>SUM(F96:F98)</f>
        <v>1507676</v>
      </c>
      <c r="G95" s="745">
        <f t="shared" si="7"/>
        <v>0.9951656765676568</v>
      </c>
    </row>
    <row r="96" spans="1:7" s="709" customFormat="1" ht="19.5" customHeight="1">
      <c r="A96" s="737"/>
      <c r="B96" s="738"/>
      <c r="C96" s="738" t="s">
        <v>1036</v>
      </c>
      <c r="D96" s="772">
        <v>1000000</v>
      </c>
      <c r="E96" s="772">
        <v>1493000</v>
      </c>
      <c r="F96" s="772">
        <v>1486175</v>
      </c>
      <c r="G96" s="773">
        <f t="shared" si="7"/>
        <v>0.9954286671131949</v>
      </c>
    </row>
    <row r="97" spans="1:7" s="709" customFormat="1" ht="16.5" customHeight="1">
      <c r="A97" s="737"/>
      <c r="B97" s="737"/>
      <c r="C97" s="774" t="s">
        <v>1037</v>
      </c>
      <c r="D97" s="764"/>
      <c r="E97" s="764"/>
      <c r="F97" s="764"/>
      <c r="G97" s="746"/>
    </row>
    <row r="98" spans="1:7" s="709" customFormat="1" ht="19.5" customHeight="1">
      <c r="A98" s="741"/>
      <c r="B98" s="741"/>
      <c r="C98" s="495" t="s">
        <v>1038</v>
      </c>
      <c r="D98" s="742">
        <v>25000</v>
      </c>
      <c r="E98" s="742">
        <v>22000</v>
      </c>
      <c r="F98" s="742">
        <v>21501</v>
      </c>
      <c r="G98" s="743">
        <f>F98/E98</f>
        <v>0.9773181818181819</v>
      </c>
    </row>
    <row r="99" spans="1:7" s="709" customFormat="1" ht="19.5" customHeight="1">
      <c r="A99" s="96">
        <v>754</v>
      </c>
      <c r="B99" s="720"/>
      <c r="C99" s="105" t="s">
        <v>394</v>
      </c>
      <c r="D99" s="601">
        <f>D100+D102+D105+D107+D112</f>
        <v>5027500</v>
      </c>
      <c r="E99" s="601">
        <f>E100+E102+E105+E107+E112</f>
        <v>5247500</v>
      </c>
      <c r="F99" s="601">
        <f>F100+F102+F105+F107+F112</f>
        <v>5003876</v>
      </c>
      <c r="G99" s="572">
        <f>F99/E99</f>
        <v>0.9535733206288709</v>
      </c>
    </row>
    <row r="100" spans="1:7" s="709" customFormat="1" ht="19.5" customHeight="1">
      <c r="A100" s="737"/>
      <c r="B100" s="722">
        <v>75405</v>
      </c>
      <c r="C100" s="722" t="s">
        <v>332</v>
      </c>
      <c r="D100" s="723">
        <f>D101</f>
        <v>100000</v>
      </c>
      <c r="E100" s="723">
        <f>E101</f>
        <v>100000</v>
      </c>
      <c r="F100" s="723"/>
      <c r="G100" s="724"/>
    </row>
    <row r="101" spans="1:7" s="709" customFormat="1" ht="19.5" customHeight="1">
      <c r="A101" s="737"/>
      <c r="B101" s="747"/>
      <c r="C101" s="414" t="s">
        <v>1039</v>
      </c>
      <c r="D101" s="727">
        <v>100000</v>
      </c>
      <c r="E101" s="727">
        <v>100000</v>
      </c>
      <c r="F101" s="727"/>
      <c r="G101" s="728"/>
    </row>
    <row r="102" spans="1:7" s="709" customFormat="1" ht="19.5" customHeight="1">
      <c r="A102" s="737"/>
      <c r="B102" s="232">
        <v>75411</v>
      </c>
      <c r="C102" s="232" t="s">
        <v>432</v>
      </c>
      <c r="D102" s="744">
        <f>D103</f>
        <v>100000</v>
      </c>
      <c r="E102" s="744">
        <f>E103</f>
        <v>100000</v>
      </c>
      <c r="F102" s="744">
        <f>F103</f>
        <v>100000</v>
      </c>
      <c r="G102" s="724">
        <f>F102/E102</f>
        <v>1</v>
      </c>
    </row>
    <row r="103" spans="1:7" s="709" customFormat="1" ht="19.5" customHeight="1">
      <c r="A103" s="737"/>
      <c r="B103" s="737"/>
      <c r="C103" s="753" t="s">
        <v>1040</v>
      </c>
      <c r="D103" s="754">
        <v>100000</v>
      </c>
      <c r="E103" s="754">
        <v>100000</v>
      </c>
      <c r="F103" s="754">
        <v>100000</v>
      </c>
      <c r="G103" s="755">
        <f>F103/E103</f>
        <v>1</v>
      </c>
    </row>
    <row r="104" spans="1:7" s="709" customFormat="1" ht="16.5" customHeight="1">
      <c r="A104" s="737"/>
      <c r="B104" s="741"/>
      <c r="C104" s="775" t="s">
        <v>1009</v>
      </c>
      <c r="D104" s="776">
        <v>100000</v>
      </c>
      <c r="E104" s="776">
        <v>75000</v>
      </c>
      <c r="F104" s="776">
        <v>75000</v>
      </c>
      <c r="G104" s="777">
        <f>F104/E104</f>
        <v>1</v>
      </c>
    </row>
    <row r="105" spans="1:7" s="725" customFormat="1" ht="19.5" customHeight="1">
      <c r="A105" s="231"/>
      <c r="B105" s="232">
        <v>75412</v>
      </c>
      <c r="C105" s="232" t="s">
        <v>1041</v>
      </c>
      <c r="D105" s="744">
        <f>D106</f>
        <v>40000</v>
      </c>
      <c r="E105" s="744">
        <f>E106</f>
        <v>40000</v>
      </c>
      <c r="F105" s="744">
        <f>F106</f>
        <v>38882</v>
      </c>
      <c r="G105" s="745">
        <f>F105/E105</f>
        <v>0.97205</v>
      </c>
    </row>
    <row r="106" spans="1:7" s="709" customFormat="1" ht="27" customHeight="1">
      <c r="A106" s="741"/>
      <c r="B106" s="747"/>
      <c r="C106" s="414" t="s">
        <v>1042</v>
      </c>
      <c r="D106" s="727">
        <v>40000</v>
      </c>
      <c r="E106" s="727">
        <v>40000</v>
      </c>
      <c r="F106" s="727">
        <v>38882</v>
      </c>
      <c r="G106" s="728">
        <f>F106/E106</f>
        <v>0.97205</v>
      </c>
    </row>
    <row r="107" spans="1:7" s="725" customFormat="1" ht="19.5" customHeight="1">
      <c r="A107" s="231"/>
      <c r="B107" s="232">
        <v>75416</v>
      </c>
      <c r="C107" s="232" t="s">
        <v>443</v>
      </c>
      <c r="D107" s="744">
        <f>D108+D109+D111</f>
        <v>4037500</v>
      </c>
      <c r="E107" s="744">
        <f>E108+E109+E111</f>
        <v>4257500</v>
      </c>
      <c r="F107" s="744">
        <f>F108+F109+F111</f>
        <v>4257313</v>
      </c>
      <c r="G107" s="745">
        <v>0.9999</v>
      </c>
    </row>
    <row r="108" spans="1:7" s="709" customFormat="1" ht="19.5" customHeight="1">
      <c r="A108" s="737"/>
      <c r="B108" s="737"/>
      <c r="C108" s="739" t="s">
        <v>1033</v>
      </c>
      <c r="D108" s="586">
        <v>2939000</v>
      </c>
      <c r="E108" s="586">
        <v>3069140</v>
      </c>
      <c r="F108" s="586">
        <v>3069073</v>
      </c>
      <c r="G108" s="587">
        <v>0.9999</v>
      </c>
    </row>
    <row r="109" spans="1:7" s="709" customFormat="1" ht="19.5" customHeight="1">
      <c r="A109" s="737"/>
      <c r="B109" s="737"/>
      <c r="C109" s="753" t="s">
        <v>1034</v>
      </c>
      <c r="D109" s="754">
        <v>521000</v>
      </c>
      <c r="E109" s="754">
        <v>609188</v>
      </c>
      <c r="F109" s="754">
        <v>609068</v>
      </c>
      <c r="G109" s="755">
        <f aca="true" t="shared" si="8" ref="G109:G127">F109/E109</f>
        <v>0.9998030164743889</v>
      </c>
    </row>
    <row r="110" spans="1:7" s="709" customFormat="1" ht="16.5" customHeight="1">
      <c r="A110" s="737"/>
      <c r="B110" s="737"/>
      <c r="C110" s="756" t="s">
        <v>1019</v>
      </c>
      <c r="D110" s="757"/>
      <c r="E110" s="757">
        <v>20000</v>
      </c>
      <c r="F110" s="757">
        <v>19886</v>
      </c>
      <c r="G110" s="758">
        <f t="shared" si="8"/>
        <v>0.9943</v>
      </c>
    </row>
    <row r="111" spans="1:7" s="709" customFormat="1" ht="19.5" customHeight="1">
      <c r="A111" s="737"/>
      <c r="B111" s="741"/>
      <c r="C111" s="778" t="s">
        <v>1035</v>
      </c>
      <c r="D111" s="770">
        <v>577500</v>
      </c>
      <c r="E111" s="770">
        <v>579172</v>
      </c>
      <c r="F111" s="770">
        <v>579172</v>
      </c>
      <c r="G111" s="771">
        <f t="shared" si="8"/>
        <v>1</v>
      </c>
    </row>
    <row r="112" spans="1:7" s="709" customFormat="1" ht="19.5" customHeight="1">
      <c r="A112" s="737"/>
      <c r="B112" s="232">
        <v>75495</v>
      </c>
      <c r="C112" s="232" t="s">
        <v>966</v>
      </c>
      <c r="D112" s="744">
        <f>D113+D115</f>
        <v>750000</v>
      </c>
      <c r="E112" s="744">
        <f>E113+E115</f>
        <v>750000</v>
      </c>
      <c r="F112" s="744">
        <f>F113+F115</f>
        <v>607681</v>
      </c>
      <c r="G112" s="745">
        <f t="shared" si="8"/>
        <v>0.8102413333333334</v>
      </c>
    </row>
    <row r="113" spans="1:7" s="709" customFormat="1" ht="19.5" customHeight="1">
      <c r="A113" s="737"/>
      <c r="B113" s="737"/>
      <c r="C113" s="753" t="s">
        <v>1043</v>
      </c>
      <c r="D113" s="754">
        <v>650000</v>
      </c>
      <c r="E113" s="754">
        <v>650000</v>
      </c>
      <c r="F113" s="754">
        <v>508541</v>
      </c>
      <c r="G113" s="755">
        <f t="shared" si="8"/>
        <v>0.7823707692307692</v>
      </c>
    </row>
    <row r="114" spans="1:7" s="709" customFormat="1" ht="16.5" customHeight="1">
      <c r="A114" s="737"/>
      <c r="B114" s="737"/>
      <c r="C114" s="756" t="s">
        <v>1009</v>
      </c>
      <c r="D114" s="757">
        <v>627600</v>
      </c>
      <c r="E114" s="757">
        <v>627234</v>
      </c>
      <c r="F114" s="757">
        <v>486141</v>
      </c>
      <c r="G114" s="758">
        <f t="shared" si="8"/>
        <v>0.7750552425410613</v>
      </c>
    </row>
    <row r="115" spans="1:7" s="709" customFormat="1" ht="19.5" customHeight="1">
      <c r="A115" s="737"/>
      <c r="B115" s="737"/>
      <c r="C115" s="779" t="s">
        <v>1044</v>
      </c>
      <c r="D115" s="754">
        <v>100000</v>
      </c>
      <c r="E115" s="754">
        <v>100000</v>
      </c>
      <c r="F115" s="754">
        <v>99140</v>
      </c>
      <c r="G115" s="755">
        <f t="shared" si="8"/>
        <v>0.9914</v>
      </c>
    </row>
    <row r="116" spans="1:7" s="709" customFormat="1" ht="16.5" customHeight="1">
      <c r="A116" s="741"/>
      <c r="B116" s="741"/>
      <c r="C116" s="775" t="s">
        <v>1009</v>
      </c>
      <c r="D116" s="776"/>
      <c r="E116" s="776">
        <v>70584</v>
      </c>
      <c r="F116" s="776">
        <v>70584</v>
      </c>
      <c r="G116" s="777">
        <f t="shared" si="8"/>
        <v>1</v>
      </c>
    </row>
    <row r="117" spans="1:7" s="709" customFormat="1" ht="39" customHeight="1">
      <c r="A117" s="720">
        <v>756</v>
      </c>
      <c r="B117" s="720"/>
      <c r="C117" s="105" t="s">
        <v>1045</v>
      </c>
      <c r="D117" s="601">
        <f aca="true" t="shared" si="9" ref="D117:F118">D118</f>
        <v>350000</v>
      </c>
      <c r="E117" s="601">
        <f t="shared" si="9"/>
        <v>350000</v>
      </c>
      <c r="F117" s="601">
        <f t="shared" si="9"/>
        <v>221712</v>
      </c>
      <c r="G117" s="572">
        <f t="shared" si="8"/>
        <v>0.6334628571428571</v>
      </c>
    </row>
    <row r="118" spans="1:7" s="709" customFormat="1" ht="19.5" customHeight="1">
      <c r="A118" s="737"/>
      <c r="B118" s="47">
        <v>75647</v>
      </c>
      <c r="C118" s="387" t="s">
        <v>1046</v>
      </c>
      <c r="D118" s="723">
        <f t="shared" si="9"/>
        <v>350000</v>
      </c>
      <c r="E118" s="723">
        <f t="shared" si="9"/>
        <v>350000</v>
      </c>
      <c r="F118" s="723">
        <f t="shared" si="9"/>
        <v>221712</v>
      </c>
      <c r="G118" s="724">
        <f t="shared" si="8"/>
        <v>0.6334628571428571</v>
      </c>
    </row>
    <row r="119" spans="1:7" s="709" customFormat="1" ht="19.5" customHeight="1">
      <c r="A119" s="741"/>
      <c r="B119" s="741"/>
      <c r="C119" s="414" t="s">
        <v>1047</v>
      </c>
      <c r="D119" s="727">
        <v>350000</v>
      </c>
      <c r="E119" s="727">
        <v>350000</v>
      </c>
      <c r="F119" s="727">
        <v>221712</v>
      </c>
      <c r="G119" s="728">
        <f t="shared" si="8"/>
        <v>0.6334628571428571</v>
      </c>
    </row>
    <row r="120" spans="1:7" s="709" customFormat="1" ht="19.5" customHeight="1">
      <c r="A120" s="720">
        <v>757</v>
      </c>
      <c r="B120" s="720"/>
      <c r="C120" s="720" t="s">
        <v>1048</v>
      </c>
      <c r="D120" s="601">
        <f>D121</f>
        <v>8100000</v>
      </c>
      <c r="E120" s="601">
        <f>E121</f>
        <v>8110000</v>
      </c>
      <c r="F120" s="601">
        <f>F121</f>
        <v>7847569</v>
      </c>
      <c r="G120" s="572">
        <f t="shared" si="8"/>
        <v>0.9676410604192355</v>
      </c>
    </row>
    <row r="121" spans="1:7" s="709" customFormat="1" ht="25.5" customHeight="1">
      <c r="A121" s="737"/>
      <c r="B121" s="780">
        <v>75702</v>
      </c>
      <c r="C121" s="387" t="s">
        <v>1049</v>
      </c>
      <c r="D121" s="723">
        <f>SUM(D122:D123)</f>
        <v>8100000</v>
      </c>
      <c r="E121" s="723">
        <f>SUM(E122:E123)</f>
        <v>8110000</v>
      </c>
      <c r="F121" s="723">
        <f>SUM(F122:F123)</f>
        <v>7847569</v>
      </c>
      <c r="G121" s="724">
        <f t="shared" si="8"/>
        <v>0.9676410604192355</v>
      </c>
    </row>
    <row r="122" spans="1:7" s="709" customFormat="1" ht="26.25" customHeight="1">
      <c r="A122" s="737"/>
      <c r="B122" s="737"/>
      <c r="C122" s="494" t="s">
        <v>1050</v>
      </c>
      <c r="D122" s="586">
        <v>7580000</v>
      </c>
      <c r="E122" s="586">
        <v>7580000</v>
      </c>
      <c r="F122" s="586">
        <v>7559200</v>
      </c>
      <c r="G122" s="587">
        <f t="shared" si="8"/>
        <v>0.9972559366754618</v>
      </c>
    </row>
    <row r="123" spans="1:7" s="709" customFormat="1" ht="19.5" customHeight="1">
      <c r="A123" s="741"/>
      <c r="B123" s="741"/>
      <c r="C123" s="495" t="s">
        <v>1051</v>
      </c>
      <c r="D123" s="742">
        <v>520000</v>
      </c>
      <c r="E123" s="742">
        <v>530000</v>
      </c>
      <c r="F123" s="742">
        <v>288369</v>
      </c>
      <c r="G123" s="743">
        <f t="shared" si="8"/>
        <v>0.5440924528301887</v>
      </c>
    </row>
    <row r="124" spans="1:7" s="709" customFormat="1" ht="19.5" customHeight="1">
      <c r="A124" s="720">
        <v>758</v>
      </c>
      <c r="B124" s="720"/>
      <c r="C124" s="720" t="s">
        <v>358</v>
      </c>
      <c r="D124" s="601">
        <f>D128+D133+D125</f>
        <v>11518804</v>
      </c>
      <c r="E124" s="601">
        <f>E128+E133+E125</f>
        <v>3917896</v>
      </c>
      <c r="F124" s="601">
        <f>F128+F133+F125</f>
        <v>3422109</v>
      </c>
      <c r="G124" s="572">
        <f t="shared" si="8"/>
        <v>0.8734558038294024</v>
      </c>
    </row>
    <row r="125" spans="1:7" s="709" customFormat="1" ht="19.5" customHeight="1">
      <c r="A125" s="737"/>
      <c r="B125" s="722">
        <v>75814</v>
      </c>
      <c r="C125" s="722" t="s">
        <v>379</v>
      </c>
      <c r="D125" s="723">
        <f>SUM(D126:D127)</f>
        <v>3362626</v>
      </c>
      <c r="E125" s="723">
        <f>SUM(E126:E127)</f>
        <v>3362626</v>
      </c>
      <c r="F125" s="723">
        <f>SUM(F126:F127)</f>
        <v>3361233</v>
      </c>
      <c r="G125" s="724">
        <f t="shared" si="8"/>
        <v>0.9995857404302471</v>
      </c>
    </row>
    <row r="126" spans="1:7" s="709" customFormat="1" ht="19.5" customHeight="1">
      <c r="A126" s="737"/>
      <c r="B126" s="737"/>
      <c r="C126" s="494" t="s">
        <v>1052</v>
      </c>
      <c r="D126" s="586">
        <v>60000</v>
      </c>
      <c r="E126" s="586">
        <v>60000</v>
      </c>
      <c r="F126" s="586">
        <v>58607</v>
      </c>
      <c r="G126" s="587">
        <f t="shared" si="8"/>
        <v>0.9767833333333333</v>
      </c>
    </row>
    <row r="127" spans="1:7" s="709" customFormat="1" ht="19.5" customHeight="1">
      <c r="A127" s="737"/>
      <c r="B127" s="741"/>
      <c r="C127" s="508" t="s">
        <v>1053</v>
      </c>
      <c r="D127" s="770">
        <v>3302626</v>
      </c>
      <c r="E127" s="770">
        <v>3302626</v>
      </c>
      <c r="F127" s="770">
        <v>3302626</v>
      </c>
      <c r="G127" s="771">
        <f t="shared" si="8"/>
        <v>1</v>
      </c>
    </row>
    <row r="128" spans="1:7" s="709" customFormat="1" ht="19.5" customHeight="1">
      <c r="A128" s="737"/>
      <c r="B128" s="232">
        <v>75818</v>
      </c>
      <c r="C128" s="232" t="s">
        <v>1054</v>
      </c>
      <c r="D128" s="744">
        <f>SUM(D129:D132)</f>
        <v>8106178</v>
      </c>
      <c r="E128" s="744">
        <f>SUM(E129:E132)</f>
        <v>494270</v>
      </c>
      <c r="F128" s="744"/>
      <c r="G128" s="745"/>
    </row>
    <row r="129" spans="1:7" s="709" customFormat="1" ht="19.5" customHeight="1">
      <c r="A129" s="737"/>
      <c r="B129" s="738"/>
      <c r="C129" s="494" t="s">
        <v>1055</v>
      </c>
      <c r="D129" s="586">
        <v>6656178</v>
      </c>
      <c r="E129" s="586">
        <v>199570</v>
      </c>
      <c r="F129" s="586"/>
      <c r="G129" s="587"/>
    </row>
    <row r="130" spans="1:7" s="709" customFormat="1" ht="29.25" customHeight="1">
      <c r="A130" s="741"/>
      <c r="B130" s="741"/>
      <c r="C130" s="508" t="s">
        <v>1056</v>
      </c>
      <c r="D130" s="770">
        <f>400000+100000</f>
        <v>500000</v>
      </c>
      <c r="E130" s="770">
        <v>294700</v>
      </c>
      <c r="F130" s="770"/>
      <c r="G130" s="771"/>
    </row>
    <row r="131" spans="1:7" s="709" customFormat="1" ht="28.5" customHeight="1">
      <c r="A131" s="737"/>
      <c r="B131" s="737"/>
      <c r="C131" s="510" t="s">
        <v>1057</v>
      </c>
      <c r="D131" s="764">
        <v>500000</v>
      </c>
      <c r="E131" s="764"/>
      <c r="F131" s="764"/>
      <c r="G131" s="746"/>
    </row>
    <row r="132" spans="1:7" s="709" customFormat="1" ht="27.75" customHeight="1">
      <c r="A132" s="737"/>
      <c r="B132" s="741"/>
      <c r="C132" s="508" t="s">
        <v>1058</v>
      </c>
      <c r="D132" s="770">
        <v>450000</v>
      </c>
      <c r="E132" s="770"/>
      <c r="F132" s="770"/>
      <c r="G132" s="771"/>
    </row>
    <row r="133" spans="1:7" s="709" customFormat="1" ht="19.5" customHeight="1">
      <c r="A133" s="737"/>
      <c r="B133" s="232">
        <v>75820</v>
      </c>
      <c r="C133" s="232" t="s">
        <v>1059</v>
      </c>
      <c r="D133" s="744">
        <f>D134</f>
        <v>50000</v>
      </c>
      <c r="E133" s="744">
        <f>E134</f>
        <v>61000</v>
      </c>
      <c r="F133" s="744">
        <f>F134</f>
        <v>60876</v>
      </c>
      <c r="G133" s="745">
        <f aca="true" t="shared" si="10" ref="G133:G145">F133/E133</f>
        <v>0.9979672131147541</v>
      </c>
    </row>
    <row r="134" spans="1:7" s="709" customFormat="1" ht="19.5" customHeight="1">
      <c r="A134" s="741"/>
      <c r="B134" s="741"/>
      <c r="C134" s="741" t="s">
        <v>1060</v>
      </c>
      <c r="D134" s="742">
        <v>50000</v>
      </c>
      <c r="E134" s="742">
        <v>61000</v>
      </c>
      <c r="F134" s="742">
        <v>60876</v>
      </c>
      <c r="G134" s="743">
        <f t="shared" si="10"/>
        <v>0.9979672131147541</v>
      </c>
    </row>
    <row r="135" spans="1:7" s="709" customFormat="1" ht="19.5" customHeight="1">
      <c r="A135" s="720">
        <v>801</v>
      </c>
      <c r="B135" s="720"/>
      <c r="C135" s="720" t="s">
        <v>347</v>
      </c>
      <c r="D135" s="601">
        <f>D136+D146+D150+D167+D175+D179+D182+D189+D193+D202+D214+D218+D224+D226+D228+D234+D163+D198+D209</f>
        <v>318459200</v>
      </c>
      <c r="E135" s="601">
        <f>E136+E146+E150+E167+E175+E179+E182+E189+E193+E202+E214+E218+E224+E226+E228+E234+E163+E198+E209</f>
        <v>335415369</v>
      </c>
      <c r="F135" s="601">
        <f>F136+F146+F150+F167+F175+F179+F182+F189+F193+F202+F214+F218+F224+F226+F228+F234+F163+F198+F209</f>
        <v>333791104</v>
      </c>
      <c r="G135" s="572">
        <f t="shared" si="10"/>
        <v>0.9951574520725077</v>
      </c>
    </row>
    <row r="136" spans="1:7" s="709" customFormat="1" ht="19.5" customHeight="1">
      <c r="A136" s="737"/>
      <c r="B136" s="722">
        <v>80101</v>
      </c>
      <c r="C136" s="722" t="s">
        <v>348</v>
      </c>
      <c r="D136" s="723">
        <f>D137+D138+D140+D141+D142+D143+D144+D145</f>
        <v>90606000</v>
      </c>
      <c r="E136" s="723">
        <f>E137+E138+E140+E141+E142+E143+E144+E145</f>
        <v>92605659</v>
      </c>
      <c r="F136" s="723">
        <f>F137+F138+F140+F141+F142+F143+F144+F145</f>
        <v>91357579</v>
      </c>
      <c r="G136" s="724">
        <f t="shared" si="10"/>
        <v>0.9865226378876046</v>
      </c>
    </row>
    <row r="137" spans="1:9" s="709" customFormat="1" ht="19.5" customHeight="1">
      <c r="A137" s="737"/>
      <c r="B137" s="737"/>
      <c r="C137" s="739" t="s">
        <v>1033</v>
      </c>
      <c r="D137" s="586">
        <v>55889000</v>
      </c>
      <c r="E137" s="586">
        <v>57236739</v>
      </c>
      <c r="F137" s="586">
        <v>57232345</v>
      </c>
      <c r="G137" s="587">
        <f t="shared" si="10"/>
        <v>0.999923231126078</v>
      </c>
      <c r="I137" s="710"/>
    </row>
    <row r="138" spans="1:7" s="709" customFormat="1" ht="19.5" customHeight="1">
      <c r="A138" s="737"/>
      <c r="B138" s="737"/>
      <c r="C138" s="753" t="s">
        <v>1034</v>
      </c>
      <c r="D138" s="754">
        <v>12070000</v>
      </c>
      <c r="E138" s="754">
        <v>11696871</v>
      </c>
      <c r="F138" s="754">
        <v>11692975</v>
      </c>
      <c r="G138" s="755">
        <f t="shared" si="10"/>
        <v>0.999666919469318</v>
      </c>
    </row>
    <row r="139" spans="1:7" s="709" customFormat="1" ht="16.5" customHeight="1">
      <c r="A139" s="737"/>
      <c r="B139" s="737"/>
      <c r="C139" s="756" t="s">
        <v>1019</v>
      </c>
      <c r="D139" s="757">
        <v>790000</v>
      </c>
      <c r="E139" s="757">
        <v>713859</v>
      </c>
      <c r="F139" s="757">
        <v>713121</v>
      </c>
      <c r="G139" s="758">
        <f t="shared" si="10"/>
        <v>0.9989661823973642</v>
      </c>
    </row>
    <row r="140" spans="1:7" s="709" customFormat="1" ht="19.5" customHeight="1">
      <c r="A140" s="737"/>
      <c r="B140" s="737"/>
      <c r="C140" s="740" t="s">
        <v>1035</v>
      </c>
      <c r="D140" s="610">
        <v>10959000</v>
      </c>
      <c r="E140" s="610">
        <v>11135537</v>
      </c>
      <c r="F140" s="610">
        <v>11133248</v>
      </c>
      <c r="G140" s="611">
        <f t="shared" si="10"/>
        <v>0.9997944418845719</v>
      </c>
    </row>
    <row r="141" spans="1:7" s="709" customFormat="1" ht="19.5" customHeight="1">
      <c r="A141" s="737"/>
      <c r="B141" s="737"/>
      <c r="C141" s="740" t="s">
        <v>1061</v>
      </c>
      <c r="D141" s="610">
        <v>370000</v>
      </c>
      <c r="E141" s="610">
        <v>351072</v>
      </c>
      <c r="F141" s="610">
        <v>349692</v>
      </c>
      <c r="G141" s="611">
        <f t="shared" si="10"/>
        <v>0.9960691823899371</v>
      </c>
    </row>
    <row r="142" spans="1:7" s="709" customFormat="1" ht="19.5" customHeight="1">
      <c r="A142" s="737"/>
      <c r="B142" s="737"/>
      <c r="C142" s="781" t="s">
        <v>1062</v>
      </c>
      <c r="D142" s="764"/>
      <c r="E142" s="764">
        <v>60240</v>
      </c>
      <c r="F142" s="764">
        <v>27412</v>
      </c>
      <c r="G142" s="746">
        <f t="shared" si="10"/>
        <v>0.4550464807436919</v>
      </c>
    </row>
    <row r="143" spans="1:7" s="709" customFormat="1" ht="19.5" customHeight="1">
      <c r="A143" s="737"/>
      <c r="B143" s="737"/>
      <c r="C143" s="740" t="s">
        <v>1063</v>
      </c>
      <c r="D143" s="610"/>
      <c r="E143" s="610">
        <v>51646</v>
      </c>
      <c r="F143" s="610">
        <v>51646</v>
      </c>
      <c r="G143" s="611">
        <f t="shared" si="10"/>
        <v>1</v>
      </c>
    </row>
    <row r="144" spans="1:7" s="709" customFormat="1" ht="19.5" customHeight="1">
      <c r="A144" s="737"/>
      <c r="B144" s="737"/>
      <c r="C144" s="740" t="s">
        <v>1064</v>
      </c>
      <c r="D144" s="610">
        <v>978000</v>
      </c>
      <c r="E144" s="610">
        <v>1099791</v>
      </c>
      <c r="F144" s="610">
        <v>1097807</v>
      </c>
      <c r="G144" s="611">
        <f t="shared" si="10"/>
        <v>0.9981960208803309</v>
      </c>
    </row>
    <row r="145" spans="1:7" s="709" customFormat="1" ht="19.5" customHeight="1">
      <c r="A145" s="737"/>
      <c r="B145" s="737"/>
      <c r="C145" s="740" t="s">
        <v>1002</v>
      </c>
      <c r="D145" s="610">
        <v>10340000</v>
      </c>
      <c r="E145" s="610">
        <v>10973763</v>
      </c>
      <c r="F145" s="610">
        <v>9772454</v>
      </c>
      <c r="G145" s="611">
        <f t="shared" si="10"/>
        <v>0.8905289826288394</v>
      </c>
    </row>
    <row r="146" spans="1:7" s="709" customFormat="1" ht="19.5" customHeight="1">
      <c r="A146" s="737"/>
      <c r="B146" s="722">
        <v>80102</v>
      </c>
      <c r="C146" s="722" t="s">
        <v>400</v>
      </c>
      <c r="D146" s="723">
        <f>SUM(D147:D149)</f>
        <v>5861000</v>
      </c>
      <c r="E146" s="723">
        <f>SUM(E147:E149)</f>
        <v>6087501</v>
      </c>
      <c r="F146" s="723">
        <f>SUM(F147:F149)</f>
        <v>6087486</v>
      </c>
      <c r="G146" s="724">
        <v>0.9999</v>
      </c>
    </row>
    <row r="147" spans="1:7" s="709" customFormat="1" ht="19.5" customHeight="1">
      <c r="A147" s="737"/>
      <c r="B147" s="737"/>
      <c r="C147" s="739" t="s">
        <v>1033</v>
      </c>
      <c r="D147" s="586">
        <v>4517500</v>
      </c>
      <c r="E147" s="586">
        <v>4692021</v>
      </c>
      <c r="F147" s="586">
        <v>4692012</v>
      </c>
      <c r="G147" s="587">
        <v>0.9999</v>
      </c>
    </row>
    <row r="148" spans="1:7" s="709" customFormat="1" ht="19.5" customHeight="1">
      <c r="A148" s="737"/>
      <c r="B148" s="737"/>
      <c r="C148" s="740" t="s">
        <v>1034</v>
      </c>
      <c r="D148" s="610">
        <v>470000</v>
      </c>
      <c r="E148" s="610">
        <v>485909</v>
      </c>
      <c r="F148" s="610">
        <v>485904</v>
      </c>
      <c r="G148" s="611">
        <v>0.9999</v>
      </c>
    </row>
    <row r="149" spans="1:7" s="709" customFormat="1" ht="19.5" customHeight="1">
      <c r="A149" s="737"/>
      <c r="B149" s="741"/>
      <c r="C149" s="778" t="s">
        <v>1035</v>
      </c>
      <c r="D149" s="770">
        <v>873500</v>
      </c>
      <c r="E149" s="770">
        <v>909571</v>
      </c>
      <c r="F149" s="770">
        <v>909570</v>
      </c>
      <c r="G149" s="771">
        <v>0.9999</v>
      </c>
    </row>
    <row r="150" spans="1:7" s="725" customFormat="1" ht="19.5" customHeight="1">
      <c r="A150" s="231"/>
      <c r="B150" s="78">
        <v>80104</v>
      </c>
      <c r="C150" s="506" t="s">
        <v>1065</v>
      </c>
      <c r="D150" s="744">
        <f>D151+D156</f>
        <v>44417000</v>
      </c>
      <c r="E150" s="744">
        <f>E151+E156</f>
        <v>47545720</v>
      </c>
      <c r="F150" s="744">
        <f>F151+F156</f>
        <v>47527851</v>
      </c>
      <c r="G150" s="745">
        <f>F150/E150</f>
        <v>0.9996241722703957</v>
      </c>
    </row>
    <row r="151" spans="1:7" s="725" customFormat="1" ht="19.5" customHeight="1">
      <c r="A151" s="231"/>
      <c r="B151" s="563"/>
      <c r="C151" s="782" t="s">
        <v>1066</v>
      </c>
      <c r="D151" s="783">
        <f>SUM(D152:D154)</f>
        <v>1179000</v>
      </c>
      <c r="E151" s="783">
        <f>SUM(E152:E154)</f>
        <v>1299068</v>
      </c>
      <c r="F151" s="783">
        <f>SUM(F152:F154)</f>
        <v>1297816</v>
      </c>
      <c r="G151" s="784">
        <f>F151/E151</f>
        <v>0.9990362321294959</v>
      </c>
    </row>
    <row r="152" spans="1:7" s="709" customFormat="1" ht="19.5" customHeight="1">
      <c r="A152" s="737"/>
      <c r="B152" s="737"/>
      <c r="C152" s="781" t="s">
        <v>1033</v>
      </c>
      <c r="D152" s="764">
        <v>889500</v>
      </c>
      <c r="E152" s="764">
        <v>983341</v>
      </c>
      <c r="F152" s="764">
        <v>982430</v>
      </c>
      <c r="G152" s="746">
        <f>F152/E152</f>
        <v>0.9990735665450744</v>
      </c>
    </row>
    <row r="153" spans="1:7" s="709" customFormat="1" ht="19.5" customHeight="1">
      <c r="A153" s="737"/>
      <c r="B153" s="737"/>
      <c r="C153" s="740" t="s">
        <v>1034</v>
      </c>
      <c r="D153" s="610">
        <v>126500</v>
      </c>
      <c r="E153" s="610">
        <v>131972</v>
      </c>
      <c r="F153" s="610">
        <v>131753</v>
      </c>
      <c r="G153" s="611">
        <f>F153/E153</f>
        <v>0.9983405570878672</v>
      </c>
    </row>
    <row r="154" spans="1:7" s="709" customFormat="1" ht="19.5" customHeight="1">
      <c r="A154" s="737"/>
      <c r="B154" s="737"/>
      <c r="C154" s="785" t="s">
        <v>1035</v>
      </c>
      <c r="D154" s="786">
        <v>163000</v>
      </c>
      <c r="E154" s="786">
        <v>183755</v>
      </c>
      <c r="F154" s="786">
        <v>183633</v>
      </c>
      <c r="G154" s="787">
        <f>F154/E154</f>
        <v>0.9993360724878234</v>
      </c>
    </row>
    <row r="155" spans="1:7" s="709" customFormat="1" ht="19.5" customHeight="1">
      <c r="A155" s="767"/>
      <c r="B155" s="767"/>
      <c r="C155" s="767"/>
      <c r="D155" s="768"/>
      <c r="E155" s="768"/>
      <c r="F155" s="768"/>
      <c r="G155" s="769"/>
    </row>
    <row r="156" spans="1:7" s="725" customFormat="1" ht="19.5" customHeight="1">
      <c r="A156" s="231"/>
      <c r="B156" s="563"/>
      <c r="C156" s="788" t="s">
        <v>1067</v>
      </c>
      <c r="D156" s="789">
        <f>D157+D158+D160+D161+D162</f>
        <v>43238000</v>
      </c>
      <c r="E156" s="789">
        <f>E157+E158+E160+E161+E162</f>
        <v>46246652</v>
      </c>
      <c r="F156" s="789">
        <f>F157+F158+F160+F161+F162</f>
        <v>46230035</v>
      </c>
      <c r="G156" s="790">
        <f>F156/E156</f>
        <v>0.9996406875031733</v>
      </c>
    </row>
    <row r="157" spans="1:7" s="709" customFormat="1" ht="19.5" customHeight="1">
      <c r="A157" s="737"/>
      <c r="B157" s="737"/>
      <c r="C157" s="781" t="s">
        <v>1033</v>
      </c>
      <c r="D157" s="764">
        <v>28913000</v>
      </c>
      <c r="E157" s="764">
        <v>29982244</v>
      </c>
      <c r="F157" s="764">
        <v>29981137</v>
      </c>
      <c r="G157" s="746">
        <v>0.9999</v>
      </c>
    </row>
    <row r="158" spans="1:7" s="709" customFormat="1" ht="19.5" customHeight="1">
      <c r="A158" s="737"/>
      <c r="B158" s="737"/>
      <c r="C158" s="753" t="s">
        <v>1034</v>
      </c>
      <c r="D158" s="754">
        <v>5800000</v>
      </c>
      <c r="E158" s="754">
        <v>6216190</v>
      </c>
      <c r="F158" s="754">
        <v>6205356</v>
      </c>
      <c r="G158" s="755">
        <f>F158/E158</f>
        <v>0.9982571317800775</v>
      </c>
    </row>
    <row r="159" spans="1:7" s="709" customFormat="1" ht="16.5" customHeight="1">
      <c r="A159" s="737"/>
      <c r="B159" s="737"/>
      <c r="C159" s="756" t="s">
        <v>1019</v>
      </c>
      <c r="D159" s="757"/>
      <c r="E159" s="757">
        <v>215877</v>
      </c>
      <c r="F159" s="757">
        <v>214907</v>
      </c>
      <c r="G159" s="758">
        <f>F159/E159</f>
        <v>0.9955067005748643</v>
      </c>
    </row>
    <row r="160" spans="1:7" s="709" customFormat="1" ht="19.5" customHeight="1">
      <c r="A160" s="737"/>
      <c r="B160" s="737"/>
      <c r="C160" s="740" t="s">
        <v>1035</v>
      </c>
      <c r="D160" s="610">
        <v>5524000</v>
      </c>
      <c r="E160" s="610">
        <v>5884152</v>
      </c>
      <c r="F160" s="610">
        <v>5883878</v>
      </c>
      <c r="G160" s="611">
        <v>0.9999</v>
      </c>
    </row>
    <row r="161" spans="1:7" s="709" customFormat="1" ht="19.5" customHeight="1">
      <c r="A161" s="737"/>
      <c r="B161" s="737"/>
      <c r="C161" s="740" t="s">
        <v>1068</v>
      </c>
      <c r="D161" s="610">
        <v>3001000</v>
      </c>
      <c r="E161" s="610">
        <v>4119470</v>
      </c>
      <c r="F161" s="610">
        <v>4115069</v>
      </c>
      <c r="G161" s="611">
        <f>F161/E161</f>
        <v>0.9989316586842483</v>
      </c>
    </row>
    <row r="162" spans="1:7" s="709" customFormat="1" ht="19.5" customHeight="1">
      <c r="A162" s="737"/>
      <c r="B162" s="741"/>
      <c r="C162" s="741" t="s">
        <v>1002</v>
      </c>
      <c r="D162" s="742"/>
      <c r="E162" s="742">
        <v>44596</v>
      </c>
      <c r="F162" s="742">
        <v>44595</v>
      </c>
      <c r="G162" s="771">
        <v>0.9999</v>
      </c>
    </row>
    <row r="163" spans="1:7" s="725" customFormat="1" ht="19.5" customHeight="1">
      <c r="A163" s="231"/>
      <c r="B163" s="78">
        <v>80105</v>
      </c>
      <c r="C163" s="506" t="s">
        <v>398</v>
      </c>
      <c r="D163" s="744">
        <f>SUM(D164:D166)</f>
        <v>1531000</v>
      </c>
      <c r="E163" s="744">
        <f>SUM(E164:E166)</f>
        <v>1629684</v>
      </c>
      <c r="F163" s="744">
        <f>SUM(F164:F166)</f>
        <v>1629625</v>
      </c>
      <c r="G163" s="745">
        <v>0.9999</v>
      </c>
    </row>
    <row r="164" spans="1:7" s="709" customFormat="1" ht="19.5" customHeight="1">
      <c r="A164" s="737"/>
      <c r="B164" s="737"/>
      <c r="C164" s="739" t="s">
        <v>1033</v>
      </c>
      <c r="D164" s="586">
        <v>1192500</v>
      </c>
      <c r="E164" s="586">
        <v>1272309</v>
      </c>
      <c r="F164" s="586">
        <v>1272262</v>
      </c>
      <c r="G164" s="587">
        <v>0.9999</v>
      </c>
    </row>
    <row r="165" spans="1:7" s="709" customFormat="1" ht="19.5" customHeight="1">
      <c r="A165" s="737"/>
      <c r="B165" s="737"/>
      <c r="C165" s="740" t="s">
        <v>1034</v>
      </c>
      <c r="D165" s="610">
        <v>148500</v>
      </c>
      <c r="E165" s="610">
        <v>161097</v>
      </c>
      <c r="F165" s="610">
        <v>161085</v>
      </c>
      <c r="G165" s="611">
        <f>F165/E165</f>
        <v>0.9999255107171455</v>
      </c>
    </row>
    <row r="166" spans="1:7" s="709" customFormat="1" ht="19.5" customHeight="1">
      <c r="A166" s="737"/>
      <c r="B166" s="741"/>
      <c r="C166" s="778" t="s">
        <v>1035</v>
      </c>
      <c r="D166" s="770">
        <v>190000</v>
      </c>
      <c r="E166" s="770">
        <v>196278</v>
      </c>
      <c r="F166" s="770">
        <v>196278</v>
      </c>
      <c r="G166" s="771">
        <f>F166/E166</f>
        <v>1</v>
      </c>
    </row>
    <row r="167" spans="1:7" s="725" customFormat="1" ht="19.5" customHeight="1">
      <c r="A167" s="231"/>
      <c r="B167" s="232">
        <v>80110</v>
      </c>
      <c r="C167" s="232" t="s">
        <v>349</v>
      </c>
      <c r="D167" s="744">
        <f>D168+D169+D171+D172+D173+D174</f>
        <v>51870000</v>
      </c>
      <c r="E167" s="744">
        <f>E168+E169+E171+E172+E173+E174</f>
        <v>56048793</v>
      </c>
      <c r="F167" s="744">
        <f>F168+F169+F171+F172+F173+F174</f>
        <v>55953195</v>
      </c>
      <c r="G167" s="745">
        <f>F167/E167</f>
        <v>0.9982943789708371</v>
      </c>
    </row>
    <row r="168" spans="1:7" s="709" customFormat="1" ht="18.75" customHeight="1">
      <c r="A168" s="737"/>
      <c r="B168" s="737"/>
      <c r="C168" s="739" t="s">
        <v>1033</v>
      </c>
      <c r="D168" s="586">
        <v>30124000</v>
      </c>
      <c r="E168" s="586">
        <v>32228654</v>
      </c>
      <c r="F168" s="586">
        <v>32228529</v>
      </c>
      <c r="G168" s="587">
        <v>0.9999</v>
      </c>
    </row>
    <row r="169" spans="1:7" s="709" customFormat="1" ht="19.5" customHeight="1">
      <c r="A169" s="737"/>
      <c r="B169" s="737"/>
      <c r="C169" s="753" t="s">
        <v>1034</v>
      </c>
      <c r="D169" s="754">
        <f>5900000+210000+82000+148000+483000</f>
        <v>6823000</v>
      </c>
      <c r="E169" s="754">
        <v>6161033</v>
      </c>
      <c r="F169" s="754">
        <v>6160319</v>
      </c>
      <c r="G169" s="755">
        <f>F169/E169</f>
        <v>0.9998841103431844</v>
      </c>
    </row>
    <row r="170" spans="1:7" s="709" customFormat="1" ht="16.5" customHeight="1">
      <c r="A170" s="737"/>
      <c r="B170" s="737"/>
      <c r="C170" s="756" t="s">
        <v>1019</v>
      </c>
      <c r="D170" s="757">
        <v>923000</v>
      </c>
      <c r="E170" s="757">
        <v>529996</v>
      </c>
      <c r="F170" s="757">
        <v>529853</v>
      </c>
      <c r="G170" s="758">
        <f>F170/E170</f>
        <v>0.999730186642918</v>
      </c>
    </row>
    <row r="171" spans="1:7" s="709" customFormat="1" ht="19.5" customHeight="1">
      <c r="A171" s="737"/>
      <c r="B171" s="737"/>
      <c r="C171" s="740" t="s">
        <v>1035</v>
      </c>
      <c r="D171" s="610">
        <v>5925000</v>
      </c>
      <c r="E171" s="610">
        <v>6257594</v>
      </c>
      <c r="F171" s="610">
        <v>6257514</v>
      </c>
      <c r="G171" s="611">
        <v>0.9999</v>
      </c>
    </row>
    <row r="172" spans="1:7" s="709" customFormat="1" ht="19.5" customHeight="1">
      <c r="A172" s="737"/>
      <c r="B172" s="737"/>
      <c r="C172" s="781" t="s">
        <v>1062</v>
      </c>
      <c r="D172" s="764"/>
      <c r="E172" s="764">
        <v>2400</v>
      </c>
      <c r="F172" s="764">
        <v>1880</v>
      </c>
      <c r="G172" s="611">
        <f>F172/E172</f>
        <v>0.7833333333333333</v>
      </c>
    </row>
    <row r="173" spans="1:7" s="709" customFormat="1" ht="19.5" customHeight="1">
      <c r="A173" s="737"/>
      <c r="B173" s="737"/>
      <c r="C173" s="781" t="s">
        <v>1069</v>
      </c>
      <c r="D173" s="764">
        <v>2008000</v>
      </c>
      <c r="E173" s="764">
        <v>2543182</v>
      </c>
      <c r="F173" s="764">
        <v>2537545</v>
      </c>
      <c r="G173" s="746">
        <f>F173/E173</f>
        <v>0.9977834854131556</v>
      </c>
    </row>
    <row r="174" spans="1:7" s="709" customFormat="1" ht="19.5" customHeight="1">
      <c r="A174" s="737"/>
      <c r="B174" s="741"/>
      <c r="C174" s="741" t="s">
        <v>1002</v>
      </c>
      <c r="D174" s="742">
        <v>6990000</v>
      </c>
      <c r="E174" s="742">
        <v>8855930</v>
      </c>
      <c r="F174" s="742">
        <v>8767408</v>
      </c>
      <c r="G174" s="743">
        <f>F174/E174</f>
        <v>0.9900042118670767</v>
      </c>
    </row>
    <row r="175" spans="1:7" s="725" customFormat="1" ht="19.5" customHeight="1">
      <c r="A175" s="231"/>
      <c r="B175" s="232">
        <v>80111</v>
      </c>
      <c r="C175" s="232" t="s">
        <v>401</v>
      </c>
      <c r="D175" s="744">
        <f>SUM(D176:D178)</f>
        <v>3453000</v>
      </c>
      <c r="E175" s="744">
        <f>SUM(E176:E178)</f>
        <v>3868004</v>
      </c>
      <c r="F175" s="744">
        <f>SUM(F176:F178)</f>
        <v>3867999</v>
      </c>
      <c r="G175" s="745">
        <v>0.9999</v>
      </c>
    </row>
    <row r="176" spans="1:7" s="709" customFormat="1" ht="19.5" customHeight="1">
      <c r="A176" s="737"/>
      <c r="B176" s="737"/>
      <c r="C176" s="739" t="s">
        <v>1033</v>
      </c>
      <c r="D176" s="586">
        <v>2635000</v>
      </c>
      <c r="E176" s="586">
        <v>2994014</v>
      </c>
      <c r="F176" s="586">
        <v>2994013</v>
      </c>
      <c r="G176" s="587">
        <v>0.9999</v>
      </c>
    </row>
    <row r="177" spans="1:7" s="709" customFormat="1" ht="19.5" customHeight="1">
      <c r="A177" s="737"/>
      <c r="B177" s="737"/>
      <c r="C177" s="740" t="s">
        <v>1034</v>
      </c>
      <c r="D177" s="610">
        <v>317000</v>
      </c>
      <c r="E177" s="610">
        <v>316295</v>
      </c>
      <c r="F177" s="610">
        <v>316293</v>
      </c>
      <c r="G177" s="611">
        <v>0.9999</v>
      </c>
    </row>
    <row r="178" spans="1:7" s="709" customFormat="1" ht="19.5" customHeight="1">
      <c r="A178" s="737"/>
      <c r="B178" s="741"/>
      <c r="C178" s="741" t="s">
        <v>1035</v>
      </c>
      <c r="D178" s="742">
        <v>501000</v>
      </c>
      <c r="E178" s="742">
        <v>557695</v>
      </c>
      <c r="F178" s="742">
        <v>557693</v>
      </c>
      <c r="G178" s="743">
        <v>0.9999</v>
      </c>
    </row>
    <row r="179" spans="1:7" s="725" customFormat="1" ht="19.5" customHeight="1">
      <c r="A179" s="231"/>
      <c r="B179" s="232">
        <v>80113</v>
      </c>
      <c r="C179" s="232" t="s">
        <v>1070</v>
      </c>
      <c r="D179" s="744">
        <f>D180</f>
        <v>340000</v>
      </c>
      <c r="E179" s="744">
        <f>E180</f>
        <v>517547</v>
      </c>
      <c r="F179" s="744">
        <f>F180</f>
        <v>516701</v>
      </c>
      <c r="G179" s="745">
        <f>F179/E179</f>
        <v>0.9983653658508309</v>
      </c>
    </row>
    <row r="180" spans="1:7" s="709" customFormat="1" ht="19.5" customHeight="1">
      <c r="A180" s="737"/>
      <c r="B180" s="738"/>
      <c r="C180" s="738" t="s">
        <v>1071</v>
      </c>
      <c r="D180" s="772">
        <v>340000</v>
      </c>
      <c r="E180" s="772">
        <v>517547</v>
      </c>
      <c r="F180" s="772">
        <v>516701</v>
      </c>
      <c r="G180" s="773">
        <f>F180/E180</f>
        <v>0.9983653658508309</v>
      </c>
    </row>
    <row r="181" spans="1:7" s="709" customFormat="1" ht="19.5" customHeight="1">
      <c r="A181" s="767"/>
      <c r="B181" s="767"/>
      <c r="C181" s="767"/>
      <c r="D181" s="768"/>
      <c r="E181" s="768"/>
      <c r="F181" s="768"/>
      <c r="G181" s="769"/>
    </row>
    <row r="182" spans="1:7" s="725" customFormat="1" ht="19.5" customHeight="1">
      <c r="A182" s="231"/>
      <c r="B182" s="232">
        <v>80120</v>
      </c>
      <c r="C182" s="232" t="s">
        <v>359</v>
      </c>
      <c r="D182" s="744">
        <f>D183+D184+D186+D187+D188</f>
        <v>39803000</v>
      </c>
      <c r="E182" s="744">
        <f>E183+E184+E186+E187+E188</f>
        <v>44394160</v>
      </c>
      <c r="F182" s="744">
        <f>F183+F184+F186+F187+F188</f>
        <v>44375335</v>
      </c>
      <c r="G182" s="745">
        <f aca="true" t="shared" si="11" ref="G182:G188">F182/E182</f>
        <v>0.9995759577385854</v>
      </c>
    </row>
    <row r="183" spans="1:7" s="709" customFormat="1" ht="18.75" customHeight="1">
      <c r="A183" s="737"/>
      <c r="B183" s="737"/>
      <c r="C183" s="739" t="s">
        <v>1033</v>
      </c>
      <c r="D183" s="586">
        <v>25898000</v>
      </c>
      <c r="E183" s="586">
        <v>29520925</v>
      </c>
      <c r="F183" s="586">
        <v>29518218</v>
      </c>
      <c r="G183" s="587">
        <f t="shared" si="11"/>
        <v>0.9999083023313124</v>
      </c>
    </row>
    <row r="184" spans="1:7" s="709" customFormat="1" ht="19.5" customHeight="1">
      <c r="A184" s="737"/>
      <c r="B184" s="737"/>
      <c r="C184" s="753" t="s">
        <v>1034</v>
      </c>
      <c r="D184" s="754">
        <v>4900000</v>
      </c>
      <c r="E184" s="754">
        <v>5303553</v>
      </c>
      <c r="F184" s="754">
        <v>5301347</v>
      </c>
      <c r="G184" s="755">
        <f t="shared" si="11"/>
        <v>0.9995840524267411</v>
      </c>
    </row>
    <row r="185" spans="1:7" s="709" customFormat="1" ht="16.5" customHeight="1">
      <c r="A185" s="737"/>
      <c r="B185" s="737"/>
      <c r="C185" s="756" t="s">
        <v>1019</v>
      </c>
      <c r="D185" s="757">
        <v>400000</v>
      </c>
      <c r="E185" s="757">
        <v>355103</v>
      </c>
      <c r="F185" s="757">
        <v>355063</v>
      </c>
      <c r="G185" s="758">
        <f t="shared" si="11"/>
        <v>0.9998873566261056</v>
      </c>
    </row>
    <row r="186" spans="1:7" s="709" customFormat="1" ht="18.75" customHeight="1">
      <c r="A186" s="737"/>
      <c r="B186" s="737"/>
      <c r="C186" s="740" t="s">
        <v>1035</v>
      </c>
      <c r="D186" s="610">
        <v>5080000</v>
      </c>
      <c r="E186" s="610">
        <v>5773013</v>
      </c>
      <c r="F186" s="610">
        <v>5769471</v>
      </c>
      <c r="G186" s="611">
        <f t="shared" si="11"/>
        <v>0.9993864555648844</v>
      </c>
    </row>
    <row r="187" spans="1:7" s="709" customFormat="1" ht="18.75" customHeight="1">
      <c r="A187" s="737"/>
      <c r="B187" s="737"/>
      <c r="C187" s="765" t="s">
        <v>1072</v>
      </c>
      <c r="D187" s="610">
        <v>3745000</v>
      </c>
      <c r="E187" s="610">
        <v>3747169</v>
      </c>
      <c r="F187" s="610">
        <v>3737138</v>
      </c>
      <c r="G187" s="611">
        <f t="shared" si="11"/>
        <v>0.9973230457446675</v>
      </c>
    </row>
    <row r="188" spans="1:7" s="709" customFormat="1" ht="18.75" customHeight="1">
      <c r="A188" s="737"/>
      <c r="B188" s="741"/>
      <c r="C188" s="741" t="s">
        <v>1002</v>
      </c>
      <c r="D188" s="742">
        <v>180000</v>
      </c>
      <c r="E188" s="742">
        <v>49500</v>
      </c>
      <c r="F188" s="770">
        <v>49161</v>
      </c>
      <c r="G188" s="771">
        <f t="shared" si="11"/>
        <v>0.9931515151515151</v>
      </c>
    </row>
    <row r="189" spans="1:7" s="725" customFormat="1" ht="19.5" customHeight="1">
      <c r="A189" s="231"/>
      <c r="B189" s="232">
        <v>80121</v>
      </c>
      <c r="C189" s="232" t="s">
        <v>402</v>
      </c>
      <c r="D189" s="744">
        <f>SUM(D190:D192)</f>
        <v>1288000</v>
      </c>
      <c r="E189" s="744">
        <f>SUM(E190:E192)</f>
        <v>1345100</v>
      </c>
      <c r="F189" s="744">
        <f>SUM(F190:F192)</f>
        <v>1345096</v>
      </c>
      <c r="G189" s="745">
        <v>0.9999</v>
      </c>
    </row>
    <row r="190" spans="1:7" s="709" customFormat="1" ht="18.75" customHeight="1">
      <c r="A190" s="737"/>
      <c r="B190" s="737"/>
      <c r="C190" s="739" t="s">
        <v>1033</v>
      </c>
      <c r="D190" s="586">
        <v>983000</v>
      </c>
      <c r="E190" s="586">
        <v>1032360</v>
      </c>
      <c r="F190" s="586">
        <v>1032358</v>
      </c>
      <c r="G190" s="587">
        <v>0.9999</v>
      </c>
    </row>
    <row r="191" spans="1:7" s="709" customFormat="1" ht="18.75" customHeight="1">
      <c r="A191" s="737"/>
      <c r="B191" s="737"/>
      <c r="C191" s="740" t="s">
        <v>1034</v>
      </c>
      <c r="D191" s="610">
        <v>114000</v>
      </c>
      <c r="E191" s="610">
        <v>109735</v>
      </c>
      <c r="F191" s="610">
        <v>109735</v>
      </c>
      <c r="G191" s="611">
        <f>F191/E191</f>
        <v>1</v>
      </c>
    </row>
    <row r="192" spans="1:7" s="709" customFormat="1" ht="18.75" customHeight="1">
      <c r="A192" s="737"/>
      <c r="B192" s="741"/>
      <c r="C192" s="778" t="s">
        <v>1035</v>
      </c>
      <c r="D192" s="770">
        <v>191000</v>
      </c>
      <c r="E192" s="770">
        <v>203005</v>
      </c>
      <c r="F192" s="770">
        <v>203003</v>
      </c>
      <c r="G192" s="771">
        <v>0.9999</v>
      </c>
    </row>
    <row r="193" spans="1:7" s="725" customFormat="1" ht="19.5" customHeight="1">
      <c r="A193" s="231"/>
      <c r="B193" s="232">
        <v>80123</v>
      </c>
      <c r="C193" s="232" t="s">
        <v>390</v>
      </c>
      <c r="D193" s="744">
        <f>SUM(D194:D197)</f>
        <v>5740000</v>
      </c>
      <c r="E193" s="744">
        <f>SUM(E194:E197)</f>
        <v>6862212</v>
      </c>
      <c r="F193" s="744">
        <f>SUM(F194:F197)</f>
        <v>6859853</v>
      </c>
      <c r="G193" s="745">
        <f>F193/E193</f>
        <v>0.9996562332962025</v>
      </c>
    </row>
    <row r="194" spans="1:7" s="709" customFormat="1" ht="18.75" customHeight="1">
      <c r="A194" s="737"/>
      <c r="B194" s="737"/>
      <c r="C194" s="739" t="s">
        <v>1033</v>
      </c>
      <c r="D194" s="586">
        <v>4212000</v>
      </c>
      <c r="E194" s="586">
        <v>4990000</v>
      </c>
      <c r="F194" s="586">
        <v>4989890</v>
      </c>
      <c r="G194" s="587">
        <v>0.9999</v>
      </c>
    </row>
    <row r="195" spans="1:7" s="709" customFormat="1" ht="18.75" customHeight="1">
      <c r="A195" s="737"/>
      <c r="B195" s="737"/>
      <c r="C195" s="740" t="s">
        <v>1034</v>
      </c>
      <c r="D195" s="764">
        <v>435000</v>
      </c>
      <c r="E195" s="764">
        <v>583578</v>
      </c>
      <c r="F195" s="764">
        <v>583542</v>
      </c>
      <c r="G195" s="746">
        <f>F195/E195</f>
        <v>0.9999383115881681</v>
      </c>
    </row>
    <row r="196" spans="1:7" s="709" customFormat="1" ht="18.75" customHeight="1">
      <c r="A196" s="737"/>
      <c r="B196" s="737"/>
      <c r="C196" s="740" t="s">
        <v>1035</v>
      </c>
      <c r="D196" s="610">
        <v>763000</v>
      </c>
      <c r="E196" s="610">
        <v>960134</v>
      </c>
      <c r="F196" s="610">
        <v>960122</v>
      </c>
      <c r="G196" s="611">
        <v>0.9999</v>
      </c>
    </row>
    <row r="197" spans="1:7" s="709" customFormat="1" ht="18.75" customHeight="1">
      <c r="A197" s="737"/>
      <c r="B197" s="741"/>
      <c r="C197" s="508" t="s">
        <v>1073</v>
      </c>
      <c r="D197" s="770">
        <f>360000-30000</f>
        <v>330000</v>
      </c>
      <c r="E197" s="770">
        <v>328500</v>
      </c>
      <c r="F197" s="770">
        <v>326299</v>
      </c>
      <c r="G197" s="771">
        <f>F197/E197</f>
        <v>0.9932998477929985</v>
      </c>
    </row>
    <row r="198" spans="1:7" s="725" customFormat="1" ht="19.5" customHeight="1">
      <c r="A198" s="231"/>
      <c r="B198" s="232">
        <v>80124</v>
      </c>
      <c r="C198" s="232" t="s">
        <v>340</v>
      </c>
      <c r="D198" s="744">
        <f>SUM(D199:D201)</f>
        <v>286000</v>
      </c>
      <c r="E198" s="744">
        <f>SUM(E199:E201)</f>
        <v>376520</v>
      </c>
      <c r="F198" s="744">
        <f>SUM(F199:F201)</f>
        <v>376518</v>
      </c>
      <c r="G198" s="745">
        <v>0.9999</v>
      </c>
    </row>
    <row r="199" spans="1:7" s="709" customFormat="1" ht="18.75" customHeight="1">
      <c r="A199" s="737"/>
      <c r="B199" s="737"/>
      <c r="C199" s="739" t="s">
        <v>1033</v>
      </c>
      <c r="D199" s="586">
        <v>200000</v>
      </c>
      <c r="E199" s="586">
        <v>274400</v>
      </c>
      <c r="F199" s="586">
        <v>274400</v>
      </c>
      <c r="G199" s="587">
        <f>F199/E199</f>
        <v>1</v>
      </c>
    </row>
    <row r="200" spans="1:7" s="709" customFormat="1" ht="18.75" customHeight="1">
      <c r="A200" s="737"/>
      <c r="B200" s="737"/>
      <c r="C200" s="740" t="s">
        <v>1034</v>
      </c>
      <c r="D200" s="764">
        <v>46000</v>
      </c>
      <c r="E200" s="764">
        <v>47549</v>
      </c>
      <c r="F200" s="764">
        <v>47548</v>
      </c>
      <c r="G200" s="746">
        <v>0.9999</v>
      </c>
    </row>
    <row r="201" spans="1:7" s="709" customFormat="1" ht="18.75" customHeight="1">
      <c r="A201" s="737"/>
      <c r="B201" s="741"/>
      <c r="C201" s="778" t="s">
        <v>1035</v>
      </c>
      <c r="D201" s="770">
        <v>40000</v>
      </c>
      <c r="E201" s="770">
        <v>54571</v>
      </c>
      <c r="F201" s="770">
        <v>54570</v>
      </c>
      <c r="G201" s="771">
        <v>0.9999</v>
      </c>
    </row>
    <row r="202" spans="1:7" s="725" customFormat="1" ht="19.5" customHeight="1">
      <c r="A202" s="231"/>
      <c r="B202" s="232">
        <v>80130</v>
      </c>
      <c r="C202" s="232" t="s">
        <v>1074</v>
      </c>
      <c r="D202" s="744">
        <f>D203+D204+D206+D207+D208</f>
        <v>55259000</v>
      </c>
      <c r="E202" s="744">
        <f>E203+E204+E206+E207+E208</f>
        <v>54584990</v>
      </c>
      <c r="F202" s="744">
        <f>F203+F204+F206+F207+F208</f>
        <v>54367057</v>
      </c>
      <c r="G202" s="745">
        <f>F202/E202</f>
        <v>0.9960074555294414</v>
      </c>
    </row>
    <row r="203" spans="1:7" s="709" customFormat="1" ht="18.75" customHeight="1">
      <c r="A203" s="737"/>
      <c r="B203" s="737"/>
      <c r="C203" s="739" t="s">
        <v>1033</v>
      </c>
      <c r="D203" s="586">
        <v>29537000</v>
      </c>
      <c r="E203" s="586">
        <v>27735263</v>
      </c>
      <c r="F203" s="586">
        <v>27735072</v>
      </c>
      <c r="G203" s="587">
        <v>0.9999</v>
      </c>
    </row>
    <row r="204" spans="1:7" s="709" customFormat="1" ht="19.5" customHeight="1">
      <c r="A204" s="737"/>
      <c r="B204" s="737"/>
      <c r="C204" s="753" t="s">
        <v>1034</v>
      </c>
      <c r="D204" s="754">
        <v>5500000</v>
      </c>
      <c r="E204" s="754">
        <v>5093817</v>
      </c>
      <c r="F204" s="754">
        <v>5092597</v>
      </c>
      <c r="G204" s="755">
        <f>F204/E204</f>
        <v>0.9997604939478587</v>
      </c>
    </row>
    <row r="205" spans="1:7" s="709" customFormat="1" ht="16.5" customHeight="1">
      <c r="A205" s="737"/>
      <c r="B205" s="737"/>
      <c r="C205" s="756" t="s">
        <v>1019</v>
      </c>
      <c r="D205" s="757"/>
      <c r="E205" s="757">
        <v>110973</v>
      </c>
      <c r="F205" s="757">
        <v>110773</v>
      </c>
      <c r="G205" s="758">
        <f>F205/E205</f>
        <v>0.9981977598154506</v>
      </c>
    </row>
    <row r="206" spans="1:7" s="709" customFormat="1" ht="18.75" customHeight="1">
      <c r="A206" s="737"/>
      <c r="B206" s="737"/>
      <c r="C206" s="740" t="s">
        <v>1035</v>
      </c>
      <c r="D206" s="610">
        <v>5728000</v>
      </c>
      <c r="E206" s="610">
        <v>5336132</v>
      </c>
      <c r="F206" s="610">
        <v>5336073</v>
      </c>
      <c r="G206" s="611">
        <v>0.9999</v>
      </c>
    </row>
    <row r="207" spans="1:7" s="709" customFormat="1" ht="18.75" customHeight="1">
      <c r="A207" s="737"/>
      <c r="B207" s="737"/>
      <c r="C207" s="765" t="s">
        <v>0</v>
      </c>
      <c r="D207" s="610">
        <v>3344000</v>
      </c>
      <c r="E207" s="610">
        <v>4213261</v>
      </c>
      <c r="F207" s="610">
        <v>4186154</v>
      </c>
      <c r="G207" s="611">
        <f>F207/E207</f>
        <v>0.9935662661297271</v>
      </c>
    </row>
    <row r="208" spans="1:7" s="709" customFormat="1" ht="18.75" customHeight="1">
      <c r="A208" s="741"/>
      <c r="B208" s="741"/>
      <c r="C208" s="741" t="s">
        <v>1002</v>
      </c>
      <c r="D208" s="742">
        <f>10650000+500000</f>
        <v>11150000</v>
      </c>
      <c r="E208" s="742">
        <v>12206517</v>
      </c>
      <c r="F208" s="742">
        <v>12017161</v>
      </c>
      <c r="G208" s="743">
        <f>F208/E208</f>
        <v>0.9844873029710277</v>
      </c>
    </row>
    <row r="209" spans="1:7" s="725" customFormat="1" ht="19.5" customHeight="1">
      <c r="A209" s="231"/>
      <c r="B209" s="232">
        <v>80132</v>
      </c>
      <c r="C209" s="232" t="s">
        <v>363</v>
      </c>
      <c r="D209" s="744">
        <f>D210+D211+D213</f>
        <v>3008000</v>
      </c>
      <c r="E209" s="744">
        <f>E210+E211+E213</f>
        <v>3236139</v>
      </c>
      <c r="F209" s="744">
        <f>F210+F211+F213</f>
        <v>3236133</v>
      </c>
      <c r="G209" s="745">
        <v>0.9999</v>
      </c>
    </row>
    <row r="210" spans="1:7" s="709" customFormat="1" ht="19.5" customHeight="1">
      <c r="A210" s="737"/>
      <c r="B210" s="737"/>
      <c r="C210" s="739" t="s">
        <v>1033</v>
      </c>
      <c r="D210" s="586">
        <v>2356500</v>
      </c>
      <c r="E210" s="586">
        <v>2502269</v>
      </c>
      <c r="F210" s="586">
        <v>2502269</v>
      </c>
      <c r="G210" s="587">
        <f>F210/E210</f>
        <v>1</v>
      </c>
    </row>
    <row r="211" spans="1:7" s="709" customFormat="1" ht="19.5" customHeight="1">
      <c r="A211" s="737"/>
      <c r="B211" s="737"/>
      <c r="C211" s="753" t="s">
        <v>1034</v>
      </c>
      <c r="D211" s="754">
        <v>200000</v>
      </c>
      <c r="E211" s="754">
        <v>231550</v>
      </c>
      <c r="F211" s="754">
        <v>231544</v>
      </c>
      <c r="G211" s="755">
        <v>0.9999</v>
      </c>
    </row>
    <row r="212" spans="1:7" s="709" customFormat="1" ht="16.5" customHeight="1">
      <c r="A212" s="737"/>
      <c r="B212" s="737"/>
      <c r="C212" s="756" t="s">
        <v>1019</v>
      </c>
      <c r="D212" s="757"/>
      <c r="E212" s="757">
        <v>660</v>
      </c>
      <c r="F212" s="757">
        <v>657</v>
      </c>
      <c r="G212" s="758">
        <f>F212/E212</f>
        <v>0.9954545454545455</v>
      </c>
    </row>
    <row r="213" spans="1:7" s="709" customFormat="1" ht="19.5" customHeight="1">
      <c r="A213" s="737"/>
      <c r="B213" s="741"/>
      <c r="C213" s="778" t="s">
        <v>1035</v>
      </c>
      <c r="D213" s="770">
        <v>451500</v>
      </c>
      <c r="E213" s="770">
        <v>502320</v>
      </c>
      <c r="F213" s="770">
        <v>502320</v>
      </c>
      <c r="G213" s="771">
        <f>F213/E213</f>
        <v>1</v>
      </c>
    </row>
    <row r="214" spans="1:7" s="725" customFormat="1" ht="19.5" customHeight="1">
      <c r="A214" s="231"/>
      <c r="B214" s="232">
        <v>80134</v>
      </c>
      <c r="C214" s="232" t="s">
        <v>362</v>
      </c>
      <c r="D214" s="744">
        <f>SUM(D215:D217)</f>
        <v>4190000</v>
      </c>
      <c r="E214" s="744">
        <f>SUM(E215:E217)</f>
        <v>4157250</v>
      </c>
      <c r="F214" s="744">
        <f>SUM(F215:F217)</f>
        <v>4157146</v>
      </c>
      <c r="G214" s="745">
        <v>0.9999</v>
      </c>
    </row>
    <row r="215" spans="1:7" s="709" customFormat="1" ht="19.5" customHeight="1">
      <c r="A215" s="737"/>
      <c r="B215" s="737"/>
      <c r="C215" s="739" t="s">
        <v>1033</v>
      </c>
      <c r="D215" s="586">
        <v>3166500</v>
      </c>
      <c r="E215" s="586">
        <v>3137400</v>
      </c>
      <c r="F215" s="586">
        <v>3137397</v>
      </c>
      <c r="G215" s="587">
        <v>0.9999</v>
      </c>
    </row>
    <row r="216" spans="1:7" s="709" customFormat="1" ht="19.5" customHeight="1">
      <c r="A216" s="737"/>
      <c r="B216" s="737"/>
      <c r="C216" s="740" t="s">
        <v>1034</v>
      </c>
      <c r="D216" s="610">
        <v>410000</v>
      </c>
      <c r="E216" s="610">
        <v>419680</v>
      </c>
      <c r="F216" s="610">
        <v>419639</v>
      </c>
      <c r="G216" s="611">
        <f>F216/E216</f>
        <v>0.9999023065192527</v>
      </c>
    </row>
    <row r="217" spans="1:7" s="709" customFormat="1" ht="19.5" customHeight="1">
      <c r="A217" s="737"/>
      <c r="B217" s="741"/>
      <c r="C217" s="778" t="s">
        <v>1035</v>
      </c>
      <c r="D217" s="770">
        <v>613500</v>
      </c>
      <c r="E217" s="770">
        <v>600170</v>
      </c>
      <c r="F217" s="770">
        <v>600110</v>
      </c>
      <c r="G217" s="771">
        <f>F217/E217</f>
        <v>0.9999000283253078</v>
      </c>
    </row>
    <row r="218" spans="1:7" s="725" customFormat="1" ht="24.75" customHeight="1">
      <c r="A218" s="231"/>
      <c r="B218" s="791">
        <v>80140</v>
      </c>
      <c r="C218" s="506" t="s">
        <v>403</v>
      </c>
      <c r="D218" s="744">
        <f>D219+D220+D222+D223</f>
        <v>8181000</v>
      </c>
      <c r="E218" s="744">
        <f>E219+E220+E222+E223</f>
        <v>8511280</v>
      </c>
      <c r="F218" s="744">
        <f>F219+F220+F222+F223</f>
        <v>8507063</v>
      </c>
      <c r="G218" s="745">
        <f>F218/E218</f>
        <v>0.9995045398576947</v>
      </c>
    </row>
    <row r="219" spans="1:7" s="709" customFormat="1" ht="19.5" customHeight="1">
      <c r="A219" s="737"/>
      <c r="B219" s="738"/>
      <c r="C219" s="739" t="s">
        <v>1033</v>
      </c>
      <c r="D219" s="586">
        <v>6046000</v>
      </c>
      <c r="E219" s="586">
        <v>6336850</v>
      </c>
      <c r="F219" s="586">
        <v>6333947</v>
      </c>
      <c r="G219" s="587">
        <f>F219/E219</f>
        <v>0.9995418859527999</v>
      </c>
    </row>
    <row r="220" spans="1:7" s="709" customFormat="1" ht="19.5" customHeight="1">
      <c r="A220" s="737"/>
      <c r="B220" s="737"/>
      <c r="C220" s="753" t="s">
        <v>1034</v>
      </c>
      <c r="D220" s="754">
        <v>950000</v>
      </c>
      <c r="E220" s="754">
        <v>955850</v>
      </c>
      <c r="F220" s="754">
        <v>955828</v>
      </c>
      <c r="G220" s="755">
        <v>0.9999</v>
      </c>
    </row>
    <row r="221" spans="1:7" s="709" customFormat="1" ht="16.5" customHeight="1">
      <c r="A221" s="737"/>
      <c r="B221" s="737"/>
      <c r="C221" s="756" t="s">
        <v>1019</v>
      </c>
      <c r="D221" s="757"/>
      <c r="E221" s="757">
        <v>16000</v>
      </c>
      <c r="F221" s="757">
        <v>16000</v>
      </c>
      <c r="G221" s="758">
        <f aca="true" t="shared" si="12" ref="G221:G227">F221/E221</f>
        <v>1</v>
      </c>
    </row>
    <row r="222" spans="1:7" s="709" customFormat="1" ht="19.5" customHeight="1">
      <c r="A222" s="737"/>
      <c r="B222" s="737"/>
      <c r="C222" s="740" t="s">
        <v>1035</v>
      </c>
      <c r="D222" s="610">
        <v>1185000</v>
      </c>
      <c r="E222" s="610">
        <v>1213420</v>
      </c>
      <c r="F222" s="610">
        <v>1213353</v>
      </c>
      <c r="G222" s="611">
        <f t="shared" si="12"/>
        <v>0.9999447841637685</v>
      </c>
    </row>
    <row r="223" spans="1:7" s="709" customFormat="1" ht="19.5" customHeight="1">
      <c r="A223" s="737"/>
      <c r="B223" s="741"/>
      <c r="C223" s="778" t="s">
        <v>1062</v>
      </c>
      <c r="D223" s="770"/>
      <c r="E223" s="770">
        <v>5160</v>
      </c>
      <c r="F223" s="770">
        <v>3935</v>
      </c>
      <c r="G223" s="771">
        <f t="shared" si="12"/>
        <v>0.7625968992248062</v>
      </c>
    </row>
    <row r="224" spans="1:7" s="709" customFormat="1" ht="19.5" customHeight="1">
      <c r="A224" s="737"/>
      <c r="B224" s="722">
        <v>80145</v>
      </c>
      <c r="C224" s="722" t="s">
        <v>1</v>
      </c>
      <c r="D224" s="723">
        <f>D225</f>
        <v>40000</v>
      </c>
      <c r="E224" s="723">
        <f>E225</f>
        <v>5282</v>
      </c>
      <c r="F224" s="723">
        <f>F225</f>
        <v>5282</v>
      </c>
      <c r="G224" s="724">
        <f t="shared" si="12"/>
        <v>1</v>
      </c>
    </row>
    <row r="225" spans="1:7" s="709" customFormat="1" ht="19.5" customHeight="1">
      <c r="A225" s="737"/>
      <c r="B225" s="747"/>
      <c r="C225" s="414" t="s">
        <v>2</v>
      </c>
      <c r="D225" s="727">
        <v>40000</v>
      </c>
      <c r="E225" s="727">
        <v>5282</v>
      </c>
      <c r="F225" s="727">
        <v>5282</v>
      </c>
      <c r="G225" s="728">
        <f t="shared" si="12"/>
        <v>1</v>
      </c>
    </row>
    <row r="226" spans="1:7" s="709" customFormat="1" ht="19.5" customHeight="1">
      <c r="A226" s="737"/>
      <c r="B226" s="232">
        <v>80146</v>
      </c>
      <c r="C226" s="232" t="s">
        <v>3</v>
      </c>
      <c r="D226" s="744">
        <f>D227</f>
        <v>1462000</v>
      </c>
      <c r="E226" s="744">
        <f>E227</f>
        <v>1368118</v>
      </c>
      <c r="F226" s="744">
        <f>F227</f>
        <v>1349777</v>
      </c>
      <c r="G226" s="745">
        <f t="shared" si="12"/>
        <v>0.9865939926234433</v>
      </c>
    </row>
    <row r="227" spans="1:7" s="709" customFormat="1" ht="19.5" customHeight="1">
      <c r="A227" s="737"/>
      <c r="B227" s="741"/>
      <c r="C227" s="495" t="s">
        <v>4</v>
      </c>
      <c r="D227" s="742">
        <v>1462000</v>
      </c>
      <c r="E227" s="742">
        <v>1368118</v>
      </c>
      <c r="F227" s="742">
        <v>1349777</v>
      </c>
      <c r="G227" s="743">
        <f t="shared" si="12"/>
        <v>0.9865939926234433</v>
      </c>
    </row>
    <row r="228" spans="1:7" s="725" customFormat="1" ht="19.5" customHeight="1">
      <c r="A228" s="231"/>
      <c r="B228" s="232">
        <v>80195</v>
      </c>
      <c r="C228" s="232" t="s">
        <v>966</v>
      </c>
      <c r="D228" s="744">
        <f>SUM(D229:D231)</f>
        <v>1017000</v>
      </c>
      <c r="E228" s="744">
        <f>SUM(E229:E232)</f>
        <v>2164210</v>
      </c>
      <c r="F228" s="744">
        <f>SUM(F229:F232)</f>
        <v>2164208</v>
      </c>
      <c r="G228" s="745">
        <v>0.9999</v>
      </c>
    </row>
    <row r="229" spans="1:7" s="709" customFormat="1" ht="19.5" customHeight="1">
      <c r="A229" s="737"/>
      <c r="B229" s="738"/>
      <c r="C229" s="739" t="s">
        <v>5</v>
      </c>
      <c r="D229" s="586">
        <v>15000</v>
      </c>
      <c r="E229" s="586">
        <v>7023</v>
      </c>
      <c r="F229" s="586">
        <v>7022</v>
      </c>
      <c r="G229" s="587">
        <f>F229/E229</f>
        <v>0.9998576107076748</v>
      </c>
    </row>
    <row r="230" spans="1:7" s="709" customFormat="1" ht="19.5" customHeight="1">
      <c r="A230" s="737"/>
      <c r="B230" s="737"/>
      <c r="C230" s="740" t="s">
        <v>6</v>
      </c>
      <c r="D230" s="610">
        <v>2000</v>
      </c>
      <c r="E230" s="610">
        <v>8823</v>
      </c>
      <c r="F230" s="610">
        <v>8822</v>
      </c>
      <c r="G230" s="611">
        <f>F230/E230</f>
        <v>0.9998866598662587</v>
      </c>
    </row>
    <row r="231" spans="1:7" s="709" customFormat="1" ht="27.75" customHeight="1">
      <c r="A231" s="737"/>
      <c r="B231" s="737"/>
      <c r="C231" s="765" t="s">
        <v>7</v>
      </c>
      <c r="D231" s="610">
        <v>1000000</v>
      </c>
      <c r="E231" s="610">
        <v>2114164</v>
      </c>
      <c r="F231" s="610">
        <v>2114164</v>
      </c>
      <c r="G231" s="611">
        <f>F231/E231</f>
        <v>1</v>
      </c>
    </row>
    <row r="232" spans="1:7" s="709" customFormat="1" ht="19.5" customHeight="1">
      <c r="A232" s="737"/>
      <c r="B232" s="737"/>
      <c r="C232" s="792" t="s">
        <v>2</v>
      </c>
      <c r="D232" s="786"/>
      <c r="E232" s="786">
        <v>34200</v>
      </c>
      <c r="F232" s="786">
        <v>34200</v>
      </c>
      <c r="G232" s="787">
        <f>F232/E232</f>
        <v>1</v>
      </c>
    </row>
    <row r="233" spans="1:7" s="709" customFormat="1" ht="19.5" customHeight="1">
      <c r="A233" s="767"/>
      <c r="B233" s="767"/>
      <c r="C233" s="660"/>
      <c r="D233" s="768"/>
      <c r="E233" s="768"/>
      <c r="F233" s="768"/>
      <c r="G233" s="769"/>
    </row>
    <row r="234" spans="1:7" s="725" customFormat="1" ht="18.75" customHeight="1">
      <c r="A234" s="231"/>
      <c r="B234" s="232">
        <v>80197</v>
      </c>
      <c r="C234" s="232" t="s">
        <v>473</v>
      </c>
      <c r="D234" s="744">
        <f>D235</f>
        <v>107200</v>
      </c>
      <c r="E234" s="744">
        <f>E235</f>
        <v>107200</v>
      </c>
      <c r="F234" s="744">
        <f>F235</f>
        <v>107200</v>
      </c>
      <c r="G234" s="745">
        <f aca="true" t="shared" si="13" ref="G234:G248">F234/E234</f>
        <v>1</v>
      </c>
    </row>
    <row r="235" spans="1:7" s="709" customFormat="1" ht="25.5" customHeight="1">
      <c r="A235" s="741"/>
      <c r="B235" s="747"/>
      <c r="C235" s="414" t="s">
        <v>8</v>
      </c>
      <c r="D235" s="727">
        <f>123700-16500</f>
        <v>107200</v>
      </c>
      <c r="E235" s="727">
        <f>123700-16500</f>
        <v>107200</v>
      </c>
      <c r="F235" s="727">
        <v>107200</v>
      </c>
      <c r="G235" s="728">
        <f t="shared" si="13"/>
        <v>1</v>
      </c>
    </row>
    <row r="236" spans="1:7" s="709" customFormat="1" ht="19.5" customHeight="1">
      <c r="A236" s="720">
        <v>851</v>
      </c>
      <c r="B236" s="720"/>
      <c r="C236" s="720" t="s">
        <v>350</v>
      </c>
      <c r="D236" s="601">
        <f>D237+D242+D244+D247+D255</f>
        <v>7400000</v>
      </c>
      <c r="E236" s="601">
        <f>E237+E242+E244+E247+E255</f>
        <v>27605014</v>
      </c>
      <c r="F236" s="601">
        <f>F237+F242+F244+F247+F255</f>
        <v>27478993</v>
      </c>
      <c r="G236" s="572">
        <f t="shared" si="13"/>
        <v>0.9954348510745186</v>
      </c>
    </row>
    <row r="237" spans="1:7" s="725" customFormat="1" ht="19.5" customHeight="1">
      <c r="A237" s="231"/>
      <c r="B237" s="722">
        <v>85121</v>
      </c>
      <c r="C237" s="722" t="s">
        <v>321</v>
      </c>
      <c r="D237" s="723">
        <f>SUM(D238:D240)</f>
        <v>2180000</v>
      </c>
      <c r="E237" s="723">
        <f>SUM(E238:E240)</f>
        <v>21857814</v>
      </c>
      <c r="F237" s="723">
        <f>SUM(F238:F240)</f>
        <v>21854015</v>
      </c>
      <c r="G237" s="724">
        <f t="shared" si="13"/>
        <v>0.9998261948793232</v>
      </c>
    </row>
    <row r="238" spans="1:7" s="709" customFormat="1" ht="18.75" customHeight="1">
      <c r="A238" s="737"/>
      <c r="B238" s="737"/>
      <c r="C238" s="494" t="s">
        <v>9</v>
      </c>
      <c r="D238" s="586">
        <v>2000000</v>
      </c>
      <c r="E238" s="586">
        <v>2800000</v>
      </c>
      <c r="F238" s="586">
        <v>2800000</v>
      </c>
      <c r="G238" s="587">
        <f t="shared" si="13"/>
        <v>1</v>
      </c>
    </row>
    <row r="239" spans="1:7" s="709" customFormat="1" ht="25.5" customHeight="1">
      <c r="A239" s="737"/>
      <c r="B239" s="737"/>
      <c r="C239" s="765" t="s">
        <v>10</v>
      </c>
      <c r="D239" s="610"/>
      <c r="E239" s="610">
        <v>18817814</v>
      </c>
      <c r="F239" s="610">
        <v>18817814</v>
      </c>
      <c r="G239" s="746">
        <f t="shared" si="13"/>
        <v>1</v>
      </c>
    </row>
    <row r="240" spans="1:7" s="709" customFormat="1" ht="18.75" customHeight="1">
      <c r="A240" s="737"/>
      <c r="B240" s="737"/>
      <c r="C240" s="766" t="s">
        <v>1002</v>
      </c>
      <c r="D240" s="626">
        <v>180000</v>
      </c>
      <c r="E240" s="626">
        <v>240000</v>
      </c>
      <c r="F240" s="626">
        <v>236201</v>
      </c>
      <c r="G240" s="787">
        <f t="shared" si="13"/>
        <v>0.9841708333333333</v>
      </c>
    </row>
    <row r="241" spans="1:7" s="709" customFormat="1" ht="16.5" customHeight="1">
      <c r="A241" s="737"/>
      <c r="B241" s="741"/>
      <c r="C241" s="763" t="s">
        <v>11</v>
      </c>
      <c r="D241" s="751">
        <v>180000</v>
      </c>
      <c r="E241" s="751">
        <v>240000</v>
      </c>
      <c r="F241" s="751">
        <v>236201</v>
      </c>
      <c r="G241" s="752">
        <f t="shared" si="13"/>
        <v>0.9841708333333333</v>
      </c>
    </row>
    <row r="242" spans="1:7" s="725" customFormat="1" ht="19.5" customHeight="1">
      <c r="A242" s="231"/>
      <c r="B242" s="232">
        <v>85149</v>
      </c>
      <c r="C242" s="232" t="s">
        <v>12</v>
      </c>
      <c r="D242" s="744">
        <f>D243</f>
        <v>200000</v>
      </c>
      <c r="E242" s="744">
        <f>E243</f>
        <v>200000</v>
      </c>
      <c r="F242" s="744">
        <f>F243</f>
        <v>196659</v>
      </c>
      <c r="G242" s="745">
        <f t="shared" si="13"/>
        <v>0.983295</v>
      </c>
    </row>
    <row r="243" spans="1:7" s="709" customFormat="1" ht="18.75" customHeight="1">
      <c r="A243" s="737"/>
      <c r="B243" s="747"/>
      <c r="C243" s="747" t="s">
        <v>13</v>
      </c>
      <c r="D243" s="727">
        <v>200000</v>
      </c>
      <c r="E243" s="727">
        <v>200000</v>
      </c>
      <c r="F243" s="727">
        <v>196659</v>
      </c>
      <c r="G243" s="728">
        <f t="shared" si="13"/>
        <v>0.983295</v>
      </c>
    </row>
    <row r="244" spans="1:7" s="725" customFormat="1" ht="19.5" customHeight="1">
      <c r="A244" s="231"/>
      <c r="B244" s="722">
        <v>85153</v>
      </c>
      <c r="C244" s="722" t="s">
        <v>14</v>
      </c>
      <c r="D244" s="723">
        <f>D245</f>
        <v>110000</v>
      </c>
      <c r="E244" s="723">
        <f>E245</f>
        <v>110000</v>
      </c>
      <c r="F244" s="723">
        <f>F245</f>
        <v>109044</v>
      </c>
      <c r="G244" s="724">
        <f t="shared" si="13"/>
        <v>0.9913090909090909</v>
      </c>
    </row>
    <row r="245" spans="1:7" s="709" customFormat="1" ht="26.25" customHeight="1">
      <c r="A245" s="737"/>
      <c r="B245" s="738"/>
      <c r="C245" s="498" t="s">
        <v>15</v>
      </c>
      <c r="D245" s="772">
        <v>110000</v>
      </c>
      <c r="E245" s="772">
        <v>110000</v>
      </c>
      <c r="F245" s="772">
        <v>109044</v>
      </c>
      <c r="G245" s="773">
        <f t="shared" si="13"/>
        <v>0.9913090909090909</v>
      </c>
    </row>
    <row r="246" spans="1:7" s="709" customFormat="1" ht="16.5" customHeight="1">
      <c r="A246" s="737"/>
      <c r="B246" s="741"/>
      <c r="C246" s="763" t="s">
        <v>16</v>
      </c>
      <c r="D246" s="751">
        <v>12000</v>
      </c>
      <c r="E246" s="751">
        <v>4011</v>
      </c>
      <c r="F246" s="751">
        <v>3999</v>
      </c>
      <c r="G246" s="752">
        <f t="shared" si="13"/>
        <v>0.9970082273747195</v>
      </c>
    </row>
    <row r="247" spans="1:7" s="725" customFormat="1" ht="19.5" customHeight="1">
      <c r="A247" s="231"/>
      <c r="B247" s="232">
        <v>85154</v>
      </c>
      <c r="C247" s="232" t="s">
        <v>334</v>
      </c>
      <c r="D247" s="744">
        <f>D248</f>
        <v>4500000</v>
      </c>
      <c r="E247" s="744">
        <f>E248+E252+E253+E254</f>
        <v>5027200</v>
      </c>
      <c r="F247" s="744">
        <f>F248+F252+F253+F254</f>
        <v>4912283</v>
      </c>
      <c r="G247" s="745">
        <f t="shared" si="13"/>
        <v>0.977140953214513</v>
      </c>
    </row>
    <row r="248" spans="1:7" s="709" customFormat="1" ht="26.25" customHeight="1">
      <c r="A248" s="737"/>
      <c r="B248" s="738"/>
      <c r="C248" s="759" t="s">
        <v>17</v>
      </c>
      <c r="D248" s="760">
        <v>4500000</v>
      </c>
      <c r="E248" s="760">
        <v>5000000</v>
      </c>
      <c r="F248" s="760">
        <v>4891083</v>
      </c>
      <c r="G248" s="761">
        <f t="shared" si="13"/>
        <v>0.9782166</v>
      </c>
    </row>
    <row r="249" spans="1:7" s="709" customFormat="1" ht="16.5" customHeight="1">
      <c r="A249" s="737"/>
      <c r="B249" s="737"/>
      <c r="C249" s="793" t="s">
        <v>1005</v>
      </c>
      <c r="D249" s="794"/>
      <c r="E249" s="794"/>
      <c r="F249" s="794"/>
      <c r="G249" s="795"/>
    </row>
    <row r="250" spans="1:7" s="709" customFormat="1" ht="16.5" customHeight="1">
      <c r="A250" s="737"/>
      <c r="B250" s="737"/>
      <c r="C250" s="762" t="s">
        <v>18</v>
      </c>
      <c r="D250" s="748">
        <v>110000</v>
      </c>
      <c r="E250" s="748">
        <v>55082</v>
      </c>
      <c r="F250" s="748">
        <v>55081</v>
      </c>
      <c r="G250" s="749">
        <v>0.9999</v>
      </c>
    </row>
    <row r="251" spans="1:7" s="709" customFormat="1" ht="16.5" customHeight="1">
      <c r="A251" s="737"/>
      <c r="B251" s="737"/>
      <c r="C251" s="762" t="s">
        <v>1002</v>
      </c>
      <c r="D251" s="748">
        <v>1400000</v>
      </c>
      <c r="E251" s="748">
        <v>1972076</v>
      </c>
      <c r="F251" s="748">
        <v>1968117</v>
      </c>
      <c r="G251" s="796">
        <f>F251/E251</f>
        <v>0.9979924708784043</v>
      </c>
    </row>
    <row r="252" spans="1:7" s="709" customFormat="1" ht="25.5" customHeight="1">
      <c r="A252" s="737"/>
      <c r="B252" s="737"/>
      <c r="C252" s="765" t="s">
        <v>19</v>
      </c>
      <c r="D252" s="610"/>
      <c r="E252" s="610">
        <v>10600</v>
      </c>
      <c r="F252" s="610">
        <v>10600</v>
      </c>
      <c r="G252" s="746">
        <f>F252/E252</f>
        <v>1</v>
      </c>
    </row>
    <row r="253" spans="1:7" s="709" customFormat="1" ht="38.25" customHeight="1">
      <c r="A253" s="737"/>
      <c r="B253" s="737"/>
      <c r="C253" s="510" t="s">
        <v>20</v>
      </c>
      <c r="D253" s="764"/>
      <c r="E253" s="764">
        <v>10600</v>
      </c>
      <c r="F253" s="764">
        <v>10600</v>
      </c>
      <c r="G253" s="746">
        <f>F253/E253</f>
        <v>1</v>
      </c>
    </row>
    <row r="254" spans="1:7" s="709" customFormat="1" ht="25.5" customHeight="1">
      <c r="A254" s="737"/>
      <c r="B254" s="741"/>
      <c r="C254" s="508" t="s">
        <v>21</v>
      </c>
      <c r="D254" s="770"/>
      <c r="E254" s="770">
        <v>6000</v>
      </c>
      <c r="F254" s="770"/>
      <c r="G254" s="771"/>
    </row>
    <row r="255" spans="1:7" s="725" customFormat="1" ht="19.5" customHeight="1">
      <c r="A255" s="231"/>
      <c r="B255" s="232">
        <v>85195</v>
      </c>
      <c r="C255" s="232" t="s">
        <v>966</v>
      </c>
      <c r="D255" s="744">
        <f>SUM(D256:D257)</f>
        <v>410000</v>
      </c>
      <c r="E255" s="744">
        <f>SUM(E256:E257)</f>
        <v>410000</v>
      </c>
      <c r="F255" s="744">
        <f>SUM(F256:F257)</f>
        <v>406992</v>
      </c>
      <c r="G255" s="745">
        <f aca="true" t="shared" si="14" ref="G255:G267">F255/E255</f>
        <v>0.9926634146341463</v>
      </c>
    </row>
    <row r="256" spans="1:7" s="709" customFormat="1" ht="25.5" customHeight="1">
      <c r="A256" s="737"/>
      <c r="B256" s="737"/>
      <c r="C256" s="765" t="s">
        <v>22</v>
      </c>
      <c r="D256" s="610">
        <v>400000</v>
      </c>
      <c r="E256" s="610">
        <v>400000</v>
      </c>
      <c r="F256" s="610">
        <v>396992</v>
      </c>
      <c r="G256" s="611">
        <f t="shared" si="14"/>
        <v>0.99248</v>
      </c>
    </row>
    <row r="257" spans="1:7" s="709" customFormat="1" ht="18.75" customHeight="1">
      <c r="A257" s="741"/>
      <c r="B257" s="741"/>
      <c r="C257" s="741" t="s">
        <v>23</v>
      </c>
      <c r="D257" s="742">
        <v>10000</v>
      </c>
      <c r="E257" s="742">
        <v>10000</v>
      </c>
      <c r="F257" s="742">
        <v>10000</v>
      </c>
      <c r="G257" s="743">
        <f t="shared" si="14"/>
        <v>1</v>
      </c>
    </row>
    <row r="258" spans="1:7" s="709" customFormat="1" ht="19.5" customHeight="1">
      <c r="A258" s="720">
        <v>852</v>
      </c>
      <c r="B258" s="720"/>
      <c r="C258" s="720" t="s">
        <v>463</v>
      </c>
      <c r="D258" s="601">
        <f>D259+D266+D274+D280+D283+D285+D287+D293+D298+D302+D304</f>
        <v>71721800</v>
      </c>
      <c r="E258" s="601">
        <f>E259+E266+E274+E280+E283+E285+E287+E293+E298+E302+E304</f>
        <v>78058128</v>
      </c>
      <c r="F258" s="601">
        <f>F259+F266+F274+F280+F283+F285+F287+F293+F298+F302+F304</f>
        <v>76184729</v>
      </c>
      <c r="G258" s="572">
        <f t="shared" si="14"/>
        <v>0.9759999496785268</v>
      </c>
    </row>
    <row r="259" spans="1:7" s="709" customFormat="1" ht="19.5" customHeight="1">
      <c r="A259" s="737"/>
      <c r="B259" s="722">
        <v>85201</v>
      </c>
      <c r="C259" s="722" t="s">
        <v>24</v>
      </c>
      <c r="D259" s="723">
        <f>D260+D261+D263+D264+D265</f>
        <v>8837700</v>
      </c>
      <c r="E259" s="723">
        <f>E260+E261+E263+E264+E265</f>
        <v>9622728</v>
      </c>
      <c r="F259" s="723">
        <f>F260+F261+F263+F264+F265</f>
        <v>9241111</v>
      </c>
      <c r="G259" s="724">
        <f t="shared" si="14"/>
        <v>0.9603421191994619</v>
      </c>
    </row>
    <row r="260" spans="1:7" s="709" customFormat="1" ht="19.5" customHeight="1">
      <c r="A260" s="737"/>
      <c r="B260" s="737"/>
      <c r="C260" s="739" t="s">
        <v>1033</v>
      </c>
      <c r="D260" s="586">
        <v>4519000</v>
      </c>
      <c r="E260" s="586">
        <v>4498020</v>
      </c>
      <c r="F260" s="586">
        <v>4373091</v>
      </c>
      <c r="G260" s="587">
        <f t="shared" si="14"/>
        <v>0.9722257793429109</v>
      </c>
    </row>
    <row r="261" spans="1:7" s="709" customFormat="1" ht="19.5" customHeight="1">
      <c r="A261" s="737"/>
      <c r="B261" s="737"/>
      <c r="C261" s="753" t="s">
        <v>1034</v>
      </c>
      <c r="D261" s="754">
        <f>1558700+350000+6000+1000+27000</f>
        <v>1942700</v>
      </c>
      <c r="E261" s="754">
        <v>2284608</v>
      </c>
      <c r="F261" s="754">
        <v>2262879</v>
      </c>
      <c r="G261" s="755">
        <f t="shared" si="14"/>
        <v>0.9904889591562316</v>
      </c>
    </row>
    <row r="262" spans="1:7" s="709" customFormat="1" ht="16.5" customHeight="1">
      <c r="A262" s="737"/>
      <c r="B262" s="737"/>
      <c r="C262" s="756" t="s">
        <v>1019</v>
      </c>
      <c r="D262" s="757"/>
      <c r="E262" s="757">
        <v>14892</v>
      </c>
      <c r="F262" s="757">
        <v>14468</v>
      </c>
      <c r="G262" s="758">
        <f t="shared" si="14"/>
        <v>0.9715283373623422</v>
      </c>
    </row>
    <row r="263" spans="1:7" s="709" customFormat="1" ht="19.5" customHeight="1">
      <c r="A263" s="737"/>
      <c r="B263" s="737"/>
      <c r="C263" s="740" t="s">
        <v>1035</v>
      </c>
      <c r="D263" s="610">
        <f>903000-27000</f>
        <v>876000</v>
      </c>
      <c r="E263" s="610">
        <v>832447</v>
      </c>
      <c r="F263" s="610">
        <v>808341</v>
      </c>
      <c r="G263" s="611">
        <f t="shared" si="14"/>
        <v>0.9710420002714888</v>
      </c>
    </row>
    <row r="264" spans="1:7" s="709" customFormat="1" ht="19.5" customHeight="1">
      <c r="A264" s="737"/>
      <c r="B264" s="737"/>
      <c r="C264" s="765" t="s">
        <v>25</v>
      </c>
      <c r="D264" s="610">
        <v>1500000</v>
      </c>
      <c r="E264" s="610">
        <v>1488800</v>
      </c>
      <c r="F264" s="610">
        <v>1488800</v>
      </c>
      <c r="G264" s="611">
        <f t="shared" si="14"/>
        <v>1</v>
      </c>
    </row>
    <row r="265" spans="1:7" s="709" customFormat="1" ht="19.5" customHeight="1">
      <c r="A265" s="737"/>
      <c r="B265" s="741"/>
      <c r="C265" s="508" t="s">
        <v>1002</v>
      </c>
      <c r="D265" s="770"/>
      <c r="E265" s="770">
        <v>518853</v>
      </c>
      <c r="F265" s="770">
        <v>308000</v>
      </c>
      <c r="G265" s="771">
        <f t="shared" si="14"/>
        <v>0.5936170745856726</v>
      </c>
    </row>
    <row r="266" spans="1:7" s="709" customFormat="1" ht="19.5" customHeight="1">
      <c r="A266" s="737"/>
      <c r="B266" s="232">
        <v>85202</v>
      </c>
      <c r="C266" s="232" t="s">
        <v>352</v>
      </c>
      <c r="D266" s="744">
        <f>D267+D268+D270+D271+D272+D273</f>
        <v>12690000</v>
      </c>
      <c r="E266" s="744">
        <f>E267+E268+E270+E271+E272+E273</f>
        <v>13588972</v>
      </c>
      <c r="F266" s="744">
        <f>F267+F268+F270+F271+F272+F273</f>
        <v>13373841</v>
      </c>
      <c r="G266" s="745">
        <f t="shared" si="14"/>
        <v>0.984168706801368</v>
      </c>
    </row>
    <row r="267" spans="1:7" s="709" customFormat="1" ht="19.5" customHeight="1">
      <c r="A267" s="737"/>
      <c r="B267" s="737"/>
      <c r="C267" s="739" t="s">
        <v>1033</v>
      </c>
      <c r="D267" s="586">
        <v>7351200</v>
      </c>
      <c r="E267" s="586">
        <v>7222388</v>
      </c>
      <c r="F267" s="586">
        <v>7197209</v>
      </c>
      <c r="G267" s="587">
        <f t="shared" si="14"/>
        <v>0.9965137569457636</v>
      </c>
    </row>
    <row r="268" spans="1:7" s="709" customFormat="1" ht="19.5" customHeight="1">
      <c r="A268" s="737"/>
      <c r="B268" s="737"/>
      <c r="C268" s="753" t="s">
        <v>1034</v>
      </c>
      <c r="D268" s="754">
        <v>3423000</v>
      </c>
      <c r="E268" s="754">
        <v>3970911</v>
      </c>
      <c r="F268" s="754">
        <v>3970885</v>
      </c>
      <c r="G268" s="755">
        <v>0.9999</v>
      </c>
    </row>
    <row r="269" spans="1:7" s="709" customFormat="1" ht="16.5" customHeight="1">
      <c r="A269" s="737"/>
      <c r="B269" s="737"/>
      <c r="C269" s="756" t="s">
        <v>1019</v>
      </c>
      <c r="D269" s="757"/>
      <c r="E269" s="757">
        <v>116425</v>
      </c>
      <c r="F269" s="757">
        <v>116425</v>
      </c>
      <c r="G269" s="758">
        <f aca="true" t="shared" si="15" ref="G269:G294">F269/E269</f>
        <v>1</v>
      </c>
    </row>
    <row r="270" spans="1:7" s="709" customFormat="1" ht="19.5" customHeight="1">
      <c r="A270" s="737"/>
      <c r="B270" s="737"/>
      <c r="C270" s="740" t="s">
        <v>1035</v>
      </c>
      <c r="D270" s="610">
        <v>1435800</v>
      </c>
      <c r="E270" s="610">
        <v>1380985</v>
      </c>
      <c r="F270" s="610">
        <v>1359169</v>
      </c>
      <c r="G270" s="611">
        <f t="shared" si="15"/>
        <v>0.9842025800425059</v>
      </c>
    </row>
    <row r="271" spans="1:7" s="709" customFormat="1" ht="19.5" customHeight="1">
      <c r="A271" s="737"/>
      <c r="B271" s="737"/>
      <c r="C271" s="765" t="s">
        <v>26</v>
      </c>
      <c r="D271" s="610"/>
      <c r="E271" s="610">
        <v>113400</v>
      </c>
      <c r="F271" s="610">
        <v>112229</v>
      </c>
      <c r="G271" s="611">
        <f t="shared" si="15"/>
        <v>0.989673721340388</v>
      </c>
    </row>
    <row r="272" spans="1:7" s="709" customFormat="1" ht="19.5" customHeight="1">
      <c r="A272" s="737"/>
      <c r="B272" s="737"/>
      <c r="C272" s="765" t="s">
        <v>27</v>
      </c>
      <c r="D272" s="610">
        <v>320000</v>
      </c>
      <c r="E272" s="610">
        <v>320000</v>
      </c>
      <c r="F272" s="610">
        <v>320000</v>
      </c>
      <c r="G272" s="611">
        <f t="shared" si="15"/>
        <v>1</v>
      </c>
    </row>
    <row r="273" spans="1:7" s="709" customFormat="1" ht="19.5" customHeight="1">
      <c r="A273" s="737"/>
      <c r="B273" s="741"/>
      <c r="C273" s="741" t="s">
        <v>1002</v>
      </c>
      <c r="D273" s="742">
        <v>160000</v>
      </c>
      <c r="E273" s="742">
        <v>581288</v>
      </c>
      <c r="F273" s="742">
        <v>414349</v>
      </c>
      <c r="G273" s="743">
        <f t="shared" si="15"/>
        <v>0.7128118935880321</v>
      </c>
    </row>
    <row r="274" spans="1:7" s="709" customFormat="1" ht="19.5" customHeight="1">
      <c r="A274" s="737"/>
      <c r="B274" s="232">
        <v>85203</v>
      </c>
      <c r="C274" s="232" t="s">
        <v>433</v>
      </c>
      <c r="D274" s="744">
        <f>SUM(D275:D279)</f>
        <v>3320000</v>
      </c>
      <c r="E274" s="744">
        <f>SUM(E275:E279)</f>
        <v>4086203</v>
      </c>
      <c r="F274" s="744">
        <f>SUM(F275:F279)</f>
        <v>3485990</v>
      </c>
      <c r="G274" s="745">
        <f t="shared" si="15"/>
        <v>0.8531122903096102</v>
      </c>
    </row>
    <row r="275" spans="1:7" s="709" customFormat="1" ht="19.5" customHeight="1">
      <c r="A275" s="737"/>
      <c r="B275" s="737"/>
      <c r="C275" s="739" t="s">
        <v>1033</v>
      </c>
      <c r="D275" s="586">
        <v>1578000</v>
      </c>
      <c r="E275" s="586">
        <v>1578000</v>
      </c>
      <c r="F275" s="586">
        <v>1578000</v>
      </c>
      <c r="G275" s="587">
        <f t="shared" si="15"/>
        <v>1</v>
      </c>
    </row>
    <row r="276" spans="1:7" s="709" customFormat="1" ht="19.5" customHeight="1">
      <c r="A276" s="737"/>
      <c r="B276" s="231"/>
      <c r="C276" s="740" t="s">
        <v>1034</v>
      </c>
      <c r="D276" s="610">
        <f>352000+3000</f>
        <v>355000</v>
      </c>
      <c r="E276" s="610">
        <v>388796</v>
      </c>
      <c r="F276" s="610">
        <v>388584</v>
      </c>
      <c r="G276" s="611">
        <f t="shared" si="15"/>
        <v>0.9994547269004825</v>
      </c>
    </row>
    <row r="277" spans="1:7" s="709" customFormat="1" ht="19.5" customHeight="1">
      <c r="A277" s="737"/>
      <c r="B277" s="737"/>
      <c r="C277" s="765" t="s">
        <v>1035</v>
      </c>
      <c r="D277" s="610">
        <f>306000-3000</f>
        <v>303000</v>
      </c>
      <c r="E277" s="610">
        <v>278070</v>
      </c>
      <c r="F277" s="610">
        <v>278070</v>
      </c>
      <c r="G277" s="611">
        <f t="shared" si="15"/>
        <v>1</v>
      </c>
    </row>
    <row r="278" spans="1:7" s="709" customFormat="1" ht="27.75" customHeight="1">
      <c r="A278" s="737"/>
      <c r="B278" s="737"/>
      <c r="C278" s="510" t="s">
        <v>28</v>
      </c>
      <c r="D278" s="764">
        <v>384000</v>
      </c>
      <c r="E278" s="764">
        <v>424000</v>
      </c>
      <c r="F278" s="764">
        <v>424000</v>
      </c>
      <c r="G278" s="746">
        <f t="shared" si="15"/>
        <v>1</v>
      </c>
    </row>
    <row r="279" spans="1:7" s="709" customFormat="1" ht="19.5" customHeight="1">
      <c r="A279" s="737"/>
      <c r="B279" s="741"/>
      <c r="C279" s="778" t="s">
        <v>1002</v>
      </c>
      <c r="D279" s="770">
        <v>700000</v>
      </c>
      <c r="E279" s="770">
        <v>1417337</v>
      </c>
      <c r="F279" s="770">
        <v>817336</v>
      </c>
      <c r="G279" s="771">
        <f t="shared" si="15"/>
        <v>0.5766701920573583</v>
      </c>
    </row>
    <row r="280" spans="1:7" s="709" customFormat="1" ht="19.5" customHeight="1">
      <c r="A280" s="737"/>
      <c r="B280" s="232">
        <v>85204</v>
      </c>
      <c r="C280" s="506" t="s">
        <v>422</v>
      </c>
      <c r="D280" s="744">
        <f>D281</f>
        <v>5300000</v>
      </c>
      <c r="E280" s="744">
        <f>SUM(E281:E282)</f>
        <v>5528000</v>
      </c>
      <c r="F280" s="744">
        <f>SUM(F281:F282)</f>
        <v>5471405</v>
      </c>
      <c r="G280" s="745">
        <f t="shared" si="15"/>
        <v>0.9897621201157742</v>
      </c>
    </row>
    <row r="281" spans="1:7" s="709" customFormat="1" ht="19.5" customHeight="1">
      <c r="A281" s="737"/>
      <c r="B281" s="737"/>
      <c r="C281" s="740" t="s">
        <v>29</v>
      </c>
      <c r="D281" s="610">
        <v>5300000</v>
      </c>
      <c r="E281" s="610">
        <v>5428000</v>
      </c>
      <c r="F281" s="610">
        <v>5392000</v>
      </c>
      <c r="G281" s="611">
        <f t="shared" si="15"/>
        <v>0.993367722918202</v>
      </c>
    </row>
    <row r="282" spans="1:7" s="709" customFormat="1" ht="27.75" customHeight="1">
      <c r="A282" s="741"/>
      <c r="B282" s="741"/>
      <c r="C282" s="508" t="s">
        <v>30</v>
      </c>
      <c r="D282" s="770"/>
      <c r="E282" s="770">
        <v>100000</v>
      </c>
      <c r="F282" s="770">
        <v>79405</v>
      </c>
      <c r="G282" s="771">
        <f t="shared" si="15"/>
        <v>0.79405</v>
      </c>
    </row>
    <row r="283" spans="1:7" s="725" customFormat="1" ht="19.5" customHeight="1">
      <c r="A283" s="231"/>
      <c r="B283" s="232">
        <v>85214</v>
      </c>
      <c r="C283" s="506" t="s">
        <v>925</v>
      </c>
      <c r="D283" s="744">
        <f>D284</f>
        <v>6200000</v>
      </c>
      <c r="E283" s="744">
        <f>E284</f>
        <v>8265325</v>
      </c>
      <c r="F283" s="744">
        <f>F284</f>
        <v>7881278</v>
      </c>
      <c r="G283" s="745">
        <f t="shared" si="15"/>
        <v>0.9535351604443867</v>
      </c>
    </row>
    <row r="284" spans="1:7" s="709" customFormat="1" ht="19.5" customHeight="1">
      <c r="A284" s="737"/>
      <c r="B284" s="747"/>
      <c r="C284" s="747" t="s">
        <v>29</v>
      </c>
      <c r="D284" s="727">
        <v>6200000</v>
      </c>
      <c r="E284" s="727">
        <v>8265325</v>
      </c>
      <c r="F284" s="727">
        <v>7881278</v>
      </c>
      <c r="G284" s="728">
        <f t="shared" si="15"/>
        <v>0.9535351604443867</v>
      </c>
    </row>
    <row r="285" spans="1:7" s="725" customFormat="1" ht="19.5" customHeight="1">
      <c r="A285" s="231"/>
      <c r="B285" s="232">
        <v>85215</v>
      </c>
      <c r="C285" s="232" t="s">
        <v>378</v>
      </c>
      <c r="D285" s="744">
        <f>D286</f>
        <v>19500000</v>
      </c>
      <c r="E285" s="744">
        <f>E286</f>
        <v>20545000</v>
      </c>
      <c r="F285" s="744">
        <f>F286</f>
        <v>20539926</v>
      </c>
      <c r="G285" s="745">
        <f t="shared" si="15"/>
        <v>0.9997530299342906</v>
      </c>
    </row>
    <row r="286" spans="1:7" s="709" customFormat="1" ht="19.5" customHeight="1">
      <c r="A286" s="737"/>
      <c r="B286" s="747"/>
      <c r="C286" s="747" t="s">
        <v>31</v>
      </c>
      <c r="D286" s="727">
        <v>19500000</v>
      </c>
      <c r="E286" s="727">
        <v>20545000</v>
      </c>
      <c r="F286" s="727">
        <v>20539926</v>
      </c>
      <c r="G286" s="728">
        <f t="shared" si="15"/>
        <v>0.9997530299342906</v>
      </c>
    </row>
    <row r="287" spans="1:7" s="709" customFormat="1" ht="19.5" customHeight="1">
      <c r="A287" s="737"/>
      <c r="B287" s="232">
        <v>85219</v>
      </c>
      <c r="C287" s="232" t="s">
        <v>416</v>
      </c>
      <c r="D287" s="744">
        <f>D288+D289+D291+D292</f>
        <v>7193000</v>
      </c>
      <c r="E287" s="744">
        <f>E288+E289+E291+E292</f>
        <v>7349000</v>
      </c>
      <c r="F287" s="744">
        <f>F288+F289+F291+F292</f>
        <v>7349000</v>
      </c>
      <c r="G287" s="745">
        <f t="shared" si="15"/>
        <v>1</v>
      </c>
    </row>
    <row r="288" spans="1:7" s="709" customFormat="1" ht="19.5" customHeight="1">
      <c r="A288" s="737"/>
      <c r="B288" s="737"/>
      <c r="C288" s="739" t="s">
        <v>1033</v>
      </c>
      <c r="D288" s="586">
        <v>5162000</v>
      </c>
      <c r="E288" s="586">
        <v>5162000</v>
      </c>
      <c r="F288" s="586">
        <v>5162000</v>
      </c>
      <c r="G288" s="587">
        <f t="shared" si="15"/>
        <v>1</v>
      </c>
    </row>
    <row r="289" spans="1:7" s="709" customFormat="1" ht="19.5" customHeight="1">
      <c r="A289" s="737"/>
      <c r="B289" s="737"/>
      <c r="C289" s="753" t="s">
        <v>1034</v>
      </c>
      <c r="D289" s="754">
        <v>1011000</v>
      </c>
      <c r="E289" s="754">
        <v>1174948</v>
      </c>
      <c r="F289" s="754">
        <v>1174948</v>
      </c>
      <c r="G289" s="755">
        <f t="shared" si="15"/>
        <v>1</v>
      </c>
    </row>
    <row r="290" spans="1:7" s="709" customFormat="1" ht="16.5" customHeight="1">
      <c r="A290" s="737"/>
      <c r="B290" s="737"/>
      <c r="C290" s="756" t="s">
        <v>1019</v>
      </c>
      <c r="D290" s="757">
        <v>73000</v>
      </c>
      <c r="E290" s="757">
        <v>73000</v>
      </c>
      <c r="F290" s="757">
        <v>73000</v>
      </c>
      <c r="G290" s="758">
        <f t="shared" si="15"/>
        <v>1</v>
      </c>
    </row>
    <row r="291" spans="1:7" s="709" customFormat="1" ht="19.5" customHeight="1">
      <c r="A291" s="737"/>
      <c r="B291" s="737"/>
      <c r="C291" s="740" t="s">
        <v>1035</v>
      </c>
      <c r="D291" s="610">
        <v>1016000</v>
      </c>
      <c r="E291" s="610">
        <v>1008052</v>
      </c>
      <c r="F291" s="610">
        <v>1008052</v>
      </c>
      <c r="G291" s="611">
        <f t="shared" si="15"/>
        <v>1</v>
      </c>
    </row>
    <row r="292" spans="1:7" s="709" customFormat="1" ht="19.5" customHeight="1">
      <c r="A292" s="737"/>
      <c r="B292" s="741"/>
      <c r="C292" s="741" t="s">
        <v>1002</v>
      </c>
      <c r="D292" s="742">
        <v>4000</v>
      </c>
      <c r="E292" s="742">
        <v>4000</v>
      </c>
      <c r="F292" s="742">
        <v>4000</v>
      </c>
      <c r="G292" s="771">
        <f t="shared" si="15"/>
        <v>1</v>
      </c>
    </row>
    <row r="293" spans="1:7" s="725" customFormat="1" ht="25.5" customHeight="1">
      <c r="A293" s="231"/>
      <c r="B293" s="791">
        <v>85220</v>
      </c>
      <c r="C293" s="506" t="s">
        <v>32</v>
      </c>
      <c r="D293" s="744">
        <f>D294</f>
        <v>200000</v>
      </c>
      <c r="E293" s="744">
        <f>E294</f>
        <v>200000</v>
      </c>
      <c r="F293" s="744">
        <f>F294</f>
        <v>60000</v>
      </c>
      <c r="G293" s="745">
        <f t="shared" si="15"/>
        <v>0.3</v>
      </c>
    </row>
    <row r="294" spans="1:7" s="709" customFormat="1" ht="19.5" customHeight="1">
      <c r="A294" s="737"/>
      <c r="B294" s="738"/>
      <c r="C294" s="797" t="s">
        <v>33</v>
      </c>
      <c r="D294" s="760">
        <v>200000</v>
      </c>
      <c r="E294" s="760">
        <v>200000</v>
      </c>
      <c r="F294" s="760">
        <v>60000</v>
      </c>
      <c r="G294" s="761">
        <f t="shared" si="15"/>
        <v>0.3</v>
      </c>
    </row>
    <row r="295" spans="1:7" s="709" customFormat="1" ht="15" customHeight="1">
      <c r="A295" s="737"/>
      <c r="B295" s="737"/>
      <c r="C295" s="726" t="s">
        <v>1005</v>
      </c>
      <c r="D295" s="748"/>
      <c r="E295" s="748"/>
      <c r="F295" s="748"/>
      <c r="G295" s="749"/>
    </row>
    <row r="296" spans="1:7" s="709" customFormat="1" ht="16.5" customHeight="1">
      <c r="A296" s="737"/>
      <c r="B296" s="737"/>
      <c r="C296" s="726" t="s">
        <v>34</v>
      </c>
      <c r="D296" s="748"/>
      <c r="E296" s="748">
        <v>15000</v>
      </c>
      <c r="F296" s="748">
        <v>15000</v>
      </c>
      <c r="G296" s="749">
        <f>F296/E296</f>
        <v>1</v>
      </c>
    </row>
    <row r="297" spans="1:7" s="709" customFormat="1" ht="16.5" customHeight="1">
      <c r="A297" s="737"/>
      <c r="B297" s="741"/>
      <c r="C297" s="750" t="s">
        <v>1002</v>
      </c>
      <c r="D297" s="751"/>
      <c r="E297" s="751">
        <v>140000</v>
      </c>
      <c r="F297" s="751"/>
      <c r="G297" s="752"/>
    </row>
    <row r="298" spans="1:7" s="725" customFormat="1" ht="19.5" customHeight="1">
      <c r="A298" s="231"/>
      <c r="B298" s="232">
        <v>85226</v>
      </c>
      <c r="C298" s="232" t="s">
        <v>399</v>
      </c>
      <c r="D298" s="744">
        <f>SUM(D299:D301)</f>
        <v>251100</v>
      </c>
      <c r="E298" s="744">
        <f>SUM(E299:E301)</f>
        <v>254100</v>
      </c>
      <c r="F298" s="744">
        <f>SUM(F299:F301)</f>
        <v>232328</v>
      </c>
      <c r="G298" s="745">
        <f aca="true" t="shared" si="16" ref="G298:G309">F298/E298</f>
        <v>0.9143171979535616</v>
      </c>
    </row>
    <row r="299" spans="1:7" s="709" customFormat="1" ht="19.5" customHeight="1">
      <c r="A299" s="737"/>
      <c r="B299" s="737"/>
      <c r="C299" s="739" t="s">
        <v>1033</v>
      </c>
      <c r="D299" s="586">
        <v>179500</v>
      </c>
      <c r="E299" s="586">
        <v>182020</v>
      </c>
      <c r="F299" s="586">
        <v>163322</v>
      </c>
      <c r="G299" s="587">
        <f t="shared" si="16"/>
        <v>0.8972750247225579</v>
      </c>
    </row>
    <row r="300" spans="1:7" s="709" customFormat="1" ht="19.5" customHeight="1">
      <c r="A300" s="737"/>
      <c r="B300" s="737"/>
      <c r="C300" s="740" t="s">
        <v>1034</v>
      </c>
      <c r="D300" s="610">
        <v>37000</v>
      </c>
      <c r="E300" s="610">
        <v>40010</v>
      </c>
      <c r="F300" s="610">
        <v>38750</v>
      </c>
      <c r="G300" s="611">
        <f t="shared" si="16"/>
        <v>0.968507873031742</v>
      </c>
    </row>
    <row r="301" spans="1:7" s="709" customFormat="1" ht="19.5" customHeight="1">
      <c r="A301" s="737"/>
      <c r="B301" s="741"/>
      <c r="C301" s="778" t="s">
        <v>1035</v>
      </c>
      <c r="D301" s="770">
        <v>34600</v>
      </c>
      <c r="E301" s="770">
        <v>32070</v>
      </c>
      <c r="F301" s="770">
        <v>30256</v>
      </c>
      <c r="G301" s="771">
        <f t="shared" si="16"/>
        <v>0.943436233239788</v>
      </c>
    </row>
    <row r="302" spans="1:7" s="725" customFormat="1" ht="19.5" customHeight="1">
      <c r="A302" s="231"/>
      <c r="B302" s="232">
        <v>85228</v>
      </c>
      <c r="C302" s="232" t="s">
        <v>388</v>
      </c>
      <c r="D302" s="744">
        <f>D303</f>
        <v>7400000</v>
      </c>
      <c r="E302" s="744">
        <f>E303</f>
        <v>7350000</v>
      </c>
      <c r="F302" s="744">
        <f>F303</f>
        <v>7350000</v>
      </c>
      <c r="G302" s="745">
        <f t="shared" si="16"/>
        <v>1</v>
      </c>
    </row>
    <row r="303" spans="1:7" s="709" customFormat="1" ht="19.5" customHeight="1">
      <c r="A303" s="737"/>
      <c r="B303" s="747"/>
      <c r="C303" s="747" t="s">
        <v>35</v>
      </c>
      <c r="D303" s="727">
        <v>7400000</v>
      </c>
      <c r="E303" s="727">
        <v>7350000</v>
      </c>
      <c r="F303" s="727">
        <v>7350000</v>
      </c>
      <c r="G303" s="728">
        <f t="shared" si="16"/>
        <v>1</v>
      </c>
    </row>
    <row r="304" spans="1:7" s="725" customFormat="1" ht="19.5" customHeight="1">
      <c r="A304" s="231"/>
      <c r="B304" s="232">
        <v>85295</v>
      </c>
      <c r="C304" s="232" t="s">
        <v>966</v>
      </c>
      <c r="D304" s="744">
        <f>SUM(D305:D307)</f>
        <v>830000</v>
      </c>
      <c r="E304" s="744">
        <f>SUM(E305:E308)</f>
        <v>1268800</v>
      </c>
      <c r="F304" s="744">
        <f>SUM(F305:F308)</f>
        <v>1199850</v>
      </c>
      <c r="G304" s="745">
        <f t="shared" si="16"/>
        <v>0.9456573139974779</v>
      </c>
    </row>
    <row r="305" spans="1:7" s="709" customFormat="1" ht="19.5" customHeight="1">
      <c r="A305" s="737"/>
      <c r="B305" s="737"/>
      <c r="C305" s="739" t="s">
        <v>36</v>
      </c>
      <c r="D305" s="586">
        <v>50000</v>
      </c>
      <c r="E305" s="586">
        <v>50000</v>
      </c>
      <c r="F305" s="586">
        <v>45500</v>
      </c>
      <c r="G305" s="587">
        <f t="shared" si="16"/>
        <v>0.91</v>
      </c>
    </row>
    <row r="306" spans="1:7" s="709" customFormat="1" ht="27.75" customHeight="1">
      <c r="A306" s="737"/>
      <c r="B306" s="737"/>
      <c r="C306" s="510" t="s">
        <v>37</v>
      </c>
      <c r="D306" s="764">
        <v>730000</v>
      </c>
      <c r="E306" s="764">
        <v>730000</v>
      </c>
      <c r="F306" s="764">
        <v>673550</v>
      </c>
      <c r="G306" s="746">
        <f t="shared" si="16"/>
        <v>0.9226712328767124</v>
      </c>
    </row>
    <row r="307" spans="1:7" s="709" customFormat="1" ht="19.5" customHeight="1">
      <c r="A307" s="737"/>
      <c r="B307" s="737"/>
      <c r="C307" s="765" t="s">
        <v>38</v>
      </c>
      <c r="D307" s="610">
        <v>50000</v>
      </c>
      <c r="E307" s="610">
        <v>50000</v>
      </c>
      <c r="F307" s="610">
        <v>42000</v>
      </c>
      <c r="G307" s="611">
        <f t="shared" si="16"/>
        <v>0.84</v>
      </c>
    </row>
    <row r="308" spans="1:7" s="709" customFormat="1" ht="19.5" customHeight="1">
      <c r="A308" s="741"/>
      <c r="B308" s="741"/>
      <c r="C308" s="741" t="s">
        <v>39</v>
      </c>
      <c r="D308" s="742"/>
      <c r="E308" s="742">
        <v>438800</v>
      </c>
      <c r="F308" s="742">
        <v>438800</v>
      </c>
      <c r="G308" s="771">
        <f t="shared" si="16"/>
        <v>1</v>
      </c>
    </row>
    <row r="309" spans="1:7" s="709" customFormat="1" ht="19.5" customHeight="1">
      <c r="A309" s="720">
        <v>853</v>
      </c>
      <c r="B309" s="720"/>
      <c r="C309" s="720" t="s">
        <v>464</v>
      </c>
      <c r="D309" s="601">
        <f>D310+D316+D323+D325</f>
        <v>7299000</v>
      </c>
      <c r="E309" s="601">
        <f>E310+E316+E323+E325</f>
        <v>7444363</v>
      </c>
      <c r="F309" s="601">
        <f>F310+F316+F323+F325</f>
        <v>7316922</v>
      </c>
      <c r="G309" s="572">
        <f t="shared" si="16"/>
        <v>0.9828808724131266</v>
      </c>
    </row>
    <row r="310" spans="1:7" s="709" customFormat="1" ht="19.5" customHeight="1">
      <c r="A310" s="737"/>
      <c r="B310" s="232">
        <v>85305</v>
      </c>
      <c r="C310" s="232" t="s">
        <v>351</v>
      </c>
      <c r="D310" s="744">
        <f>D311+D312+D314+D315</f>
        <v>4606000</v>
      </c>
      <c r="E310" s="744">
        <f>E311+E312+E314+E315</f>
        <v>4621000</v>
      </c>
      <c r="F310" s="744">
        <f>F311+F312+F314+F315</f>
        <v>4620924</v>
      </c>
      <c r="G310" s="745">
        <v>0.9999</v>
      </c>
    </row>
    <row r="311" spans="1:7" s="709" customFormat="1" ht="18.75" customHeight="1">
      <c r="A311" s="737"/>
      <c r="B311" s="737"/>
      <c r="C311" s="739" t="s">
        <v>1033</v>
      </c>
      <c r="D311" s="586">
        <v>3265000</v>
      </c>
      <c r="E311" s="586">
        <v>3265000</v>
      </c>
      <c r="F311" s="586">
        <v>3264994</v>
      </c>
      <c r="G311" s="587">
        <v>0.9999</v>
      </c>
    </row>
    <row r="312" spans="1:7" s="709" customFormat="1" ht="18.75" customHeight="1">
      <c r="A312" s="737"/>
      <c r="B312" s="737"/>
      <c r="C312" s="753" t="s">
        <v>1034</v>
      </c>
      <c r="D312" s="754">
        <v>721000</v>
      </c>
      <c r="E312" s="754">
        <v>712673</v>
      </c>
      <c r="F312" s="754">
        <v>712603</v>
      </c>
      <c r="G312" s="755">
        <f aca="true" t="shared" si="17" ref="G312:G321">F312/E312</f>
        <v>0.9999017782348988</v>
      </c>
    </row>
    <row r="313" spans="1:7" s="709" customFormat="1" ht="16.5" customHeight="1">
      <c r="A313" s="737"/>
      <c r="B313" s="737"/>
      <c r="C313" s="756" t="s">
        <v>1019</v>
      </c>
      <c r="D313" s="757">
        <v>60000</v>
      </c>
      <c r="E313" s="757">
        <v>60000</v>
      </c>
      <c r="F313" s="757">
        <v>59975</v>
      </c>
      <c r="G313" s="758">
        <f t="shared" si="17"/>
        <v>0.9995833333333334</v>
      </c>
    </row>
    <row r="314" spans="1:7" s="709" customFormat="1" ht="18.75" customHeight="1">
      <c r="A314" s="737"/>
      <c r="B314" s="737"/>
      <c r="C314" s="740" t="s">
        <v>1035</v>
      </c>
      <c r="D314" s="610">
        <v>620000</v>
      </c>
      <c r="E314" s="610">
        <v>629767</v>
      </c>
      <c r="F314" s="610">
        <v>629767</v>
      </c>
      <c r="G314" s="611">
        <f t="shared" si="17"/>
        <v>1</v>
      </c>
    </row>
    <row r="315" spans="1:7" s="709" customFormat="1" ht="18.75" customHeight="1">
      <c r="A315" s="737"/>
      <c r="B315" s="741"/>
      <c r="C315" s="778" t="s">
        <v>1002</v>
      </c>
      <c r="D315" s="770"/>
      <c r="E315" s="770">
        <v>13560</v>
      </c>
      <c r="F315" s="770">
        <v>13560</v>
      </c>
      <c r="G315" s="771">
        <f t="shared" si="17"/>
        <v>1</v>
      </c>
    </row>
    <row r="316" spans="1:7" s="725" customFormat="1" ht="19.5" customHeight="1">
      <c r="A316" s="231"/>
      <c r="B316" s="232">
        <v>85333</v>
      </c>
      <c r="C316" s="232" t="s">
        <v>423</v>
      </c>
      <c r="D316" s="744">
        <f>SUM(D317:D321)</f>
        <v>2635000</v>
      </c>
      <c r="E316" s="744">
        <f>SUM(E317:E321)</f>
        <v>2765363</v>
      </c>
      <c r="F316" s="744">
        <f>SUM(F317:F321)</f>
        <v>2674431</v>
      </c>
      <c r="G316" s="745">
        <f t="shared" si="17"/>
        <v>0.9671175176640463</v>
      </c>
    </row>
    <row r="317" spans="1:7" s="709" customFormat="1" ht="18.75" customHeight="1">
      <c r="A317" s="737"/>
      <c r="B317" s="737"/>
      <c r="C317" s="739" t="s">
        <v>1033</v>
      </c>
      <c r="D317" s="586">
        <v>1787000</v>
      </c>
      <c r="E317" s="586">
        <v>1787000</v>
      </c>
      <c r="F317" s="586">
        <v>1787000</v>
      </c>
      <c r="G317" s="587">
        <f t="shared" si="17"/>
        <v>1</v>
      </c>
    </row>
    <row r="318" spans="1:7" s="709" customFormat="1" ht="18.75" customHeight="1">
      <c r="A318" s="737"/>
      <c r="B318" s="737"/>
      <c r="C318" s="740" t="s">
        <v>1034</v>
      </c>
      <c r="D318" s="610">
        <v>507000</v>
      </c>
      <c r="E318" s="610">
        <v>476970</v>
      </c>
      <c r="F318" s="610">
        <v>476970</v>
      </c>
      <c r="G318" s="611">
        <f t="shared" si="17"/>
        <v>1</v>
      </c>
    </row>
    <row r="319" spans="1:7" s="709" customFormat="1" ht="18.75" customHeight="1">
      <c r="A319" s="737"/>
      <c r="B319" s="737"/>
      <c r="C319" s="740" t="s">
        <v>1035</v>
      </c>
      <c r="D319" s="610">
        <v>341000</v>
      </c>
      <c r="E319" s="610">
        <v>349030</v>
      </c>
      <c r="F319" s="610">
        <v>349030</v>
      </c>
      <c r="G319" s="611">
        <f t="shared" si="17"/>
        <v>1</v>
      </c>
    </row>
    <row r="320" spans="1:7" s="709" customFormat="1" ht="18.75" customHeight="1">
      <c r="A320" s="737"/>
      <c r="B320" s="737"/>
      <c r="C320" s="740" t="s">
        <v>1002</v>
      </c>
      <c r="D320" s="610"/>
      <c r="E320" s="610">
        <v>62000</v>
      </c>
      <c r="F320" s="610">
        <v>57328</v>
      </c>
      <c r="G320" s="611">
        <f t="shared" si="17"/>
        <v>0.9246451612903226</v>
      </c>
    </row>
    <row r="321" spans="1:7" s="709" customFormat="1" ht="24.75" customHeight="1">
      <c r="A321" s="737"/>
      <c r="B321" s="737"/>
      <c r="C321" s="766" t="s">
        <v>40</v>
      </c>
      <c r="D321" s="626"/>
      <c r="E321" s="626">
        <v>90363</v>
      </c>
      <c r="F321" s="626">
        <v>4103</v>
      </c>
      <c r="G321" s="746">
        <f t="shared" si="17"/>
        <v>0.045405752354392835</v>
      </c>
    </row>
    <row r="322" spans="1:7" s="709" customFormat="1" ht="16.5" customHeight="1">
      <c r="A322" s="737"/>
      <c r="B322" s="741"/>
      <c r="C322" s="798" t="s">
        <v>1009</v>
      </c>
      <c r="D322" s="799"/>
      <c r="E322" s="799">
        <v>7459</v>
      </c>
      <c r="F322" s="799"/>
      <c r="G322" s="800"/>
    </row>
    <row r="323" spans="1:7" s="725" customFormat="1" ht="19.5" customHeight="1">
      <c r="A323" s="231"/>
      <c r="B323" s="232">
        <v>85334</v>
      </c>
      <c r="C323" s="232" t="s">
        <v>898</v>
      </c>
      <c r="D323" s="744">
        <f>D324</f>
        <v>30000</v>
      </c>
      <c r="E323" s="744">
        <f>E324</f>
        <v>30000</v>
      </c>
      <c r="F323" s="744"/>
      <c r="G323" s="745"/>
    </row>
    <row r="324" spans="1:7" s="709" customFormat="1" ht="19.5" customHeight="1">
      <c r="A324" s="737"/>
      <c r="B324" s="747"/>
      <c r="C324" s="747" t="s">
        <v>41</v>
      </c>
      <c r="D324" s="727">
        <v>30000</v>
      </c>
      <c r="E324" s="727">
        <v>30000</v>
      </c>
      <c r="F324" s="727"/>
      <c r="G324" s="728"/>
    </row>
    <row r="325" spans="1:7" s="725" customFormat="1" ht="19.5" customHeight="1">
      <c r="A325" s="231"/>
      <c r="B325" s="232">
        <v>85346</v>
      </c>
      <c r="C325" s="232" t="s">
        <v>3</v>
      </c>
      <c r="D325" s="744">
        <f>D326</f>
        <v>28000</v>
      </c>
      <c r="E325" s="744">
        <f>E326</f>
        <v>28000</v>
      </c>
      <c r="F325" s="744">
        <f>F326</f>
        <v>21567</v>
      </c>
      <c r="G325" s="745">
        <f aca="true" t="shared" si="18" ref="G325:G332">F325/E325</f>
        <v>0.77025</v>
      </c>
    </row>
    <row r="326" spans="1:7" s="709" customFormat="1" ht="19.5" customHeight="1">
      <c r="A326" s="741"/>
      <c r="B326" s="747"/>
      <c r="C326" s="747" t="s">
        <v>4</v>
      </c>
      <c r="D326" s="727">
        <v>28000</v>
      </c>
      <c r="E326" s="727">
        <v>28000</v>
      </c>
      <c r="F326" s="727">
        <v>21567</v>
      </c>
      <c r="G326" s="728">
        <f t="shared" si="18"/>
        <v>0.77025</v>
      </c>
    </row>
    <row r="327" spans="1:7" s="709" customFormat="1" ht="19.5" customHeight="1">
      <c r="A327" s="720">
        <v>854</v>
      </c>
      <c r="B327" s="720"/>
      <c r="C327" s="720" t="s">
        <v>396</v>
      </c>
      <c r="D327" s="601">
        <f>D328+D332+D339+D343+D348+D354+D356+D360+D371+D380+D369+D365</f>
        <v>33461000</v>
      </c>
      <c r="E327" s="601">
        <f>E328+E332+E339+E343+E348+E354+E356+E360+E371+E380+E369+E365</f>
        <v>36722079</v>
      </c>
      <c r="F327" s="601">
        <f>F328+F332+F339+F343+F348+F354+F356+F360+F371+F380+F369+F365</f>
        <v>36683529</v>
      </c>
      <c r="G327" s="572">
        <f t="shared" si="18"/>
        <v>0.9989502228346059</v>
      </c>
    </row>
    <row r="328" spans="1:7" s="709" customFormat="1" ht="19.5" customHeight="1">
      <c r="A328" s="737"/>
      <c r="B328" s="722">
        <v>85401</v>
      </c>
      <c r="C328" s="722" t="s">
        <v>397</v>
      </c>
      <c r="D328" s="723">
        <f>SUM(D329:D331)</f>
        <v>5600000</v>
      </c>
      <c r="E328" s="723">
        <f>SUM(E329:E331)</f>
        <v>6159986</v>
      </c>
      <c r="F328" s="723">
        <f>SUM(F329:F331)</f>
        <v>6158187</v>
      </c>
      <c r="G328" s="724">
        <f t="shared" si="18"/>
        <v>0.9997079538817134</v>
      </c>
    </row>
    <row r="329" spans="1:7" s="709" customFormat="1" ht="18.75" customHeight="1">
      <c r="A329" s="737"/>
      <c r="B329" s="737"/>
      <c r="C329" s="739" t="s">
        <v>1033</v>
      </c>
      <c r="D329" s="586">
        <v>4400000</v>
      </c>
      <c r="E329" s="586">
        <v>4877902</v>
      </c>
      <c r="F329" s="586">
        <v>4877000</v>
      </c>
      <c r="G329" s="587">
        <f t="shared" si="18"/>
        <v>0.9998150844358906</v>
      </c>
    </row>
    <row r="330" spans="1:7" s="709" customFormat="1" ht="18.75" customHeight="1">
      <c r="A330" s="737"/>
      <c r="B330" s="737"/>
      <c r="C330" s="740" t="s">
        <v>1034</v>
      </c>
      <c r="D330" s="610">
        <v>340000</v>
      </c>
      <c r="E330" s="610">
        <v>337782</v>
      </c>
      <c r="F330" s="610">
        <v>337640</v>
      </c>
      <c r="G330" s="611">
        <f t="shared" si="18"/>
        <v>0.9995796105180265</v>
      </c>
    </row>
    <row r="331" spans="1:7" s="709" customFormat="1" ht="18.75" customHeight="1">
      <c r="A331" s="737"/>
      <c r="B331" s="741"/>
      <c r="C331" s="508" t="s">
        <v>1035</v>
      </c>
      <c r="D331" s="770">
        <v>860000</v>
      </c>
      <c r="E331" s="770">
        <v>944302</v>
      </c>
      <c r="F331" s="770">
        <v>943547</v>
      </c>
      <c r="G331" s="771">
        <f t="shared" si="18"/>
        <v>0.9992004676470028</v>
      </c>
    </row>
    <row r="332" spans="1:7" s="709" customFormat="1" ht="19.5" customHeight="1">
      <c r="A332" s="737"/>
      <c r="B332" s="232">
        <v>85403</v>
      </c>
      <c r="C332" s="232" t="s">
        <v>42</v>
      </c>
      <c r="D332" s="744">
        <f>D333+D334+D336+D337+D338</f>
        <v>7618000</v>
      </c>
      <c r="E332" s="744">
        <f>E333+E334+E336+E337+E338</f>
        <v>7977173</v>
      </c>
      <c r="F332" s="744">
        <f>F333+F334+F336+F337+F338</f>
        <v>7963188</v>
      </c>
      <c r="G332" s="745">
        <f t="shared" si="18"/>
        <v>0.9982468726703057</v>
      </c>
    </row>
    <row r="333" spans="1:7" s="709" customFormat="1" ht="18.75" customHeight="1">
      <c r="A333" s="737"/>
      <c r="B333" s="737"/>
      <c r="C333" s="739" t="s">
        <v>1033</v>
      </c>
      <c r="D333" s="586">
        <v>4925000</v>
      </c>
      <c r="E333" s="586">
        <v>5128420</v>
      </c>
      <c r="F333" s="586">
        <v>5128418</v>
      </c>
      <c r="G333" s="587">
        <v>0.9999</v>
      </c>
    </row>
    <row r="334" spans="1:7" s="709" customFormat="1" ht="18.75" customHeight="1">
      <c r="A334" s="737"/>
      <c r="B334" s="737"/>
      <c r="C334" s="753" t="s">
        <v>1034</v>
      </c>
      <c r="D334" s="754">
        <f>1100000+10000</f>
        <v>1110000</v>
      </c>
      <c r="E334" s="754">
        <v>1174416</v>
      </c>
      <c r="F334" s="754">
        <v>1174266</v>
      </c>
      <c r="G334" s="755">
        <f>F334/E334</f>
        <v>0.9998722769444558</v>
      </c>
    </row>
    <row r="335" spans="1:7" s="709" customFormat="1" ht="16.5" customHeight="1">
      <c r="A335" s="741"/>
      <c r="B335" s="741"/>
      <c r="C335" s="775" t="s">
        <v>1019</v>
      </c>
      <c r="D335" s="776"/>
      <c r="E335" s="776">
        <v>43000</v>
      </c>
      <c r="F335" s="776">
        <v>42901</v>
      </c>
      <c r="G335" s="777">
        <f>F335/E335</f>
        <v>0.9976976744186047</v>
      </c>
    </row>
    <row r="336" spans="1:7" s="709" customFormat="1" ht="19.5" customHeight="1">
      <c r="A336" s="737"/>
      <c r="B336" s="737"/>
      <c r="C336" s="781" t="s">
        <v>1035</v>
      </c>
      <c r="D336" s="764">
        <v>955000</v>
      </c>
      <c r="E336" s="764">
        <v>965437</v>
      </c>
      <c r="F336" s="764">
        <v>965370</v>
      </c>
      <c r="G336" s="746">
        <f>F336/E336</f>
        <v>0.9999306013753357</v>
      </c>
    </row>
    <row r="337" spans="1:7" s="709" customFormat="1" ht="19.5" customHeight="1">
      <c r="A337" s="737"/>
      <c r="B337" s="737"/>
      <c r="C337" s="737" t="s">
        <v>1062</v>
      </c>
      <c r="D337" s="626"/>
      <c r="E337" s="626">
        <v>26900</v>
      </c>
      <c r="F337" s="626">
        <v>18418</v>
      </c>
      <c r="G337" s="746">
        <f>F337/E337</f>
        <v>0.6846840148698885</v>
      </c>
    </row>
    <row r="338" spans="1:7" s="709" customFormat="1" ht="19.5" customHeight="1">
      <c r="A338" s="737"/>
      <c r="B338" s="741"/>
      <c r="C338" s="508" t="s">
        <v>43</v>
      </c>
      <c r="D338" s="770">
        <v>628000</v>
      </c>
      <c r="E338" s="770">
        <v>682000</v>
      </c>
      <c r="F338" s="770">
        <v>676716</v>
      </c>
      <c r="G338" s="771">
        <f>F338/E338</f>
        <v>0.9922521994134897</v>
      </c>
    </row>
    <row r="339" spans="1:7" s="725" customFormat="1" ht="19.5" customHeight="1">
      <c r="A339" s="231"/>
      <c r="B339" s="78">
        <v>85406</v>
      </c>
      <c r="C339" s="506" t="s">
        <v>44</v>
      </c>
      <c r="D339" s="744">
        <f>SUM(D340:D342)</f>
        <v>4831000</v>
      </c>
      <c r="E339" s="744">
        <f>SUM(E340:E342)</f>
        <v>5142344</v>
      </c>
      <c r="F339" s="744">
        <f>SUM(F340:F342)</f>
        <v>5142311</v>
      </c>
      <c r="G339" s="745">
        <v>0.9999</v>
      </c>
    </row>
    <row r="340" spans="1:7" s="709" customFormat="1" ht="19.5" customHeight="1">
      <c r="A340" s="737"/>
      <c r="B340" s="737"/>
      <c r="C340" s="739" t="s">
        <v>1033</v>
      </c>
      <c r="D340" s="586">
        <v>3649000</v>
      </c>
      <c r="E340" s="586">
        <v>3841815</v>
      </c>
      <c r="F340" s="586">
        <v>3841804</v>
      </c>
      <c r="G340" s="587">
        <v>0.9999</v>
      </c>
    </row>
    <row r="341" spans="1:7" s="709" customFormat="1" ht="19.5" customHeight="1">
      <c r="A341" s="737"/>
      <c r="B341" s="737"/>
      <c r="C341" s="740" t="s">
        <v>1034</v>
      </c>
      <c r="D341" s="610">
        <v>470000</v>
      </c>
      <c r="E341" s="610">
        <v>551284</v>
      </c>
      <c r="F341" s="610">
        <v>551264</v>
      </c>
      <c r="G341" s="611">
        <v>0.9999</v>
      </c>
    </row>
    <row r="342" spans="1:7" s="709" customFormat="1" ht="19.5" customHeight="1">
      <c r="A342" s="737"/>
      <c r="B342" s="741"/>
      <c r="C342" s="778" t="s">
        <v>1035</v>
      </c>
      <c r="D342" s="770">
        <v>712000</v>
      </c>
      <c r="E342" s="770">
        <v>749245</v>
      </c>
      <c r="F342" s="770">
        <v>749243</v>
      </c>
      <c r="G342" s="771">
        <v>0.9999</v>
      </c>
    </row>
    <row r="343" spans="1:7" s="725" customFormat="1" ht="19.5" customHeight="1">
      <c r="A343" s="231"/>
      <c r="B343" s="232">
        <v>85407</v>
      </c>
      <c r="C343" s="232" t="s">
        <v>364</v>
      </c>
      <c r="D343" s="744">
        <f>D344+D345+D347</f>
        <v>2123000</v>
      </c>
      <c r="E343" s="744">
        <f>E344+E345+E347</f>
        <v>2198784</v>
      </c>
      <c r="F343" s="744">
        <f>F344+F345+F347</f>
        <v>2198774</v>
      </c>
      <c r="G343" s="745">
        <v>0.9999</v>
      </c>
    </row>
    <row r="344" spans="1:7" s="709" customFormat="1" ht="19.5" customHeight="1">
      <c r="A344" s="737"/>
      <c r="B344" s="737"/>
      <c r="C344" s="739" t="s">
        <v>1033</v>
      </c>
      <c r="D344" s="586">
        <v>1511000</v>
      </c>
      <c r="E344" s="586">
        <v>1578000</v>
      </c>
      <c r="F344" s="586">
        <v>1577999</v>
      </c>
      <c r="G344" s="587">
        <v>0.9999</v>
      </c>
    </row>
    <row r="345" spans="1:7" s="709" customFormat="1" ht="19.5" customHeight="1">
      <c r="A345" s="737"/>
      <c r="B345" s="737"/>
      <c r="C345" s="753" t="s">
        <v>1034</v>
      </c>
      <c r="D345" s="754">
        <v>320000</v>
      </c>
      <c r="E345" s="754">
        <v>315959</v>
      </c>
      <c r="F345" s="754">
        <v>315951</v>
      </c>
      <c r="G345" s="755">
        <v>0.9999</v>
      </c>
    </row>
    <row r="346" spans="1:7" s="709" customFormat="1" ht="16.5" customHeight="1">
      <c r="A346" s="737"/>
      <c r="B346" s="737"/>
      <c r="C346" s="756" t="s">
        <v>1019</v>
      </c>
      <c r="D346" s="757"/>
      <c r="E346" s="757">
        <v>5000</v>
      </c>
      <c r="F346" s="757">
        <v>5000</v>
      </c>
      <c r="G346" s="758">
        <f>F346/E346</f>
        <v>1</v>
      </c>
    </row>
    <row r="347" spans="1:7" s="709" customFormat="1" ht="19.5" customHeight="1">
      <c r="A347" s="737"/>
      <c r="B347" s="741"/>
      <c r="C347" s="778" t="s">
        <v>1035</v>
      </c>
      <c r="D347" s="770">
        <v>292000</v>
      </c>
      <c r="E347" s="770">
        <v>304825</v>
      </c>
      <c r="F347" s="770">
        <v>304824</v>
      </c>
      <c r="G347" s="771">
        <v>0.9999</v>
      </c>
    </row>
    <row r="348" spans="1:7" s="725" customFormat="1" ht="19.5" customHeight="1">
      <c r="A348" s="231"/>
      <c r="B348" s="232">
        <v>85410</v>
      </c>
      <c r="C348" s="232" t="s">
        <v>405</v>
      </c>
      <c r="D348" s="744">
        <f>D349+D350+D352+D353</f>
        <v>6628000</v>
      </c>
      <c r="E348" s="744">
        <f>E349+E350+E352+E353</f>
        <v>6705846</v>
      </c>
      <c r="F348" s="744">
        <f>F349+F350+F352+F353</f>
        <v>6696929</v>
      </c>
      <c r="G348" s="745">
        <f>F348/E348</f>
        <v>0.9986702647212596</v>
      </c>
    </row>
    <row r="349" spans="1:7" s="709" customFormat="1" ht="19.5" customHeight="1">
      <c r="A349" s="737"/>
      <c r="B349" s="737"/>
      <c r="C349" s="739" t="s">
        <v>1033</v>
      </c>
      <c r="D349" s="586">
        <v>3966500</v>
      </c>
      <c r="E349" s="586">
        <v>4036288</v>
      </c>
      <c r="F349" s="586">
        <v>4032880</v>
      </c>
      <c r="G349" s="587">
        <f>F349/E349</f>
        <v>0.9991556598538063</v>
      </c>
    </row>
    <row r="350" spans="1:7" s="709" customFormat="1" ht="19.5" customHeight="1">
      <c r="A350" s="737"/>
      <c r="B350" s="737"/>
      <c r="C350" s="753" t="s">
        <v>1034</v>
      </c>
      <c r="D350" s="754">
        <v>1320000</v>
      </c>
      <c r="E350" s="754">
        <v>1360965</v>
      </c>
      <c r="F350" s="754">
        <v>1357392</v>
      </c>
      <c r="G350" s="755">
        <f>F350/E350</f>
        <v>0.9973746569529709</v>
      </c>
    </row>
    <row r="351" spans="1:7" s="709" customFormat="1" ht="16.5" customHeight="1">
      <c r="A351" s="737"/>
      <c r="B351" s="737"/>
      <c r="C351" s="756" t="s">
        <v>1019</v>
      </c>
      <c r="D351" s="757"/>
      <c r="E351" s="757">
        <v>36927</v>
      </c>
      <c r="F351" s="757">
        <v>33493</v>
      </c>
      <c r="G351" s="758">
        <f>F351/E351</f>
        <v>0.9070057139762233</v>
      </c>
    </row>
    <row r="352" spans="1:7" s="709" customFormat="1" ht="19.5" customHeight="1">
      <c r="A352" s="737"/>
      <c r="B352" s="737"/>
      <c r="C352" s="781" t="s">
        <v>1035</v>
      </c>
      <c r="D352" s="764">
        <v>777500</v>
      </c>
      <c r="E352" s="764">
        <v>770128</v>
      </c>
      <c r="F352" s="764">
        <v>770107</v>
      </c>
      <c r="G352" s="746">
        <v>0.9999</v>
      </c>
    </row>
    <row r="353" spans="1:7" s="709" customFormat="1" ht="19.5" customHeight="1">
      <c r="A353" s="737"/>
      <c r="B353" s="737"/>
      <c r="C353" s="740" t="s">
        <v>45</v>
      </c>
      <c r="D353" s="610">
        <v>564000</v>
      </c>
      <c r="E353" s="610">
        <v>538465</v>
      </c>
      <c r="F353" s="610">
        <v>536550</v>
      </c>
      <c r="G353" s="611">
        <f aca="true" t="shared" si="19" ref="G353:G359">F353/E353</f>
        <v>0.9964435942911796</v>
      </c>
    </row>
    <row r="354" spans="1:7" s="725" customFormat="1" ht="26.25" customHeight="1">
      <c r="A354" s="231"/>
      <c r="B354" s="780">
        <v>85412</v>
      </c>
      <c r="C354" s="387" t="s">
        <v>46</v>
      </c>
      <c r="D354" s="723">
        <f>SUM(D355:D355)</f>
        <v>140000</v>
      </c>
      <c r="E354" s="723">
        <f>SUM(E355:E355)</f>
        <v>140000</v>
      </c>
      <c r="F354" s="723">
        <f>SUM(F355:F355)</f>
        <v>132454</v>
      </c>
      <c r="G354" s="724">
        <f t="shared" si="19"/>
        <v>0.9461</v>
      </c>
    </row>
    <row r="355" spans="1:7" s="709" customFormat="1" ht="19.5" customHeight="1">
      <c r="A355" s="737"/>
      <c r="B355" s="747"/>
      <c r="C355" s="414" t="s">
        <v>47</v>
      </c>
      <c r="D355" s="727">
        <v>140000</v>
      </c>
      <c r="E355" s="727">
        <v>140000</v>
      </c>
      <c r="F355" s="727">
        <v>132454</v>
      </c>
      <c r="G355" s="728">
        <f t="shared" si="19"/>
        <v>0.9461</v>
      </c>
    </row>
    <row r="356" spans="1:7" s="725" customFormat="1" ht="19.5" customHeight="1">
      <c r="A356" s="231"/>
      <c r="B356" s="232">
        <v>85415</v>
      </c>
      <c r="C356" s="232" t="s">
        <v>424</v>
      </c>
      <c r="D356" s="744">
        <f>SUM(D357:D358)</f>
        <v>660000</v>
      </c>
      <c r="E356" s="744">
        <f>SUM(E357:E359)</f>
        <v>1235503</v>
      </c>
      <c r="F356" s="744">
        <f>SUM(F357:F359)</f>
        <v>1233840</v>
      </c>
      <c r="G356" s="745">
        <f t="shared" si="19"/>
        <v>0.9986539895087264</v>
      </c>
    </row>
    <row r="357" spans="1:7" s="709" customFormat="1" ht="19.5" customHeight="1">
      <c r="A357" s="737"/>
      <c r="B357" s="737"/>
      <c r="C357" s="765" t="s">
        <v>48</v>
      </c>
      <c r="D357" s="610">
        <f>660000-350000</f>
        <v>310000</v>
      </c>
      <c r="E357" s="610">
        <v>338480</v>
      </c>
      <c r="F357" s="610">
        <v>338462</v>
      </c>
      <c r="G357" s="611">
        <f t="shared" si="19"/>
        <v>0.9999468210824864</v>
      </c>
    </row>
    <row r="358" spans="1:7" s="709" customFormat="1" ht="19.5" customHeight="1">
      <c r="A358" s="737"/>
      <c r="B358" s="737"/>
      <c r="C358" s="781" t="s">
        <v>39</v>
      </c>
      <c r="D358" s="764">
        <v>350000</v>
      </c>
      <c r="E358" s="764">
        <v>349109</v>
      </c>
      <c r="F358" s="764">
        <v>347464</v>
      </c>
      <c r="G358" s="746">
        <f t="shared" si="19"/>
        <v>0.9952880046060113</v>
      </c>
    </row>
    <row r="359" spans="1:7" s="709" customFormat="1" ht="19.5" customHeight="1">
      <c r="A359" s="737"/>
      <c r="B359" s="741"/>
      <c r="C359" s="741" t="s">
        <v>49</v>
      </c>
      <c r="D359" s="742"/>
      <c r="E359" s="742">
        <v>547914</v>
      </c>
      <c r="F359" s="742">
        <v>547914</v>
      </c>
      <c r="G359" s="743">
        <f t="shared" si="19"/>
        <v>1</v>
      </c>
    </row>
    <row r="360" spans="1:7" s="725" customFormat="1" ht="19.5" customHeight="1">
      <c r="A360" s="231"/>
      <c r="B360" s="232">
        <v>85417</v>
      </c>
      <c r="C360" s="232" t="s">
        <v>366</v>
      </c>
      <c r="D360" s="744">
        <f>D361+D362+D364</f>
        <v>244000</v>
      </c>
      <c r="E360" s="744">
        <f>E361+E362+E364</f>
        <v>262310</v>
      </c>
      <c r="F360" s="744">
        <f>F361+F362+F364</f>
        <v>262307</v>
      </c>
      <c r="G360" s="745">
        <v>0.9999</v>
      </c>
    </row>
    <row r="361" spans="1:7" s="709" customFormat="1" ht="19.5" customHeight="1">
      <c r="A361" s="741"/>
      <c r="B361" s="741"/>
      <c r="C361" s="747" t="s">
        <v>1033</v>
      </c>
      <c r="D361" s="727">
        <v>156000</v>
      </c>
      <c r="E361" s="727">
        <v>166000</v>
      </c>
      <c r="F361" s="727">
        <v>165999</v>
      </c>
      <c r="G361" s="728">
        <v>0.9999</v>
      </c>
    </row>
    <row r="362" spans="1:7" s="709" customFormat="1" ht="19.5" customHeight="1">
      <c r="A362" s="737"/>
      <c r="B362" s="737"/>
      <c r="C362" s="801" t="s">
        <v>1034</v>
      </c>
      <c r="D362" s="802">
        <v>56000</v>
      </c>
      <c r="E362" s="802">
        <v>64310</v>
      </c>
      <c r="F362" s="802">
        <v>64308</v>
      </c>
      <c r="G362" s="803">
        <v>0.9999</v>
      </c>
    </row>
    <row r="363" spans="1:7" s="709" customFormat="1" ht="16.5" customHeight="1">
      <c r="A363" s="737"/>
      <c r="B363" s="737"/>
      <c r="C363" s="756" t="s">
        <v>1019</v>
      </c>
      <c r="D363" s="757"/>
      <c r="E363" s="757">
        <v>4500</v>
      </c>
      <c r="F363" s="757">
        <v>4500</v>
      </c>
      <c r="G363" s="758">
        <f>F363/E363</f>
        <v>1</v>
      </c>
    </row>
    <row r="364" spans="1:7" s="709" customFormat="1" ht="19.5" customHeight="1">
      <c r="A364" s="737"/>
      <c r="B364" s="741"/>
      <c r="C364" s="741" t="s">
        <v>1035</v>
      </c>
      <c r="D364" s="742">
        <v>32000</v>
      </c>
      <c r="E364" s="742">
        <v>32000</v>
      </c>
      <c r="F364" s="742">
        <v>32000</v>
      </c>
      <c r="G364" s="743">
        <f>F364/E364</f>
        <v>1</v>
      </c>
    </row>
    <row r="365" spans="1:7" s="725" customFormat="1" ht="19.5" customHeight="1">
      <c r="A365" s="231"/>
      <c r="B365" s="232">
        <v>85421</v>
      </c>
      <c r="C365" s="232" t="s">
        <v>342</v>
      </c>
      <c r="D365" s="744">
        <f>SUM(D366:D368)</f>
        <v>493000</v>
      </c>
      <c r="E365" s="744">
        <f>SUM(E366:E368)</f>
        <v>484200</v>
      </c>
      <c r="F365" s="744">
        <f>SUM(F366:F368)</f>
        <v>484196</v>
      </c>
      <c r="G365" s="745">
        <v>0.9999</v>
      </c>
    </row>
    <row r="366" spans="1:7" s="709" customFormat="1" ht="19.5" customHeight="1">
      <c r="A366" s="737"/>
      <c r="B366" s="737"/>
      <c r="C366" s="739" t="s">
        <v>1033</v>
      </c>
      <c r="D366" s="586">
        <v>366500</v>
      </c>
      <c r="E366" s="586">
        <v>357700</v>
      </c>
      <c r="F366" s="586">
        <v>357699</v>
      </c>
      <c r="G366" s="587">
        <v>0.9999</v>
      </c>
    </row>
    <row r="367" spans="1:7" s="709" customFormat="1" ht="19.5" customHeight="1">
      <c r="A367" s="737"/>
      <c r="B367" s="737"/>
      <c r="C367" s="740" t="s">
        <v>1034</v>
      </c>
      <c r="D367" s="610">
        <v>53000</v>
      </c>
      <c r="E367" s="610">
        <v>53309</v>
      </c>
      <c r="F367" s="610">
        <v>53307</v>
      </c>
      <c r="G367" s="611">
        <v>0.9999</v>
      </c>
    </row>
    <row r="368" spans="1:7" s="709" customFormat="1" ht="19.5" customHeight="1">
      <c r="A368" s="737"/>
      <c r="B368" s="741"/>
      <c r="C368" s="741" t="s">
        <v>1035</v>
      </c>
      <c r="D368" s="742">
        <v>73500</v>
      </c>
      <c r="E368" s="742">
        <v>73191</v>
      </c>
      <c r="F368" s="742">
        <v>73190</v>
      </c>
      <c r="G368" s="743">
        <v>0.9999</v>
      </c>
    </row>
    <row r="369" spans="1:7" s="725" customFormat="1" ht="19.5" customHeight="1">
      <c r="A369" s="231"/>
      <c r="B369" s="232">
        <v>85446</v>
      </c>
      <c r="C369" s="232" t="s">
        <v>3</v>
      </c>
      <c r="D369" s="744">
        <f>D370</f>
        <v>148000</v>
      </c>
      <c r="E369" s="744">
        <f>E370</f>
        <v>145050</v>
      </c>
      <c r="F369" s="744">
        <f>F370</f>
        <v>145027</v>
      </c>
      <c r="G369" s="745">
        <f aca="true" t="shared" si="20" ref="G369:G393">F369/E369</f>
        <v>0.9998414339882798</v>
      </c>
    </row>
    <row r="370" spans="1:7" s="709" customFormat="1" ht="19.5" customHeight="1">
      <c r="A370" s="737"/>
      <c r="B370" s="747"/>
      <c r="C370" s="414" t="s">
        <v>4</v>
      </c>
      <c r="D370" s="727">
        <f>158000-10000</f>
        <v>148000</v>
      </c>
      <c r="E370" s="727">
        <v>145050</v>
      </c>
      <c r="F370" s="727">
        <v>145027</v>
      </c>
      <c r="G370" s="728">
        <f t="shared" si="20"/>
        <v>0.9998414339882798</v>
      </c>
    </row>
    <row r="371" spans="1:7" s="725" customFormat="1" ht="19.5" customHeight="1">
      <c r="A371" s="231"/>
      <c r="B371" s="232">
        <v>85495</v>
      </c>
      <c r="C371" s="232" t="s">
        <v>966</v>
      </c>
      <c r="D371" s="744">
        <f>D372+D377+D378+D379</f>
        <v>4943000</v>
      </c>
      <c r="E371" s="744">
        <f>E372+E377+E378+E379</f>
        <v>6237883</v>
      </c>
      <c r="F371" s="744">
        <f>F372+F377+F378+F379</f>
        <v>6233316</v>
      </c>
      <c r="G371" s="745">
        <f t="shared" si="20"/>
        <v>0.9992678605866766</v>
      </c>
    </row>
    <row r="372" spans="1:7" s="709" customFormat="1" ht="19.5" customHeight="1">
      <c r="A372" s="737"/>
      <c r="B372" s="737"/>
      <c r="C372" s="804" t="s">
        <v>50</v>
      </c>
      <c r="D372" s="783">
        <f>D373+D374+D376</f>
        <v>4830000</v>
      </c>
      <c r="E372" s="783">
        <f>E373+E374+E376</f>
        <v>6049875</v>
      </c>
      <c r="F372" s="783">
        <f>F373+F374+F376</f>
        <v>6045308</v>
      </c>
      <c r="G372" s="784">
        <f t="shared" si="20"/>
        <v>0.9992451083700077</v>
      </c>
    </row>
    <row r="373" spans="1:7" s="709" customFormat="1" ht="19.5" customHeight="1">
      <c r="A373" s="737"/>
      <c r="B373" s="737"/>
      <c r="C373" s="805" t="s">
        <v>1033</v>
      </c>
      <c r="D373" s="806">
        <v>2958000</v>
      </c>
      <c r="E373" s="806">
        <v>3903558</v>
      </c>
      <c r="F373" s="806">
        <v>3900420</v>
      </c>
      <c r="G373" s="807">
        <f t="shared" si="20"/>
        <v>0.999196118003114</v>
      </c>
    </row>
    <row r="374" spans="1:7" s="709" customFormat="1" ht="19.5" customHeight="1">
      <c r="A374" s="737"/>
      <c r="B374" s="737"/>
      <c r="C374" s="753" t="s">
        <v>1034</v>
      </c>
      <c r="D374" s="754">
        <v>1350000</v>
      </c>
      <c r="E374" s="754">
        <v>1406464</v>
      </c>
      <c r="F374" s="754">
        <v>1406026</v>
      </c>
      <c r="G374" s="755">
        <f t="shared" si="20"/>
        <v>0.9996885807244267</v>
      </c>
    </row>
    <row r="375" spans="1:7" s="709" customFormat="1" ht="16.5" customHeight="1">
      <c r="A375" s="737"/>
      <c r="B375" s="737"/>
      <c r="C375" s="756" t="s">
        <v>1019</v>
      </c>
      <c r="D375" s="757"/>
      <c r="E375" s="757">
        <v>5649</v>
      </c>
      <c r="F375" s="757">
        <v>5649</v>
      </c>
      <c r="G375" s="758">
        <f t="shared" si="20"/>
        <v>1</v>
      </c>
    </row>
    <row r="376" spans="1:7" s="709" customFormat="1" ht="19.5" customHeight="1">
      <c r="A376" s="737"/>
      <c r="B376" s="737"/>
      <c r="C376" s="740" t="s">
        <v>1035</v>
      </c>
      <c r="D376" s="610">
        <v>522000</v>
      </c>
      <c r="E376" s="610">
        <v>739853</v>
      </c>
      <c r="F376" s="610">
        <v>738862</v>
      </c>
      <c r="G376" s="611">
        <f t="shared" si="20"/>
        <v>0.9986605447298315</v>
      </c>
    </row>
    <row r="377" spans="1:7" s="709" customFormat="1" ht="19.5" customHeight="1">
      <c r="A377" s="737"/>
      <c r="B377" s="737"/>
      <c r="C377" s="808" t="s">
        <v>5</v>
      </c>
      <c r="D377" s="809">
        <v>2000</v>
      </c>
      <c r="E377" s="809">
        <v>2000</v>
      </c>
      <c r="F377" s="809">
        <v>2000</v>
      </c>
      <c r="G377" s="810">
        <f t="shared" si="20"/>
        <v>1</v>
      </c>
    </row>
    <row r="378" spans="1:7" s="709" customFormat="1" ht="19.5" customHeight="1">
      <c r="A378" s="737"/>
      <c r="B378" s="737"/>
      <c r="C378" s="811" t="s">
        <v>51</v>
      </c>
      <c r="D378" s="812">
        <v>1000</v>
      </c>
      <c r="E378" s="812">
        <v>1000</v>
      </c>
      <c r="F378" s="812">
        <v>1000</v>
      </c>
      <c r="G378" s="813">
        <f t="shared" si="20"/>
        <v>1</v>
      </c>
    </row>
    <row r="379" spans="1:7" s="709" customFormat="1" ht="29.25" customHeight="1">
      <c r="A379" s="737"/>
      <c r="B379" s="741"/>
      <c r="C379" s="495" t="s">
        <v>7</v>
      </c>
      <c r="D379" s="742">
        <v>110000</v>
      </c>
      <c r="E379" s="742">
        <v>185008</v>
      </c>
      <c r="F379" s="742">
        <v>185008</v>
      </c>
      <c r="G379" s="743">
        <f t="shared" si="20"/>
        <v>1</v>
      </c>
    </row>
    <row r="380" spans="1:7" s="725" customFormat="1" ht="19.5" customHeight="1">
      <c r="A380" s="231"/>
      <c r="B380" s="232">
        <v>85497</v>
      </c>
      <c r="C380" s="232" t="s">
        <v>473</v>
      </c>
      <c r="D380" s="744">
        <f>SUM(D381:D381)</f>
        <v>33000</v>
      </c>
      <c r="E380" s="744">
        <f>SUM(E381:E381)</f>
        <v>33000</v>
      </c>
      <c r="F380" s="744">
        <f>SUM(F381:F381)</f>
        <v>33000</v>
      </c>
      <c r="G380" s="745">
        <f t="shared" si="20"/>
        <v>1</v>
      </c>
    </row>
    <row r="381" spans="1:7" s="709" customFormat="1" ht="27.75" customHeight="1">
      <c r="A381" s="741"/>
      <c r="B381" s="741"/>
      <c r="C381" s="414" t="s">
        <v>8</v>
      </c>
      <c r="D381" s="727">
        <v>33000</v>
      </c>
      <c r="E381" s="727">
        <v>33000</v>
      </c>
      <c r="F381" s="727">
        <v>33000</v>
      </c>
      <c r="G381" s="728">
        <f t="shared" si="20"/>
        <v>1</v>
      </c>
    </row>
    <row r="382" spans="1:7" s="709" customFormat="1" ht="19.5" customHeight="1">
      <c r="A382" s="720">
        <v>900</v>
      </c>
      <c r="B382" s="720"/>
      <c r="C382" s="720" t="s">
        <v>52</v>
      </c>
      <c r="D382" s="601">
        <f>D383+D396+D402+D409+D412+D417+D392+D407</f>
        <v>37188000</v>
      </c>
      <c r="E382" s="601">
        <f>E383+E396+E402+E409+E412+E417+E392+E407</f>
        <v>43575820</v>
      </c>
      <c r="F382" s="601">
        <f>F383+F396+F402+F409+F412+F417+F392+F407</f>
        <v>42879720</v>
      </c>
      <c r="G382" s="572">
        <f t="shared" si="20"/>
        <v>0.9840255444418488</v>
      </c>
    </row>
    <row r="383" spans="1:7" s="725" customFormat="1" ht="19.5" customHeight="1">
      <c r="A383" s="231"/>
      <c r="B383" s="722">
        <v>90001</v>
      </c>
      <c r="C383" s="722" t="s">
        <v>496</v>
      </c>
      <c r="D383" s="723">
        <f>SUM(D384:D391)</f>
        <v>3252000</v>
      </c>
      <c r="E383" s="723">
        <f>SUM(E384:E391)</f>
        <v>6721000</v>
      </c>
      <c r="F383" s="723">
        <f>SUM(F384:F391)</f>
        <v>6575377</v>
      </c>
      <c r="G383" s="724">
        <f t="shared" si="20"/>
        <v>0.9783331349501563</v>
      </c>
    </row>
    <row r="384" spans="1:7" s="709" customFormat="1" ht="19.5" customHeight="1">
      <c r="A384" s="737"/>
      <c r="B384" s="737"/>
      <c r="C384" s="494" t="s">
        <v>53</v>
      </c>
      <c r="D384" s="586">
        <v>1800000</v>
      </c>
      <c r="E384" s="586">
        <v>1770000</v>
      </c>
      <c r="F384" s="586">
        <v>1729466</v>
      </c>
      <c r="G384" s="587">
        <f t="shared" si="20"/>
        <v>0.9770994350282486</v>
      </c>
    </row>
    <row r="385" spans="1:7" s="564" customFormat="1" ht="28.5" customHeight="1">
      <c r="A385" s="737"/>
      <c r="B385" s="737"/>
      <c r="C385" s="510" t="s">
        <v>54</v>
      </c>
      <c r="D385" s="764">
        <v>270000</v>
      </c>
      <c r="E385" s="764">
        <v>235000</v>
      </c>
      <c r="F385" s="764">
        <v>178792</v>
      </c>
      <c r="G385" s="746">
        <f t="shared" si="20"/>
        <v>0.7608170212765958</v>
      </c>
    </row>
    <row r="386" spans="1:7" s="709" customFormat="1" ht="19.5" customHeight="1">
      <c r="A386" s="741"/>
      <c r="B386" s="741"/>
      <c r="C386" s="741" t="s">
        <v>55</v>
      </c>
      <c r="D386" s="742">
        <v>50000</v>
      </c>
      <c r="E386" s="742">
        <v>85000</v>
      </c>
      <c r="F386" s="742">
        <v>74100</v>
      </c>
      <c r="G386" s="743">
        <f t="shared" si="20"/>
        <v>0.8717647058823529</v>
      </c>
    </row>
    <row r="387" spans="1:7" s="709" customFormat="1" ht="19.5" customHeight="1">
      <c r="A387" s="737"/>
      <c r="B387" s="737"/>
      <c r="C387" s="781" t="s">
        <v>56</v>
      </c>
      <c r="D387" s="764">
        <v>150000</v>
      </c>
      <c r="E387" s="764">
        <v>150000</v>
      </c>
      <c r="F387" s="764">
        <v>150000</v>
      </c>
      <c r="G387" s="746">
        <f t="shared" si="20"/>
        <v>1</v>
      </c>
    </row>
    <row r="388" spans="1:7" s="564" customFormat="1" ht="19.5" customHeight="1">
      <c r="A388" s="737"/>
      <c r="B388" s="737"/>
      <c r="C388" s="740" t="s">
        <v>57</v>
      </c>
      <c r="D388" s="610">
        <v>80000</v>
      </c>
      <c r="E388" s="610">
        <v>80000</v>
      </c>
      <c r="F388" s="610">
        <v>54103</v>
      </c>
      <c r="G388" s="611">
        <f t="shared" si="20"/>
        <v>0.6762875</v>
      </c>
    </row>
    <row r="389" spans="1:7" s="709" customFormat="1" ht="19.5" customHeight="1">
      <c r="A389" s="737"/>
      <c r="B389" s="737"/>
      <c r="C389" s="740" t="s">
        <v>58</v>
      </c>
      <c r="D389" s="610">
        <v>120000</v>
      </c>
      <c r="E389" s="610">
        <v>70000</v>
      </c>
      <c r="F389" s="610">
        <v>69827</v>
      </c>
      <c r="G389" s="611">
        <f t="shared" si="20"/>
        <v>0.9975285714285714</v>
      </c>
    </row>
    <row r="390" spans="1:7" s="709" customFormat="1" ht="19.5" customHeight="1">
      <c r="A390" s="737"/>
      <c r="B390" s="737"/>
      <c r="C390" s="740" t="s">
        <v>59</v>
      </c>
      <c r="D390" s="610"/>
      <c r="E390" s="610">
        <v>7000</v>
      </c>
      <c r="F390" s="610">
        <v>5327</v>
      </c>
      <c r="G390" s="611">
        <f t="shared" si="20"/>
        <v>0.761</v>
      </c>
    </row>
    <row r="391" spans="1:7" s="709" customFormat="1" ht="19.5" customHeight="1">
      <c r="A391" s="737"/>
      <c r="B391" s="741"/>
      <c r="C391" s="741" t="s">
        <v>1002</v>
      </c>
      <c r="D391" s="742">
        <f>747000+35000</f>
        <v>782000</v>
      </c>
      <c r="E391" s="742">
        <v>4324000</v>
      </c>
      <c r="F391" s="742">
        <v>4313762</v>
      </c>
      <c r="G391" s="743">
        <f t="shared" si="20"/>
        <v>0.9976322849213691</v>
      </c>
    </row>
    <row r="392" spans="1:7" s="725" customFormat="1" ht="19.5" customHeight="1">
      <c r="A392" s="231"/>
      <c r="B392" s="232">
        <v>90002</v>
      </c>
      <c r="C392" s="232" t="s">
        <v>894</v>
      </c>
      <c r="D392" s="744">
        <f>SUM(D393:D395)</f>
        <v>6800000</v>
      </c>
      <c r="E392" s="744">
        <f>SUM(E393:E395)</f>
        <v>6655000</v>
      </c>
      <c r="F392" s="744">
        <f>SUM(F393:F395)</f>
        <v>6132639</v>
      </c>
      <c r="G392" s="745">
        <f t="shared" si="20"/>
        <v>0.9215084898572502</v>
      </c>
    </row>
    <row r="393" spans="1:7" s="709" customFormat="1" ht="19.5" customHeight="1">
      <c r="A393" s="737"/>
      <c r="B393" s="737"/>
      <c r="C393" s="740" t="s">
        <v>60</v>
      </c>
      <c r="D393" s="610">
        <v>4200000</v>
      </c>
      <c r="E393" s="610">
        <v>4267700</v>
      </c>
      <c r="F393" s="610">
        <v>4245964</v>
      </c>
      <c r="G393" s="611">
        <f t="shared" si="20"/>
        <v>0.9949068584952082</v>
      </c>
    </row>
    <row r="394" spans="1:7" s="709" customFormat="1" ht="19.5" customHeight="1">
      <c r="A394" s="737"/>
      <c r="B394" s="737"/>
      <c r="C394" s="740" t="s">
        <v>58</v>
      </c>
      <c r="D394" s="610">
        <v>1700000</v>
      </c>
      <c r="E394" s="610">
        <v>1675300</v>
      </c>
      <c r="F394" s="610">
        <v>1675246</v>
      </c>
      <c r="G394" s="611">
        <v>0.9999</v>
      </c>
    </row>
    <row r="395" spans="1:7" s="709" customFormat="1" ht="19.5" customHeight="1">
      <c r="A395" s="737"/>
      <c r="B395" s="741"/>
      <c r="C395" s="741" t="s">
        <v>1002</v>
      </c>
      <c r="D395" s="742">
        <v>900000</v>
      </c>
      <c r="E395" s="742">
        <v>712000</v>
      </c>
      <c r="F395" s="742">
        <v>211429</v>
      </c>
      <c r="G395" s="743">
        <f>F395/E395</f>
        <v>0.2969508426966292</v>
      </c>
    </row>
    <row r="396" spans="1:7" s="725" customFormat="1" ht="19.5" customHeight="1">
      <c r="A396" s="231"/>
      <c r="B396" s="232">
        <v>90003</v>
      </c>
      <c r="C396" s="232" t="s">
        <v>407</v>
      </c>
      <c r="D396" s="744">
        <f>SUM(D397:D401)</f>
        <v>7346000</v>
      </c>
      <c r="E396" s="744">
        <f>SUM(E397:E401)</f>
        <v>8361000</v>
      </c>
      <c r="F396" s="744">
        <f>SUM(F397:F401)</f>
        <v>8360950</v>
      </c>
      <c r="G396" s="745">
        <v>0.9999</v>
      </c>
    </row>
    <row r="397" spans="1:7" s="709" customFormat="1" ht="19.5" customHeight="1">
      <c r="A397" s="737"/>
      <c r="B397" s="737"/>
      <c r="C397" s="739" t="s">
        <v>61</v>
      </c>
      <c r="D397" s="586">
        <v>6000000</v>
      </c>
      <c r="E397" s="586">
        <v>6866919</v>
      </c>
      <c r="F397" s="586">
        <v>6866907</v>
      </c>
      <c r="G397" s="587">
        <v>0.9999</v>
      </c>
    </row>
    <row r="398" spans="1:7" s="709" customFormat="1" ht="19.5" customHeight="1">
      <c r="A398" s="737"/>
      <c r="B398" s="737"/>
      <c r="C398" s="740" t="s">
        <v>62</v>
      </c>
      <c r="D398" s="610">
        <v>800000</v>
      </c>
      <c r="E398" s="610">
        <v>965832</v>
      </c>
      <c r="F398" s="610">
        <v>965797</v>
      </c>
      <c r="G398" s="611">
        <v>0.9999</v>
      </c>
    </row>
    <row r="399" spans="1:7" s="709" customFormat="1" ht="19.5" customHeight="1">
      <c r="A399" s="737"/>
      <c r="B399" s="737"/>
      <c r="C399" s="740" t="s">
        <v>63</v>
      </c>
      <c r="D399" s="610">
        <v>150000</v>
      </c>
      <c r="E399" s="610">
        <v>108899</v>
      </c>
      <c r="F399" s="610">
        <v>108896</v>
      </c>
      <c r="G399" s="611">
        <v>0.9999</v>
      </c>
    </row>
    <row r="400" spans="1:7" s="709" customFormat="1" ht="19.5" customHeight="1">
      <c r="A400" s="737"/>
      <c r="B400" s="737"/>
      <c r="C400" s="740" t="s">
        <v>64</v>
      </c>
      <c r="D400" s="610">
        <v>380000</v>
      </c>
      <c r="E400" s="610">
        <v>405868</v>
      </c>
      <c r="F400" s="610">
        <v>405868</v>
      </c>
      <c r="G400" s="611">
        <f>F400/E400</f>
        <v>1</v>
      </c>
    </row>
    <row r="401" spans="1:7" s="709" customFormat="1" ht="19.5" customHeight="1">
      <c r="A401" s="737"/>
      <c r="B401" s="741"/>
      <c r="C401" s="778" t="s">
        <v>65</v>
      </c>
      <c r="D401" s="770">
        <v>16000</v>
      </c>
      <c r="E401" s="770">
        <v>13482</v>
      </c>
      <c r="F401" s="770">
        <v>13482</v>
      </c>
      <c r="G401" s="771">
        <f>F401/E401</f>
        <v>1</v>
      </c>
    </row>
    <row r="402" spans="1:7" s="725" customFormat="1" ht="19.5" customHeight="1">
      <c r="A402" s="231"/>
      <c r="B402" s="232">
        <v>90004</v>
      </c>
      <c r="C402" s="232" t="s">
        <v>66</v>
      </c>
      <c r="D402" s="744">
        <f>SUM(D403:D406)</f>
        <v>2400000</v>
      </c>
      <c r="E402" s="744">
        <f>SUM(E403:E406)</f>
        <v>2794832</v>
      </c>
      <c r="F402" s="744">
        <f>SUM(F403:F406)</f>
        <v>2787631</v>
      </c>
      <c r="G402" s="745">
        <f>F402/E402</f>
        <v>0.9974234587266784</v>
      </c>
    </row>
    <row r="403" spans="1:7" s="709" customFormat="1" ht="19.5" customHeight="1">
      <c r="A403" s="737"/>
      <c r="B403" s="737"/>
      <c r="C403" s="494" t="s">
        <v>67</v>
      </c>
      <c r="D403" s="586">
        <v>200000</v>
      </c>
      <c r="E403" s="586">
        <v>223000</v>
      </c>
      <c r="F403" s="586">
        <v>222052</v>
      </c>
      <c r="G403" s="587">
        <f>F403/E403</f>
        <v>0.9957488789237668</v>
      </c>
    </row>
    <row r="404" spans="1:7" s="709" customFormat="1" ht="19.5" customHeight="1">
      <c r="A404" s="737"/>
      <c r="B404" s="737"/>
      <c r="C404" s="740" t="s">
        <v>68</v>
      </c>
      <c r="D404" s="610">
        <v>2100000</v>
      </c>
      <c r="E404" s="610">
        <v>2493832</v>
      </c>
      <c r="F404" s="610">
        <v>2493790</v>
      </c>
      <c r="G404" s="611">
        <v>0.9999</v>
      </c>
    </row>
    <row r="405" spans="1:7" s="709" customFormat="1" ht="19.5" customHeight="1">
      <c r="A405" s="737"/>
      <c r="B405" s="737"/>
      <c r="C405" s="765" t="s">
        <v>69</v>
      </c>
      <c r="D405" s="610">
        <v>30000</v>
      </c>
      <c r="E405" s="610">
        <v>8000</v>
      </c>
      <c r="F405" s="610">
        <v>7053</v>
      </c>
      <c r="G405" s="611">
        <f aca="true" t="shared" si="21" ref="G405:G410">F405/E405</f>
        <v>0.881625</v>
      </c>
    </row>
    <row r="406" spans="1:7" s="709" customFormat="1" ht="27" customHeight="1">
      <c r="A406" s="737"/>
      <c r="B406" s="741"/>
      <c r="C406" s="508" t="s">
        <v>70</v>
      </c>
      <c r="D406" s="770">
        <v>70000</v>
      </c>
      <c r="E406" s="770">
        <v>70000</v>
      </c>
      <c r="F406" s="770">
        <v>64736</v>
      </c>
      <c r="G406" s="771">
        <f t="shared" si="21"/>
        <v>0.9248</v>
      </c>
    </row>
    <row r="407" spans="1:7" s="725" customFormat="1" ht="19.5" customHeight="1">
      <c r="A407" s="231"/>
      <c r="B407" s="232">
        <v>90008</v>
      </c>
      <c r="C407" s="232" t="s">
        <v>497</v>
      </c>
      <c r="D407" s="744"/>
      <c r="E407" s="744">
        <f>E408</f>
        <v>6000</v>
      </c>
      <c r="F407" s="744">
        <f>F408</f>
        <v>6000</v>
      </c>
      <c r="G407" s="745">
        <f t="shared" si="21"/>
        <v>1</v>
      </c>
    </row>
    <row r="408" spans="1:7" s="725" customFormat="1" ht="28.5" customHeight="1">
      <c r="A408" s="231"/>
      <c r="B408" s="722"/>
      <c r="C408" s="414" t="s">
        <v>71</v>
      </c>
      <c r="D408" s="723"/>
      <c r="E408" s="727">
        <v>6000</v>
      </c>
      <c r="F408" s="727">
        <v>6000</v>
      </c>
      <c r="G408" s="728">
        <f t="shared" si="21"/>
        <v>1</v>
      </c>
    </row>
    <row r="409" spans="1:7" s="725" customFormat="1" ht="19.5" customHeight="1">
      <c r="A409" s="231"/>
      <c r="B409" s="232">
        <v>90013</v>
      </c>
      <c r="C409" s="232" t="s">
        <v>385</v>
      </c>
      <c r="D409" s="744">
        <f>SUM(D410:D410)</f>
        <v>310000</v>
      </c>
      <c r="E409" s="744">
        <f>SUM(E410:E410)</f>
        <v>335791</v>
      </c>
      <c r="F409" s="744">
        <f>SUM(F410:F410)</f>
        <v>335280</v>
      </c>
      <c r="G409" s="745">
        <f t="shared" si="21"/>
        <v>0.9984782200833257</v>
      </c>
    </row>
    <row r="410" spans="1:7" s="709" customFormat="1" ht="19.5" customHeight="1">
      <c r="A410" s="741"/>
      <c r="B410" s="741"/>
      <c r="C410" s="741" t="s">
        <v>72</v>
      </c>
      <c r="D410" s="742">
        <v>310000</v>
      </c>
      <c r="E410" s="742">
        <v>335791</v>
      </c>
      <c r="F410" s="742">
        <v>335280</v>
      </c>
      <c r="G410" s="743">
        <f t="shared" si="21"/>
        <v>0.9984782200833257</v>
      </c>
    </row>
    <row r="411" spans="1:7" s="709" customFormat="1" ht="19.5" customHeight="1">
      <c r="A411" s="767"/>
      <c r="B411" s="767"/>
      <c r="C411" s="767"/>
      <c r="D411" s="768"/>
      <c r="E411" s="768"/>
      <c r="F411" s="768"/>
      <c r="G411" s="769"/>
    </row>
    <row r="412" spans="1:7" s="725" customFormat="1" ht="19.5" customHeight="1">
      <c r="A412" s="231"/>
      <c r="B412" s="232">
        <v>90015</v>
      </c>
      <c r="C412" s="232" t="s">
        <v>386</v>
      </c>
      <c r="D412" s="744">
        <f>SUM(D413:D416)</f>
        <v>8470000</v>
      </c>
      <c r="E412" s="744">
        <f>SUM(E413:E416)</f>
        <v>7288477</v>
      </c>
      <c r="F412" s="744">
        <f>SUM(F413:F416)</f>
        <v>7278455</v>
      </c>
      <c r="G412" s="745">
        <f aca="true" t="shared" si="22" ref="G412:G422">F412/E412</f>
        <v>0.9986249527850606</v>
      </c>
    </row>
    <row r="413" spans="1:7" s="709" customFormat="1" ht="19.5" customHeight="1">
      <c r="A413" s="737"/>
      <c r="B413" s="737"/>
      <c r="C413" s="739" t="s">
        <v>73</v>
      </c>
      <c r="D413" s="586">
        <f>1940000+3500000</f>
        <v>5440000</v>
      </c>
      <c r="E413" s="586">
        <v>4122777</v>
      </c>
      <c r="F413" s="586">
        <v>4121908</v>
      </c>
      <c r="G413" s="587">
        <f t="shared" si="22"/>
        <v>0.9997892197419361</v>
      </c>
    </row>
    <row r="414" spans="1:7" s="709" customFormat="1" ht="19.5" customHeight="1">
      <c r="A414" s="737"/>
      <c r="B414" s="737"/>
      <c r="C414" s="740" t="s">
        <v>74</v>
      </c>
      <c r="D414" s="610">
        <f>1560000+1300000</f>
        <v>2860000</v>
      </c>
      <c r="E414" s="610">
        <v>2744000</v>
      </c>
      <c r="F414" s="610">
        <v>2740951</v>
      </c>
      <c r="G414" s="611">
        <f t="shared" si="22"/>
        <v>0.9988888483965015</v>
      </c>
    </row>
    <row r="415" spans="1:7" s="709" customFormat="1" ht="19.5" customHeight="1">
      <c r="A415" s="737"/>
      <c r="B415" s="737"/>
      <c r="C415" s="765" t="s">
        <v>75</v>
      </c>
      <c r="D415" s="610">
        <v>50000</v>
      </c>
      <c r="E415" s="610">
        <v>186600</v>
      </c>
      <c r="F415" s="610">
        <v>180509</v>
      </c>
      <c r="G415" s="611">
        <f t="shared" si="22"/>
        <v>0.967357984994641</v>
      </c>
    </row>
    <row r="416" spans="1:7" s="709" customFormat="1" ht="19.5" customHeight="1">
      <c r="A416" s="737"/>
      <c r="B416" s="741"/>
      <c r="C416" s="741" t="s">
        <v>1002</v>
      </c>
      <c r="D416" s="742">
        <v>120000</v>
      </c>
      <c r="E416" s="742">
        <v>235100</v>
      </c>
      <c r="F416" s="742">
        <v>235087</v>
      </c>
      <c r="G416" s="743">
        <f t="shared" si="22"/>
        <v>0.9999447043811144</v>
      </c>
    </row>
    <row r="417" spans="1:7" s="725" customFormat="1" ht="19.5" customHeight="1">
      <c r="A417" s="231"/>
      <c r="B417" s="232">
        <v>90095</v>
      </c>
      <c r="C417" s="232" t="s">
        <v>966</v>
      </c>
      <c r="D417" s="744">
        <f>SUM(D418:D419)</f>
        <v>8610000</v>
      </c>
      <c r="E417" s="744">
        <f>SUM(E418:E419)</f>
        <v>11413720</v>
      </c>
      <c r="F417" s="744">
        <f>SUM(F418:F419)</f>
        <v>11403388</v>
      </c>
      <c r="G417" s="745">
        <f t="shared" si="22"/>
        <v>0.9990947736583691</v>
      </c>
    </row>
    <row r="418" spans="1:7" s="709" customFormat="1" ht="18.75" customHeight="1">
      <c r="A418" s="737"/>
      <c r="B418" s="737"/>
      <c r="C418" s="740" t="s">
        <v>76</v>
      </c>
      <c r="D418" s="610">
        <v>70000</v>
      </c>
      <c r="E418" s="610">
        <v>40000</v>
      </c>
      <c r="F418" s="610">
        <v>35466</v>
      </c>
      <c r="G418" s="611">
        <f t="shared" si="22"/>
        <v>0.88665</v>
      </c>
    </row>
    <row r="419" spans="1:7" s="709" customFormat="1" ht="18.75" customHeight="1">
      <c r="A419" s="741"/>
      <c r="B419" s="741"/>
      <c r="C419" s="741" t="s">
        <v>1002</v>
      </c>
      <c r="D419" s="742">
        <v>8540000</v>
      </c>
      <c r="E419" s="742">
        <v>11373720</v>
      </c>
      <c r="F419" s="742">
        <v>11367922</v>
      </c>
      <c r="G419" s="743">
        <f t="shared" si="22"/>
        <v>0.9994902283509705</v>
      </c>
    </row>
    <row r="420" spans="1:7" s="709" customFormat="1" ht="19.5" customHeight="1">
      <c r="A420" s="720">
        <v>921</v>
      </c>
      <c r="B420" s="720"/>
      <c r="C420" s="720" t="s">
        <v>512</v>
      </c>
      <c r="D420" s="601">
        <f>D421+D428+D430+D435+D438+D446+D441</f>
        <v>12205000</v>
      </c>
      <c r="E420" s="601">
        <f>E421+E428+E430+E435+E438+E446+E441</f>
        <v>12701540</v>
      </c>
      <c r="F420" s="601">
        <f>F421+F428+F430+F435+F438+F446+F441</f>
        <v>12040950</v>
      </c>
      <c r="G420" s="572">
        <f t="shared" si="22"/>
        <v>0.9479913459312808</v>
      </c>
    </row>
    <row r="421" spans="1:7" s="816" customFormat="1" ht="19.5" customHeight="1">
      <c r="A421" s="814"/>
      <c r="B421" s="815">
        <v>92105</v>
      </c>
      <c r="C421" s="815" t="s">
        <v>498</v>
      </c>
      <c r="D421" s="583">
        <f>SUM(D422:D425)</f>
        <v>810000</v>
      </c>
      <c r="E421" s="583">
        <f>SUM(E422:E426)</f>
        <v>891600</v>
      </c>
      <c r="F421" s="583">
        <f>SUM(F422:F426)</f>
        <v>784713</v>
      </c>
      <c r="G421" s="584">
        <f t="shared" si="22"/>
        <v>0.8801177658142665</v>
      </c>
    </row>
    <row r="422" spans="1:7" s="818" customFormat="1" ht="19.5" customHeight="1">
      <c r="A422" s="814"/>
      <c r="B422" s="817"/>
      <c r="C422" s="625" t="s">
        <v>77</v>
      </c>
      <c r="D422" s="429">
        <v>750000</v>
      </c>
      <c r="E422" s="429">
        <v>747000</v>
      </c>
      <c r="F422" s="429">
        <v>718541</v>
      </c>
      <c r="G422" s="430">
        <f t="shared" si="22"/>
        <v>0.9619022757697456</v>
      </c>
    </row>
    <row r="423" spans="1:7" s="818" customFormat="1" ht="16.5" customHeight="1">
      <c r="A423" s="814"/>
      <c r="B423" s="814"/>
      <c r="C423" s="819" t="s">
        <v>78</v>
      </c>
      <c r="D423" s="534"/>
      <c r="E423" s="534"/>
      <c r="F423" s="534"/>
      <c r="G423" s="535"/>
    </row>
    <row r="424" spans="1:7" s="818" customFormat="1" ht="18.75" customHeight="1">
      <c r="A424" s="569"/>
      <c r="B424" s="569"/>
      <c r="C424" s="820" t="s">
        <v>79</v>
      </c>
      <c r="D424" s="608">
        <v>30000</v>
      </c>
      <c r="E424" s="608">
        <v>33000</v>
      </c>
      <c r="F424" s="608">
        <v>32625</v>
      </c>
      <c r="G424" s="609">
        <f>F424/E424</f>
        <v>0.9886363636363636</v>
      </c>
    </row>
    <row r="425" spans="1:7" s="709" customFormat="1" ht="19.5" customHeight="1">
      <c r="A425" s="737"/>
      <c r="B425" s="737"/>
      <c r="C425" s="765" t="s">
        <v>80</v>
      </c>
      <c r="D425" s="610">
        <v>30000</v>
      </c>
      <c r="E425" s="610">
        <v>30000</v>
      </c>
      <c r="F425" s="610">
        <v>30000</v>
      </c>
      <c r="G425" s="611">
        <f>F425/E425</f>
        <v>1</v>
      </c>
    </row>
    <row r="426" spans="1:7" s="709" customFormat="1" ht="28.5" customHeight="1">
      <c r="A426" s="737"/>
      <c r="B426" s="737"/>
      <c r="C426" s="779" t="s">
        <v>81</v>
      </c>
      <c r="D426" s="754"/>
      <c r="E426" s="754">
        <v>81600</v>
      </c>
      <c r="F426" s="754">
        <v>3547</v>
      </c>
      <c r="G426" s="755">
        <f>F426/E426</f>
        <v>0.04346813725490196</v>
      </c>
    </row>
    <row r="427" spans="1:7" s="709" customFormat="1" ht="16.5" customHeight="1">
      <c r="A427" s="737"/>
      <c r="B427" s="741"/>
      <c r="C427" s="775" t="s">
        <v>1009</v>
      </c>
      <c r="D427" s="776"/>
      <c r="E427" s="776">
        <v>3600</v>
      </c>
      <c r="F427" s="776"/>
      <c r="G427" s="777"/>
    </row>
    <row r="428" spans="1:7" s="725" customFormat="1" ht="19.5" customHeight="1">
      <c r="A428" s="231"/>
      <c r="B428" s="232">
        <v>92106</v>
      </c>
      <c r="C428" s="232" t="s">
        <v>514</v>
      </c>
      <c r="D428" s="744">
        <f>D429</f>
        <v>1820000</v>
      </c>
      <c r="E428" s="744">
        <f>E429</f>
        <v>1900000</v>
      </c>
      <c r="F428" s="744">
        <f>F429</f>
        <v>1900000</v>
      </c>
      <c r="G428" s="745">
        <f aca="true" t="shared" si="23" ref="G428:G436">F428/E428</f>
        <v>1</v>
      </c>
    </row>
    <row r="429" spans="1:7" s="709" customFormat="1" ht="19.5" customHeight="1">
      <c r="A429" s="737"/>
      <c r="B429" s="747"/>
      <c r="C429" s="747" t="s">
        <v>82</v>
      </c>
      <c r="D429" s="727">
        <v>1820000</v>
      </c>
      <c r="E429" s="727">
        <v>1900000</v>
      </c>
      <c r="F429" s="727">
        <v>1900000</v>
      </c>
      <c r="G429" s="728">
        <f t="shared" si="23"/>
        <v>1</v>
      </c>
    </row>
    <row r="430" spans="1:7" s="709" customFormat="1" ht="19.5" customHeight="1">
      <c r="A430" s="737"/>
      <c r="B430" s="232">
        <v>92109</v>
      </c>
      <c r="C430" s="232" t="s">
        <v>83</v>
      </c>
      <c r="D430" s="744">
        <f>D431+D433+D434</f>
        <v>1740000</v>
      </c>
      <c r="E430" s="744">
        <f>E431+E433+E434</f>
        <v>1784940</v>
      </c>
      <c r="F430" s="744">
        <f>F431+F433+F434</f>
        <v>1784940</v>
      </c>
      <c r="G430" s="745">
        <f t="shared" si="23"/>
        <v>1</v>
      </c>
    </row>
    <row r="431" spans="1:7" s="709" customFormat="1" ht="18.75" customHeight="1">
      <c r="A431" s="737"/>
      <c r="B431" s="737"/>
      <c r="C431" s="759" t="s">
        <v>84</v>
      </c>
      <c r="D431" s="760">
        <v>480000</v>
      </c>
      <c r="E431" s="760">
        <v>480000</v>
      </c>
      <c r="F431" s="760">
        <v>480000</v>
      </c>
      <c r="G431" s="761">
        <f t="shared" si="23"/>
        <v>1</v>
      </c>
    </row>
    <row r="432" spans="1:7" s="709" customFormat="1" ht="16.5" customHeight="1">
      <c r="A432" s="737"/>
      <c r="B432" s="737"/>
      <c r="C432" s="821" t="s">
        <v>1019</v>
      </c>
      <c r="D432" s="822">
        <v>30000</v>
      </c>
      <c r="E432" s="822">
        <v>30000</v>
      </c>
      <c r="F432" s="822">
        <v>30000</v>
      </c>
      <c r="G432" s="796">
        <f t="shared" si="23"/>
        <v>1</v>
      </c>
    </row>
    <row r="433" spans="1:7" s="818" customFormat="1" ht="18.75" customHeight="1">
      <c r="A433" s="569"/>
      <c r="B433" s="569"/>
      <c r="C433" s="823" t="s">
        <v>85</v>
      </c>
      <c r="D433" s="534">
        <v>870000</v>
      </c>
      <c r="E433" s="534">
        <v>914940</v>
      </c>
      <c r="F433" s="534">
        <v>914940</v>
      </c>
      <c r="G433" s="535">
        <f t="shared" si="23"/>
        <v>1</v>
      </c>
    </row>
    <row r="434" spans="1:7" s="818" customFormat="1" ht="18.75" customHeight="1">
      <c r="A434" s="569"/>
      <c r="B434" s="824"/>
      <c r="C434" s="824" t="s">
        <v>86</v>
      </c>
      <c r="D434" s="580">
        <v>390000</v>
      </c>
      <c r="E434" s="580">
        <v>390000</v>
      </c>
      <c r="F434" s="580">
        <v>390000</v>
      </c>
      <c r="G434" s="585">
        <f t="shared" si="23"/>
        <v>1</v>
      </c>
    </row>
    <row r="435" spans="1:7" s="725" customFormat="1" ht="19.5" customHeight="1">
      <c r="A435" s="231"/>
      <c r="B435" s="232">
        <v>92110</v>
      </c>
      <c r="C435" s="232" t="s">
        <v>87</v>
      </c>
      <c r="D435" s="744">
        <f>D436</f>
        <v>700000</v>
      </c>
      <c r="E435" s="744">
        <f>E436</f>
        <v>700000</v>
      </c>
      <c r="F435" s="744">
        <f>F436</f>
        <v>700000</v>
      </c>
      <c r="G435" s="745">
        <f t="shared" si="23"/>
        <v>1</v>
      </c>
    </row>
    <row r="436" spans="1:7" s="709" customFormat="1" ht="19.5" customHeight="1">
      <c r="A436" s="737"/>
      <c r="B436" s="738"/>
      <c r="C436" s="738" t="s">
        <v>88</v>
      </c>
      <c r="D436" s="772">
        <v>700000</v>
      </c>
      <c r="E436" s="772">
        <v>700000</v>
      </c>
      <c r="F436" s="772">
        <v>700000</v>
      </c>
      <c r="G436" s="773">
        <f t="shared" si="23"/>
        <v>1</v>
      </c>
    </row>
    <row r="437" spans="1:7" s="709" customFormat="1" ht="19.5" customHeight="1">
      <c r="A437" s="767"/>
      <c r="B437" s="767"/>
      <c r="C437" s="767"/>
      <c r="D437" s="768"/>
      <c r="E437" s="768"/>
      <c r="F437" s="768"/>
      <c r="G437" s="769"/>
    </row>
    <row r="438" spans="1:7" s="725" customFormat="1" ht="19.5" customHeight="1">
      <c r="A438" s="231"/>
      <c r="B438" s="232">
        <v>92113</v>
      </c>
      <c r="C438" s="232" t="s">
        <v>89</v>
      </c>
      <c r="D438" s="744">
        <f>SUM(D439:D440)</f>
        <v>2000000</v>
      </c>
      <c r="E438" s="744">
        <f>SUM(E439:E440)</f>
        <v>1990000</v>
      </c>
      <c r="F438" s="744">
        <f>SUM(F439:F440)</f>
        <v>1586342</v>
      </c>
      <c r="G438" s="745">
        <f>F438/E438</f>
        <v>0.797156783919598</v>
      </c>
    </row>
    <row r="439" spans="1:7" s="709" customFormat="1" ht="18.75" customHeight="1">
      <c r="A439" s="737"/>
      <c r="B439" s="737"/>
      <c r="C439" s="494" t="s">
        <v>90</v>
      </c>
      <c r="D439" s="586">
        <v>1500000</v>
      </c>
      <c r="E439" s="586">
        <v>1540000</v>
      </c>
      <c r="F439" s="586">
        <v>1540000</v>
      </c>
      <c r="G439" s="587">
        <f>F439/E439</f>
        <v>1</v>
      </c>
    </row>
    <row r="440" spans="1:7" s="818" customFormat="1" ht="18.75" customHeight="1">
      <c r="A440" s="569"/>
      <c r="B440" s="824"/>
      <c r="C440" s="485" t="s">
        <v>1002</v>
      </c>
      <c r="D440" s="614">
        <v>500000</v>
      </c>
      <c r="E440" s="614">
        <v>450000</v>
      </c>
      <c r="F440" s="614">
        <v>46342</v>
      </c>
      <c r="G440" s="576">
        <f>F440/E440</f>
        <v>0.10298222222222222</v>
      </c>
    </row>
    <row r="441" spans="1:7" s="725" customFormat="1" ht="19.5" customHeight="1">
      <c r="A441" s="231"/>
      <c r="B441" s="232">
        <v>92116</v>
      </c>
      <c r="C441" s="232" t="s">
        <v>877</v>
      </c>
      <c r="D441" s="744">
        <f>SUM(D442:D442)</f>
        <v>4300000</v>
      </c>
      <c r="E441" s="744">
        <f>SUM(E442:E442)</f>
        <v>4475000</v>
      </c>
      <c r="F441" s="744">
        <f>SUM(F442:F442)</f>
        <v>4343572</v>
      </c>
      <c r="G441" s="745">
        <f>F441/E441</f>
        <v>0.9706306145251397</v>
      </c>
    </row>
    <row r="442" spans="1:7" s="709" customFormat="1" ht="19.5" customHeight="1">
      <c r="A442" s="737"/>
      <c r="B442" s="738"/>
      <c r="C442" s="797" t="s">
        <v>91</v>
      </c>
      <c r="D442" s="760">
        <v>4300000</v>
      </c>
      <c r="E442" s="760">
        <v>4475000</v>
      </c>
      <c r="F442" s="760">
        <v>4343572</v>
      </c>
      <c r="G442" s="761">
        <f>F442/E442</f>
        <v>0.9706306145251397</v>
      </c>
    </row>
    <row r="443" spans="1:7" s="709" customFormat="1" ht="15" customHeight="1">
      <c r="A443" s="737"/>
      <c r="B443" s="737"/>
      <c r="C443" s="825" t="s">
        <v>1005</v>
      </c>
      <c r="D443" s="794"/>
      <c r="E443" s="794"/>
      <c r="F443" s="794"/>
      <c r="G443" s="795"/>
    </row>
    <row r="444" spans="1:7" s="709" customFormat="1" ht="16.5" customHeight="1">
      <c r="A444" s="737"/>
      <c r="B444" s="737"/>
      <c r="C444" s="726" t="s">
        <v>34</v>
      </c>
      <c r="D444" s="748">
        <v>100000</v>
      </c>
      <c r="E444" s="748">
        <v>100000</v>
      </c>
      <c r="F444" s="748">
        <v>100000</v>
      </c>
      <c r="G444" s="749">
        <f aca="true" t="shared" si="24" ref="G444:G456">F444/E444</f>
        <v>1</v>
      </c>
    </row>
    <row r="445" spans="1:7" s="709" customFormat="1" ht="16.5" customHeight="1">
      <c r="A445" s="737"/>
      <c r="B445" s="741"/>
      <c r="C445" s="750" t="s">
        <v>1002</v>
      </c>
      <c r="D445" s="751"/>
      <c r="E445" s="751">
        <v>175000</v>
      </c>
      <c r="F445" s="751">
        <v>43572</v>
      </c>
      <c r="G445" s="752">
        <f t="shared" si="24"/>
        <v>0.24898285714285714</v>
      </c>
    </row>
    <row r="446" spans="1:7" s="725" customFormat="1" ht="19.5" customHeight="1">
      <c r="A446" s="231"/>
      <c r="B446" s="232">
        <v>92120</v>
      </c>
      <c r="C446" s="232" t="s">
        <v>92</v>
      </c>
      <c r="D446" s="744">
        <f>D447+D448</f>
        <v>835000</v>
      </c>
      <c r="E446" s="744">
        <f>E447+E448</f>
        <v>960000</v>
      </c>
      <c r="F446" s="744">
        <f>F447+F448</f>
        <v>941383</v>
      </c>
      <c r="G446" s="745">
        <f t="shared" si="24"/>
        <v>0.9806072916666667</v>
      </c>
    </row>
    <row r="447" spans="1:7" s="709" customFormat="1" ht="19.5" customHeight="1">
      <c r="A447" s="737"/>
      <c r="B447" s="737"/>
      <c r="C447" s="494" t="s">
        <v>93</v>
      </c>
      <c r="D447" s="586">
        <v>150000</v>
      </c>
      <c r="E447" s="586">
        <v>250000</v>
      </c>
      <c r="F447" s="586">
        <v>250000</v>
      </c>
      <c r="G447" s="587">
        <f t="shared" si="24"/>
        <v>1</v>
      </c>
    </row>
    <row r="448" spans="1:7" s="818" customFormat="1" ht="19.5" customHeight="1">
      <c r="A448" s="569"/>
      <c r="B448" s="569"/>
      <c r="C448" s="427" t="s">
        <v>94</v>
      </c>
      <c r="D448" s="608">
        <f>SUM(D449:D450)</f>
        <v>685000</v>
      </c>
      <c r="E448" s="608">
        <f>SUM(E449:E450)</f>
        <v>710000</v>
      </c>
      <c r="F448" s="608">
        <f>SUM(F449:F450)</f>
        <v>691383</v>
      </c>
      <c r="G448" s="609">
        <f t="shared" si="24"/>
        <v>0.9737788732394366</v>
      </c>
    </row>
    <row r="449" spans="1:7" s="709" customFormat="1" ht="19.5" customHeight="1">
      <c r="A449" s="737"/>
      <c r="B449" s="737"/>
      <c r="C449" s="826" t="s">
        <v>95</v>
      </c>
      <c r="D449" s="827">
        <v>550000</v>
      </c>
      <c r="E449" s="827">
        <v>550000</v>
      </c>
      <c r="F449" s="827">
        <v>550000</v>
      </c>
      <c r="G449" s="828">
        <f t="shared" si="24"/>
        <v>1</v>
      </c>
    </row>
    <row r="450" spans="1:7" s="709" customFormat="1" ht="19.5" customHeight="1">
      <c r="A450" s="741"/>
      <c r="B450" s="741"/>
      <c r="C450" s="798" t="s">
        <v>1002</v>
      </c>
      <c r="D450" s="799">
        <v>135000</v>
      </c>
      <c r="E450" s="799">
        <v>160000</v>
      </c>
      <c r="F450" s="799">
        <v>141383</v>
      </c>
      <c r="G450" s="800">
        <f t="shared" si="24"/>
        <v>0.88364375</v>
      </c>
    </row>
    <row r="451" spans="1:7" s="709" customFormat="1" ht="19.5" customHeight="1">
      <c r="A451" s="720">
        <v>926</v>
      </c>
      <c r="B451" s="720"/>
      <c r="C451" s="720" t="s">
        <v>411</v>
      </c>
      <c r="D451" s="601">
        <f>D452+D455+D460</f>
        <v>8856000</v>
      </c>
      <c r="E451" s="601">
        <f>E452+E455+E460</f>
        <v>9646000</v>
      </c>
      <c r="F451" s="601">
        <f>F452+F455+F460</f>
        <v>9542369</v>
      </c>
      <c r="G451" s="572">
        <f t="shared" si="24"/>
        <v>0.989256583039602</v>
      </c>
    </row>
    <row r="452" spans="1:7" s="725" customFormat="1" ht="19.5" customHeight="1">
      <c r="A452" s="231"/>
      <c r="B452" s="722">
        <v>92601</v>
      </c>
      <c r="C452" s="722" t="s">
        <v>412</v>
      </c>
      <c r="D452" s="723">
        <f>SUM(D453:D454)</f>
        <v>326000</v>
      </c>
      <c r="E452" s="723">
        <f>SUM(E453:E454)</f>
        <v>326000</v>
      </c>
      <c r="F452" s="723">
        <f>SUM(F453:F454)</f>
        <v>325334</v>
      </c>
      <c r="G452" s="724">
        <f t="shared" si="24"/>
        <v>0.9979570552147239</v>
      </c>
    </row>
    <row r="453" spans="1:7" s="709" customFormat="1" ht="19.5" customHeight="1">
      <c r="A453" s="737"/>
      <c r="B453" s="738"/>
      <c r="C453" s="739" t="s">
        <v>96</v>
      </c>
      <c r="D453" s="586">
        <v>206000</v>
      </c>
      <c r="E453" s="586">
        <v>206000</v>
      </c>
      <c r="F453" s="586">
        <v>206000</v>
      </c>
      <c r="G453" s="587">
        <f t="shared" si="24"/>
        <v>1</v>
      </c>
    </row>
    <row r="454" spans="1:7" s="709" customFormat="1" ht="19.5" customHeight="1">
      <c r="A454" s="737"/>
      <c r="B454" s="741"/>
      <c r="C454" s="741" t="s">
        <v>1002</v>
      </c>
      <c r="D454" s="742">
        <v>120000</v>
      </c>
      <c r="E454" s="742">
        <v>120000</v>
      </c>
      <c r="F454" s="742">
        <v>119334</v>
      </c>
      <c r="G454" s="743">
        <f t="shared" si="24"/>
        <v>0.99445</v>
      </c>
    </row>
    <row r="455" spans="1:7" s="725" customFormat="1" ht="19.5" customHeight="1">
      <c r="A455" s="231"/>
      <c r="B455" s="232">
        <v>92604</v>
      </c>
      <c r="C455" s="232" t="s">
        <v>97</v>
      </c>
      <c r="D455" s="744">
        <f>SUM(D456:D456)</f>
        <v>6935000</v>
      </c>
      <c r="E455" s="744">
        <f>SUM(E456:E456)</f>
        <v>7865000</v>
      </c>
      <c r="F455" s="744">
        <f>SUM(F456:F456)</f>
        <v>7764247</v>
      </c>
      <c r="G455" s="745">
        <f t="shared" si="24"/>
        <v>0.9871897012078831</v>
      </c>
    </row>
    <row r="456" spans="1:7" s="709" customFormat="1" ht="19.5" customHeight="1">
      <c r="A456" s="737"/>
      <c r="B456" s="738"/>
      <c r="C456" s="797" t="s">
        <v>98</v>
      </c>
      <c r="D456" s="760">
        <v>6935000</v>
      </c>
      <c r="E456" s="760">
        <v>7865000</v>
      </c>
      <c r="F456" s="760">
        <v>7764247</v>
      </c>
      <c r="G456" s="761">
        <f t="shared" si="24"/>
        <v>0.9871897012078831</v>
      </c>
    </row>
    <row r="457" spans="1:7" s="709" customFormat="1" ht="15" customHeight="1">
      <c r="A457" s="737"/>
      <c r="B457" s="737"/>
      <c r="C457" s="825" t="s">
        <v>1005</v>
      </c>
      <c r="D457" s="794"/>
      <c r="E457" s="794"/>
      <c r="F457" s="794"/>
      <c r="G457" s="795"/>
    </row>
    <row r="458" spans="1:7" s="709" customFormat="1" ht="16.5" customHeight="1">
      <c r="A458" s="737"/>
      <c r="B458" s="737"/>
      <c r="C458" s="726" t="s">
        <v>34</v>
      </c>
      <c r="D458" s="748"/>
      <c r="E458" s="748">
        <v>40000</v>
      </c>
      <c r="F458" s="748">
        <v>40000</v>
      </c>
      <c r="G458" s="749">
        <f>F458/E458</f>
        <v>1</v>
      </c>
    </row>
    <row r="459" spans="1:7" s="709" customFormat="1" ht="16.5" customHeight="1">
      <c r="A459" s="737"/>
      <c r="B459" s="741"/>
      <c r="C459" s="750" t="s">
        <v>1002</v>
      </c>
      <c r="D459" s="751">
        <v>5685000</v>
      </c>
      <c r="E459" s="751">
        <v>6335000</v>
      </c>
      <c r="F459" s="751">
        <v>6234247</v>
      </c>
      <c r="G459" s="752">
        <f>F459/E459</f>
        <v>0.984095816890292</v>
      </c>
    </row>
    <row r="460" spans="1:7" s="725" customFormat="1" ht="19.5" customHeight="1">
      <c r="A460" s="231"/>
      <c r="B460" s="232">
        <v>92605</v>
      </c>
      <c r="C460" s="232" t="s">
        <v>99</v>
      </c>
      <c r="D460" s="744">
        <f>SUM(D461:D464)</f>
        <v>1595000</v>
      </c>
      <c r="E460" s="744">
        <f>SUM(E461:E464)</f>
        <v>1455000</v>
      </c>
      <c r="F460" s="744">
        <f>SUM(F461:F464)</f>
        <v>1452788</v>
      </c>
      <c r="G460" s="745">
        <f>F460/E460</f>
        <v>0.9984797250859107</v>
      </c>
    </row>
    <row r="461" spans="1:7" s="709" customFormat="1" ht="19.5" customHeight="1">
      <c r="A461" s="737"/>
      <c r="B461" s="737"/>
      <c r="C461" s="739" t="s">
        <v>100</v>
      </c>
      <c r="D461" s="586">
        <v>800000</v>
      </c>
      <c r="E461" s="586">
        <v>808705</v>
      </c>
      <c r="F461" s="586">
        <v>808682</v>
      </c>
      <c r="G461" s="587">
        <v>0.9999</v>
      </c>
    </row>
    <row r="462" spans="1:7" s="709" customFormat="1" ht="19.5" customHeight="1">
      <c r="A462" s="737"/>
      <c r="B462" s="737"/>
      <c r="C462" s="740" t="s">
        <v>101</v>
      </c>
      <c r="D462" s="610">
        <v>600000</v>
      </c>
      <c r="E462" s="610">
        <v>600000</v>
      </c>
      <c r="F462" s="610">
        <v>597811</v>
      </c>
      <c r="G462" s="611">
        <f aca="true" t="shared" si="25" ref="G462:G492">F462/E462</f>
        <v>0.9963516666666666</v>
      </c>
    </row>
    <row r="463" spans="1:7" s="709" customFormat="1" ht="19.5" customHeight="1">
      <c r="A463" s="737"/>
      <c r="B463" s="737"/>
      <c r="C463" s="765" t="s">
        <v>102</v>
      </c>
      <c r="D463" s="610">
        <v>45000</v>
      </c>
      <c r="E463" s="610">
        <v>36295</v>
      </c>
      <c r="F463" s="610">
        <v>36295</v>
      </c>
      <c r="G463" s="611">
        <f t="shared" si="25"/>
        <v>1</v>
      </c>
    </row>
    <row r="464" spans="1:7" s="709" customFormat="1" ht="19.5" customHeight="1">
      <c r="A464" s="741"/>
      <c r="B464" s="741"/>
      <c r="C464" s="778" t="s">
        <v>1002</v>
      </c>
      <c r="D464" s="770">
        <v>150000</v>
      </c>
      <c r="E464" s="770">
        <v>10000</v>
      </c>
      <c r="F464" s="770">
        <v>10000</v>
      </c>
      <c r="G464" s="771">
        <f t="shared" si="25"/>
        <v>1</v>
      </c>
    </row>
    <row r="465" spans="1:7" ht="25.5" customHeight="1" thickBot="1">
      <c r="A465" s="741"/>
      <c r="B465" s="741"/>
      <c r="C465" s="507" t="s">
        <v>103</v>
      </c>
      <c r="D465" s="829">
        <f>D466+D486</f>
        <v>26000</v>
      </c>
      <c r="E465" s="829">
        <f>E466+E486+E472+E478+E469+E483</f>
        <v>626402</v>
      </c>
      <c r="F465" s="829">
        <f>F466+F486+F472+F478+F469+F483</f>
        <v>615739</v>
      </c>
      <c r="G465" s="830">
        <f t="shared" si="25"/>
        <v>0.9829773851296771</v>
      </c>
    </row>
    <row r="466" spans="1:7" s="709" customFormat="1" ht="19.5" customHeight="1" thickTop="1">
      <c r="A466" s="720">
        <v>710</v>
      </c>
      <c r="B466" s="720"/>
      <c r="C466" s="720" t="s">
        <v>393</v>
      </c>
      <c r="D466" s="601"/>
      <c r="E466" s="601">
        <f>E467</f>
        <v>38159</v>
      </c>
      <c r="F466" s="601">
        <f>F467</f>
        <v>38159</v>
      </c>
      <c r="G466" s="572">
        <f t="shared" si="25"/>
        <v>1</v>
      </c>
    </row>
    <row r="467" spans="1:7" ht="19.5" customHeight="1">
      <c r="A467" s="738"/>
      <c r="B467" s="232">
        <v>71035</v>
      </c>
      <c r="C467" s="831" t="s">
        <v>442</v>
      </c>
      <c r="D467" s="314"/>
      <c r="E467" s="314">
        <f>E468</f>
        <v>38159</v>
      </c>
      <c r="F467" s="314">
        <f>F468</f>
        <v>38159</v>
      </c>
      <c r="G467" s="832">
        <f t="shared" si="25"/>
        <v>1</v>
      </c>
    </row>
    <row r="468" spans="1:7" s="709" customFormat="1" ht="19.5" customHeight="1">
      <c r="A468" s="741"/>
      <c r="B468" s="747"/>
      <c r="C468" s="414" t="s">
        <v>104</v>
      </c>
      <c r="D468" s="727"/>
      <c r="E468" s="727">
        <v>38159</v>
      </c>
      <c r="F468" s="727">
        <v>38159</v>
      </c>
      <c r="G468" s="728">
        <f t="shared" si="25"/>
        <v>1</v>
      </c>
    </row>
    <row r="469" spans="1:7" s="709" customFormat="1" ht="19.5" customHeight="1">
      <c r="A469" s="720">
        <v>754</v>
      </c>
      <c r="B469" s="720"/>
      <c r="C469" s="720" t="s">
        <v>394</v>
      </c>
      <c r="D469" s="601"/>
      <c r="E469" s="601">
        <f>E470</f>
        <v>32500</v>
      </c>
      <c r="F469" s="601">
        <f>F470</f>
        <v>26500</v>
      </c>
      <c r="G469" s="572">
        <f t="shared" si="25"/>
        <v>0.8153846153846154</v>
      </c>
    </row>
    <row r="470" spans="1:7" ht="19.5" customHeight="1">
      <c r="A470" s="738"/>
      <c r="B470" s="232">
        <v>75411</v>
      </c>
      <c r="C470" s="831" t="s">
        <v>432</v>
      </c>
      <c r="D470" s="314"/>
      <c r="E470" s="314">
        <f>E471</f>
        <v>32500</v>
      </c>
      <c r="F470" s="314">
        <f>F471</f>
        <v>26500</v>
      </c>
      <c r="G470" s="724">
        <f t="shared" si="25"/>
        <v>0.8153846153846154</v>
      </c>
    </row>
    <row r="471" spans="1:7" s="709" customFormat="1" ht="19.5" customHeight="1">
      <c r="A471" s="741"/>
      <c r="B471" s="747"/>
      <c r="C471" s="414" t="s">
        <v>105</v>
      </c>
      <c r="D471" s="727"/>
      <c r="E471" s="727">
        <v>32500</v>
      </c>
      <c r="F471" s="727">
        <v>26500</v>
      </c>
      <c r="G471" s="728">
        <f t="shared" si="25"/>
        <v>0.8153846153846154</v>
      </c>
    </row>
    <row r="472" spans="1:7" s="709" customFormat="1" ht="19.5" customHeight="1">
      <c r="A472" s="720">
        <v>801</v>
      </c>
      <c r="B472" s="720"/>
      <c r="C472" s="720" t="s">
        <v>347</v>
      </c>
      <c r="D472" s="601"/>
      <c r="E472" s="601">
        <f>E476+E473</f>
        <v>160000</v>
      </c>
      <c r="F472" s="601">
        <f>F476+F473</f>
        <v>160000</v>
      </c>
      <c r="G472" s="572">
        <f t="shared" si="25"/>
        <v>1</v>
      </c>
    </row>
    <row r="473" spans="1:7" ht="19.5" customHeight="1">
      <c r="A473" s="738"/>
      <c r="B473" s="232">
        <v>80104</v>
      </c>
      <c r="C473" s="831" t="s">
        <v>311</v>
      </c>
      <c r="D473" s="314"/>
      <c r="E473" s="314">
        <f>E474</f>
        <v>100000</v>
      </c>
      <c r="F473" s="314">
        <f>F474</f>
        <v>100000</v>
      </c>
      <c r="G473" s="832">
        <f t="shared" si="25"/>
        <v>1</v>
      </c>
    </row>
    <row r="474" spans="1:7" s="709" customFormat="1" ht="19.5" customHeight="1">
      <c r="A474" s="737"/>
      <c r="B474" s="738"/>
      <c r="C474" s="782" t="s">
        <v>1067</v>
      </c>
      <c r="D474" s="783"/>
      <c r="E474" s="783">
        <f>E475</f>
        <v>100000</v>
      </c>
      <c r="F474" s="783">
        <f>F475</f>
        <v>100000</v>
      </c>
      <c r="G474" s="784">
        <f t="shared" si="25"/>
        <v>1</v>
      </c>
    </row>
    <row r="475" spans="1:7" s="709" customFormat="1" ht="19.5" customHeight="1">
      <c r="A475" s="737"/>
      <c r="B475" s="741"/>
      <c r="C475" s="741" t="s">
        <v>106</v>
      </c>
      <c r="D475" s="742"/>
      <c r="E475" s="742">
        <v>100000</v>
      </c>
      <c r="F475" s="742">
        <v>100000</v>
      </c>
      <c r="G475" s="743">
        <f t="shared" si="25"/>
        <v>1</v>
      </c>
    </row>
    <row r="476" spans="1:7" ht="19.5" customHeight="1">
      <c r="A476" s="737"/>
      <c r="B476" s="232">
        <v>80195</v>
      </c>
      <c r="C476" s="831" t="s">
        <v>966</v>
      </c>
      <c r="D476" s="314"/>
      <c r="E476" s="314">
        <f>E477</f>
        <v>60000</v>
      </c>
      <c r="F476" s="314">
        <f>F477</f>
        <v>60000</v>
      </c>
      <c r="G476" s="832">
        <f t="shared" si="25"/>
        <v>1</v>
      </c>
    </row>
    <row r="477" spans="1:7" s="709" customFormat="1" ht="19.5" customHeight="1">
      <c r="A477" s="741"/>
      <c r="B477" s="747"/>
      <c r="C477" s="414" t="s">
        <v>107</v>
      </c>
      <c r="D477" s="727"/>
      <c r="E477" s="727">
        <v>60000</v>
      </c>
      <c r="F477" s="727">
        <v>60000</v>
      </c>
      <c r="G477" s="728">
        <f t="shared" si="25"/>
        <v>1</v>
      </c>
    </row>
    <row r="478" spans="1:7" s="709" customFormat="1" ht="19.5" customHeight="1">
      <c r="A478" s="720">
        <v>852</v>
      </c>
      <c r="B478" s="720"/>
      <c r="C478" s="720" t="s">
        <v>463</v>
      </c>
      <c r="D478" s="601"/>
      <c r="E478" s="601">
        <f>E481+E479</f>
        <v>66000</v>
      </c>
      <c r="F478" s="601">
        <f>F481+F479</f>
        <v>66000</v>
      </c>
      <c r="G478" s="572">
        <f t="shared" si="25"/>
        <v>1</v>
      </c>
    </row>
    <row r="479" spans="1:7" ht="19.5" customHeight="1">
      <c r="A479" s="738"/>
      <c r="B479" s="232">
        <v>85204</v>
      </c>
      <c r="C479" s="831" t="s">
        <v>422</v>
      </c>
      <c r="D479" s="314"/>
      <c r="E479" s="314">
        <f>E480</f>
        <v>36000</v>
      </c>
      <c r="F479" s="314">
        <f>F480</f>
        <v>36000</v>
      </c>
      <c r="G479" s="832">
        <f t="shared" si="25"/>
        <v>1</v>
      </c>
    </row>
    <row r="480" spans="1:7" s="709" customFormat="1" ht="19.5" customHeight="1">
      <c r="A480" s="737"/>
      <c r="B480" s="747"/>
      <c r="C480" s="414" t="s">
        <v>29</v>
      </c>
      <c r="D480" s="727"/>
      <c r="E480" s="727">
        <v>36000</v>
      </c>
      <c r="F480" s="727">
        <v>36000</v>
      </c>
      <c r="G480" s="728">
        <f t="shared" si="25"/>
        <v>1</v>
      </c>
    </row>
    <row r="481" spans="1:7" ht="19.5" customHeight="1">
      <c r="A481" s="737"/>
      <c r="B481" s="232">
        <v>85295</v>
      </c>
      <c r="C481" s="831" t="s">
        <v>966</v>
      </c>
      <c r="D481" s="314"/>
      <c r="E481" s="314">
        <f>E482</f>
        <v>30000</v>
      </c>
      <c r="F481" s="314">
        <f>F482</f>
        <v>30000</v>
      </c>
      <c r="G481" s="832">
        <f t="shared" si="25"/>
        <v>1</v>
      </c>
    </row>
    <row r="482" spans="1:7" s="709" customFormat="1" ht="19.5" customHeight="1">
      <c r="A482" s="741"/>
      <c r="B482" s="747"/>
      <c r="C482" s="414" t="s">
        <v>108</v>
      </c>
      <c r="D482" s="727"/>
      <c r="E482" s="727">
        <v>30000</v>
      </c>
      <c r="F482" s="727">
        <v>30000</v>
      </c>
      <c r="G482" s="728">
        <f t="shared" si="25"/>
        <v>1</v>
      </c>
    </row>
    <row r="483" spans="1:7" s="709" customFormat="1" ht="19.5" customHeight="1">
      <c r="A483" s="720">
        <v>854</v>
      </c>
      <c r="B483" s="720"/>
      <c r="C483" s="720" t="s">
        <v>396</v>
      </c>
      <c r="D483" s="601"/>
      <c r="E483" s="601">
        <f>E484</f>
        <v>201855</v>
      </c>
      <c r="F483" s="601">
        <f>F484</f>
        <v>197192</v>
      </c>
      <c r="G483" s="572">
        <f t="shared" si="25"/>
        <v>0.9768992593693493</v>
      </c>
    </row>
    <row r="484" spans="1:7" ht="19.5" customHeight="1">
      <c r="A484" s="738"/>
      <c r="B484" s="232">
        <v>85415</v>
      </c>
      <c r="C484" s="831" t="s">
        <v>424</v>
      </c>
      <c r="D484" s="314"/>
      <c r="E484" s="314">
        <f>E485</f>
        <v>201855</v>
      </c>
      <c r="F484" s="314">
        <f>F485</f>
        <v>197192</v>
      </c>
      <c r="G484" s="724">
        <f t="shared" si="25"/>
        <v>0.9768992593693493</v>
      </c>
    </row>
    <row r="485" spans="1:7" s="709" customFormat="1" ht="30" customHeight="1">
      <c r="A485" s="741"/>
      <c r="B485" s="747"/>
      <c r="C485" s="414" t="s">
        <v>109</v>
      </c>
      <c r="D485" s="727"/>
      <c r="E485" s="727">
        <v>201855</v>
      </c>
      <c r="F485" s="727">
        <v>197192</v>
      </c>
      <c r="G485" s="728">
        <f t="shared" si="25"/>
        <v>0.9768992593693493</v>
      </c>
    </row>
    <row r="486" spans="1:7" s="709" customFormat="1" ht="21" customHeight="1">
      <c r="A486" s="720">
        <v>921</v>
      </c>
      <c r="B486" s="720"/>
      <c r="C486" s="720" t="s">
        <v>512</v>
      </c>
      <c r="D486" s="601">
        <f>D489</f>
        <v>26000</v>
      </c>
      <c r="E486" s="601">
        <f>E489+E487</f>
        <v>127888</v>
      </c>
      <c r="F486" s="601">
        <f>F489+F487</f>
        <v>127888</v>
      </c>
      <c r="G486" s="572">
        <f t="shared" si="25"/>
        <v>1</v>
      </c>
    </row>
    <row r="487" spans="1:7" s="725" customFormat="1" ht="21" customHeight="1">
      <c r="A487" s="231"/>
      <c r="B487" s="232">
        <v>92113</v>
      </c>
      <c r="C487" s="232" t="s">
        <v>89</v>
      </c>
      <c r="D487" s="744"/>
      <c r="E487" s="744">
        <f>E488</f>
        <v>25986</v>
      </c>
      <c r="F487" s="744">
        <f>F488</f>
        <v>25986</v>
      </c>
      <c r="G487" s="724">
        <f t="shared" si="25"/>
        <v>1</v>
      </c>
    </row>
    <row r="488" spans="1:7" s="709" customFormat="1" ht="39.75" customHeight="1">
      <c r="A488" s="741"/>
      <c r="B488" s="747"/>
      <c r="C488" s="414" t="s">
        <v>110</v>
      </c>
      <c r="D488" s="727"/>
      <c r="E488" s="727">
        <v>25986</v>
      </c>
      <c r="F488" s="727">
        <v>25986</v>
      </c>
      <c r="G488" s="728">
        <f t="shared" si="25"/>
        <v>1</v>
      </c>
    </row>
    <row r="489" spans="1:7" s="725" customFormat="1" ht="21" customHeight="1">
      <c r="A489" s="231"/>
      <c r="B489" s="232">
        <v>92116</v>
      </c>
      <c r="C489" s="232" t="s">
        <v>877</v>
      </c>
      <c r="D489" s="744">
        <f>D490</f>
        <v>26000</v>
      </c>
      <c r="E489" s="744">
        <f>SUM(E490:E491)</f>
        <v>101902</v>
      </c>
      <c r="F489" s="744">
        <f>SUM(F490:F491)</f>
        <v>101902</v>
      </c>
      <c r="G489" s="745">
        <f t="shared" si="25"/>
        <v>1</v>
      </c>
    </row>
    <row r="490" spans="1:7" s="709" customFormat="1" ht="21" customHeight="1">
      <c r="A490" s="737"/>
      <c r="B490" s="737"/>
      <c r="C490" s="500" t="s">
        <v>111</v>
      </c>
      <c r="D490" s="586">
        <v>26000</v>
      </c>
      <c r="E490" s="586">
        <v>26000</v>
      </c>
      <c r="F490" s="586">
        <v>26000</v>
      </c>
      <c r="G490" s="587">
        <f t="shared" si="25"/>
        <v>1</v>
      </c>
    </row>
    <row r="491" spans="1:7" s="709" customFormat="1" ht="30" customHeight="1">
      <c r="A491" s="737"/>
      <c r="B491" s="737"/>
      <c r="C491" s="508" t="s">
        <v>112</v>
      </c>
      <c r="D491" s="770"/>
      <c r="E491" s="770">
        <v>75902</v>
      </c>
      <c r="F491" s="770">
        <v>75902</v>
      </c>
      <c r="G491" s="771">
        <f t="shared" si="25"/>
        <v>1</v>
      </c>
    </row>
    <row r="492" spans="1:7" ht="25.5" customHeight="1" thickBot="1">
      <c r="A492" s="737"/>
      <c r="B492" s="737"/>
      <c r="C492" s="833" t="s">
        <v>113</v>
      </c>
      <c r="D492" s="829">
        <f>D494+D543</f>
        <v>45426861</v>
      </c>
      <c r="E492" s="829">
        <f>E494+E543</f>
        <v>70412922</v>
      </c>
      <c r="F492" s="829">
        <f>F494+F543</f>
        <v>69109954</v>
      </c>
      <c r="G492" s="830">
        <f t="shared" si="25"/>
        <v>0.9814953283716872</v>
      </c>
    </row>
    <row r="493" spans="1:7" ht="15" customHeight="1" thickTop="1">
      <c r="A493" s="737"/>
      <c r="B493" s="737"/>
      <c r="C493" s="737" t="s">
        <v>965</v>
      </c>
      <c r="D493" s="626"/>
      <c r="E493" s="626"/>
      <c r="F493" s="626"/>
      <c r="G493" s="627"/>
    </row>
    <row r="494" spans="1:7" ht="21.75" customHeight="1">
      <c r="A494" s="741"/>
      <c r="B494" s="741"/>
      <c r="C494" s="834" t="s">
        <v>114</v>
      </c>
      <c r="D494" s="835">
        <f>D495+D500+D505+D512</f>
        <v>26297956</v>
      </c>
      <c r="E494" s="835">
        <f>E495+E500+E505+E512+E508+E540</f>
        <v>50683161</v>
      </c>
      <c r="F494" s="835">
        <f>F495+F500+F505+F512+F508+F540</f>
        <v>49950153</v>
      </c>
      <c r="G494" s="836">
        <f aca="true" t="shared" si="26" ref="G494:G510">F494/E494</f>
        <v>0.9855374450697738</v>
      </c>
    </row>
    <row r="495" spans="1:7" s="709" customFormat="1" ht="21" customHeight="1">
      <c r="A495" s="719">
        <v>750</v>
      </c>
      <c r="B495" s="719"/>
      <c r="C495" s="719" t="s">
        <v>391</v>
      </c>
      <c r="D495" s="735">
        <f>D496</f>
        <v>1499616</v>
      </c>
      <c r="E495" s="735">
        <f>E496</f>
        <v>1528456</v>
      </c>
      <c r="F495" s="735">
        <f>F496</f>
        <v>1528456</v>
      </c>
      <c r="G495" s="736">
        <f t="shared" si="26"/>
        <v>1</v>
      </c>
    </row>
    <row r="496" spans="1:7" s="818" customFormat="1" ht="21" customHeight="1">
      <c r="A496" s="817"/>
      <c r="B496" s="815">
        <v>75011</v>
      </c>
      <c r="C496" s="815" t="s">
        <v>413</v>
      </c>
      <c r="D496" s="583">
        <f>SUM(D497:D499)</f>
        <v>1499616</v>
      </c>
      <c r="E496" s="583">
        <f>SUM(E497:E499)</f>
        <v>1528456</v>
      </c>
      <c r="F496" s="583">
        <f>SUM(F497:F499)</f>
        <v>1528456</v>
      </c>
      <c r="G496" s="584">
        <f t="shared" si="26"/>
        <v>1</v>
      </c>
    </row>
    <row r="497" spans="1:7" s="709" customFormat="1" ht="19.5" customHeight="1">
      <c r="A497" s="737"/>
      <c r="B497" s="737"/>
      <c r="C497" s="740" t="s">
        <v>1033</v>
      </c>
      <c r="D497" s="610">
        <f>1128550+87650</f>
        <v>1216200</v>
      </c>
      <c r="E497" s="610">
        <v>1245040</v>
      </c>
      <c r="F497" s="610">
        <v>1245040</v>
      </c>
      <c r="G497" s="611">
        <f t="shared" si="26"/>
        <v>1</v>
      </c>
    </row>
    <row r="498" spans="1:7" s="709" customFormat="1" ht="19.5" customHeight="1">
      <c r="A498" s="737"/>
      <c r="B498" s="737"/>
      <c r="C498" s="740" t="s">
        <v>1034</v>
      </c>
      <c r="D498" s="610">
        <f>44116</f>
        <v>44116</v>
      </c>
      <c r="E498" s="610">
        <v>49625</v>
      </c>
      <c r="F498" s="610">
        <v>49625</v>
      </c>
      <c r="G498" s="611">
        <f t="shared" si="26"/>
        <v>1</v>
      </c>
    </row>
    <row r="499" spans="1:7" s="818" customFormat="1" ht="19.5" customHeight="1">
      <c r="A499" s="824"/>
      <c r="B499" s="824"/>
      <c r="C499" s="824" t="s">
        <v>1035</v>
      </c>
      <c r="D499" s="580">
        <f>209530+29770</f>
        <v>239300</v>
      </c>
      <c r="E499" s="580">
        <v>233791</v>
      </c>
      <c r="F499" s="580">
        <v>233791</v>
      </c>
      <c r="G499" s="585">
        <f t="shared" si="26"/>
        <v>1</v>
      </c>
    </row>
    <row r="500" spans="1:7" s="709" customFormat="1" ht="28.5" customHeight="1">
      <c r="A500" s="96">
        <v>751</v>
      </c>
      <c r="B500" s="720"/>
      <c r="C500" s="105" t="s">
        <v>115</v>
      </c>
      <c r="D500" s="601">
        <f>D501</f>
        <v>29140</v>
      </c>
      <c r="E500" s="601">
        <f>E501+E503</f>
        <v>487080</v>
      </c>
      <c r="F500" s="601">
        <f>F501+F503</f>
        <v>487080</v>
      </c>
      <c r="G500" s="572">
        <f t="shared" si="26"/>
        <v>1</v>
      </c>
    </row>
    <row r="501" spans="1:7" s="709" customFormat="1" ht="21" customHeight="1">
      <c r="A501" s="738"/>
      <c r="B501" s="78">
        <v>75101</v>
      </c>
      <c r="C501" s="506" t="s">
        <v>116</v>
      </c>
      <c r="D501" s="744">
        <f>D502</f>
        <v>29140</v>
      </c>
      <c r="E501" s="744">
        <f>E502</f>
        <v>29140</v>
      </c>
      <c r="F501" s="744">
        <f>F502</f>
        <v>29140</v>
      </c>
      <c r="G501" s="745">
        <f t="shared" si="26"/>
        <v>1</v>
      </c>
    </row>
    <row r="502" spans="1:7" s="709" customFormat="1" ht="19.5" customHeight="1">
      <c r="A502" s="737"/>
      <c r="B502" s="741"/>
      <c r="C502" s="495" t="s">
        <v>117</v>
      </c>
      <c r="D502" s="742">
        <v>29140</v>
      </c>
      <c r="E502" s="742">
        <v>29140</v>
      </c>
      <c r="F502" s="742">
        <v>29140</v>
      </c>
      <c r="G502" s="743">
        <f t="shared" si="26"/>
        <v>1</v>
      </c>
    </row>
    <row r="503" spans="1:7" s="709" customFormat="1" ht="21" customHeight="1">
      <c r="A503" s="737"/>
      <c r="B503" s="232">
        <v>75113</v>
      </c>
      <c r="C503" s="506" t="s">
        <v>322</v>
      </c>
      <c r="D503" s="744"/>
      <c r="E503" s="744">
        <f>E504</f>
        <v>457940</v>
      </c>
      <c r="F503" s="744">
        <f>F504</f>
        <v>457940</v>
      </c>
      <c r="G503" s="745">
        <f t="shared" si="26"/>
        <v>1</v>
      </c>
    </row>
    <row r="504" spans="1:7" s="709" customFormat="1" ht="19.5" customHeight="1">
      <c r="A504" s="741"/>
      <c r="B504" s="741"/>
      <c r="C504" s="495" t="s">
        <v>118</v>
      </c>
      <c r="D504" s="742"/>
      <c r="E504" s="742">
        <v>457940</v>
      </c>
      <c r="F504" s="742">
        <v>457940</v>
      </c>
      <c r="G504" s="743">
        <f t="shared" si="26"/>
        <v>1</v>
      </c>
    </row>
    <row r="505" spans="1:7" s="709" customFormat="1" ht="21" customHeight="1">
      <c r="A505" s="96">
        <v>754</v>
      </c>
      <c r="B505" s="720"/>
      <c r="C505" s="105" t="s">
        <v>394</v>
      </c>
      <c r="D505" s="601">
        <f aca="true" t="shared" si="27" ref="D505:F506">D506</f>
        <v>2200</v>
      </c>
      <c r="E505" s="601">
        <f t="shared" si="27"/>
        <v>2200</v>
      </c>
      <c r="F505" s="601">
        <f t="shared" si="27"/>
        <v>2200</v>
      </c>
      <c r="G505" s="572">
        <f t="shared" si="26"/>
        <v>1</v>
      </c>
    </row>
    <row r="506" spans="1:7" s="709" customFormat="1" ht="21" customHeight="1">
      <c r="A506" s="738"/>
      <c r="B506" s="722">
        <v>75414</v>
      </c>
      <c r="C506" s="387" t="s">
        <v>441</v>
      </c>
      <c r="D506" s="723">
        <f t="shared" si="27"/>
        <v>2200</v>
      </c>
      <c r="E506" s="723">
        <f t="shared" si="27"/>
        <v>2200</v>
      </c>
      <c r="F506" s="723">
        <f t="shared" si="27"/>
        <v>2200</v>
      </c>
      <c r="G506" s="724">
        <f t="shared" si="26"/>
        <v>1</v>
      </c>
    </row>
    <row r="507" spans="1:7" s="709" customFormat="1" ht="19.5" customHeight="1">
      <c r="A507" s="741"/>
      <c r="B507" s="741"/>
      <c r="C507" s="495" t="s">
        <v>119</v>
      </c>
      <c r="D507" s="742">
        <v>2200</v>
      </c>
      <c r="E507" s="742">
        <v>2200</v>
      </c>
      <c r="F507" s="742">
        <v>2200</v>
      </c>
      <c r="G507" s="743">
        <f t="shared" si="26"/>
        <v>1</v>
      </c>
    </row>
    <row r="508" spans="1:7" s="709" customFormat="1" ht="21" customHeight="1">
      <c r="A508" s="96">
        <v>801</v>
      </c>
      <c r="B508" s="720"/>
      <c r="C508" s="105" t="s">
        <v>347</v>
      </c>
      <c r="D508" s="601"/>
      <c r="E508" s="601">
        <f>E509</f>
        <v>14000</v>
      </c>
      <c r="F508" s="601">
        <f>F509</f>
        <v>14000</v>
      </c>
      <c r="G508" s="572">
        <f t="shared" si="26"/>
        <v>1</v>
      </c>
    </row>
    <row r="509" spans="1:7" s="709" customFormat="1" ht="21" customHeight="1">
      <c r="A509" s="738"/>
      <c r="B509" s="722">
        <v>80101</v>
      </c>
      <c r="C509" s="387" t="s">
        <v>348</v>
      </c>
      <c r="D509" s="723"/>
      <c r="E509" s="723">
        <f>E510</f>
        <v>14000</v>
      </c>
      <c r="F509" s="723">
        <f>F510</f>
        <v>14000</v>
      </c>
      <c r="G509" s="724">
        <f t="shared" si="26"/>
        <v>1</v>
      </c>
    </row>
    <row r="510" spans="1:7" s="709" customFormat="1" ht="19.5" customHeight="1">
      <c r="A510" s="741"/>
      <c r="B510" s="741"/>
      <c r="C510" s="495" t="s">
        <v>120</v>
      </c>
      <c r="D510" s="742"/>
      <c r="E510" s="742">
        <v>14000</v>
      </c>
      <c r="F510" s="742">
        <v>14000</v>
      </c>
      <c r="G510" s="743">
        <f t="shared" si="26"/>
        <v>1</v>
      </c>
    </row>
    <row r="511" spans="1:7" s="709" customFormat="1" ht="35.25" customHeight="1">
      <c r="A511" s="767"/>
      <c r="B511" s="767"/>
      <c r="C511" s="660"/>
      <c r="D511" s="768"/>
      <c r="E511" s="768"/>
      <c r="F511" s="768"/>
      <c r="G511" s="769"/>
    </row>
    <row r="512" spans="1:7" s="709" customFormat="1" ht="19.5" customHeight="1">
      <c r="A512" s="720">
        <v>852</v>
      </c>
      <c r="B512" s="720"/>
      <c r="C512" s="720" t="s">
        <v>463</v>
      </c>
      <c r="D512" s="601">
        <f>D513+D527+D529+D531+D533+D538</f>
        <v>24767000</v>
      </c>
      <c r="E512" s="601">
        <f>E513+E527+E529+E531+E533+E538+E521</f>
        <v>48647425</v>
      </c>
      <c r="F512" s="601">
        <f>F513+F527+F529+F531+F533+F538+F521</f>
        <v>47914417</v>
      </c>
      <c r="G512" s="572">
        <f>F512/E512</f>
        <v>0.984932234337172</v>
      </c>
    </row>
    <row r="513" spans="1:7" s="709" customFormat="1" ht="19.5" customHeight="1">
      <c r="A513" s="737"/>
      <c r="B513" s="722">
        <v>85203</v>
      </c>
      <c r="C513" s="722" t="s">
        <v>433</v>
      </c>
      <c r="D513" s="723">
        <v>706000</v>
      </c>
      <c r="E513" s="723">
        <f>E514+E520</f>
        <v>849900</v>
      </c>
      <c r="F513" s="723">
        <f>F514+F520</f>
        <v>849899</v>
      </c>
      <c r="G513" s="724">
        <v>0.9999</v>
      </c>
    </row>
    <row r="514" spans="1:7" s="709" customFormat="1" ht="28.5" customHeight="1">
      <c r="A514" s="737"/>
      <c r="B514" s="737"/>
      <c r="C514" s="782" t="s">
        <v>121</v>
      </c>
      <c r="D514" s="783">
        <f>D515+D516+D518+D519</f>
        <v>468000</v>
      </c>
      <c r="E514" s="783">
        <f>E515+E516+E518+E519</f>
        <v>611900</v>
      </c>
      <c r="F514" s="783">
        <f>F515+F516+F518+F519</f>
        <v>611899</v>
      </c>
      <c r="G514" s="784">
        <v>0.9999</v>
      </c>
    </row>
    <row r="515" spans="1:7" s="709" customFormat="1" ht="19.5" customHeight="1">
      <c r="A515" s="737"/>
      <c r="B515" s="737"/>
      <c r="C515" s="781" t="s">
        <v>1033</v>
      </c>
      <c r="D515" s="764">
        <v>253000</v>
      </c>
      <c r="E515" s="764">
        <v>261300</v>
      </c>
      <c r="F515" s="764">
        <v>261300</v>
      </c>
      <c r="G515" s="746">
        <f>F515/E515</f>
        <v>1</v>
      </c>
    </row>
    <row r="516" spans="1:7" s="709" customFormat="1" ht="19.5" customHeight="1">
      <c r="A516" s="737"/>
      <c r="B516" s="737"/>
      <c r="C516" s="753" t="s">
        <v>1034</v>
      </c>
      <c r="D516" s="754">
        <v>164000</v>
      </c>
      <c r="E516" s="754">
        <v>222406</v>
      </c>
      <c r="F516" s="754">
        <v>222405</v>
      </c>
      <c r="G516" s="755">
        <v>0.9999</v>
      </c>
    </row>
    <row r="517" spans="1:7" s="709" customFormat="1" ht="16.5" customHeight="1">
      <c r="A517" s="737"/>
      <c r="B517" s="737"/>
      <c r="C517" s="756" t="s">
        <v>1019</v>
      </c>
      <c r="D517" s="757">
        <v>20000</v>
      </c>
      <c r="E517" s="757">
        <v>38120</v>
      </c>
      <c r="F517" s="757">
        <v>38120</v>
      </c>
      <c r="G517" s="758">
        <f aca="true" t="shared" si="28" ref="G517:G523">F517/E517</f>
        <v>1</v>
      </c>
    </row>
    <row r="518" spans="1:7" s="709" customFormat="1" ht="19.5" customHeight="1">
      <c r="A518" s="737"/>
      <c r="B518" s="737"/>
      <c r="C518" s="740" t="s">
        <v>1035</v>
      </c>
      <c r="D518" s="610">
        <v>51000</v>
      </c>
      <c r="E518" s="610">
        <v>53194</v>
      </c>
      <c r="F518" s="610">
        <v>53194</v>
      </c>
      <c r="G518" s="611">
        <f t="shared" si="28"/>
        <v>1</v>
      </c>
    </row>
    <row r="519" spans="1:7" s="709" customFormat="1" ht="19.5" customHeight="1">
      <c r="A519" s="737"/>
      <c r="B519" s="737"/>
      <c r="C519" s="737" t="s">
        <v>1002</v>
      </c>
      <c r="D519" s="626"/>
      <c r="E519" s="626">
        <v>75000</v>
      </c>
      <c r="F519" s="626">
        <v>75000</v>
      </c>
      <c r="G519" s="746">
        <f t="shared" si="28"/>
        <v>1</v>
      </c>
    </row>
    <row r="520" spans="1:7" s="709" customFormat="1" ht="28.5" customHeight="1">
      <c r="A520" s="737"/>
      <c r="B520" s="741"/>
      <c r="C520" s="508" t="s">
        <v>122</v>
      </c>
      <c r="D520" s="770">
        <v>238000</v>
      </c>
      <c r="E520" s="770">
        <v>238000</v>
      </c>
      <c r="F520" s="770">
        <v>238000</v>
      </c>
      <c r="G520" s="771">
        <f t="shared" si="28"/>
        <v>1</v>
      </c>
    </row>
    <row r="521" spans="1:7" s="709" customFormat="1" ht="26.25" customHeight="1">
      <c r="A521" s="737"/>
      <c r="B521" s="791">
        <v>85212</v>
      </c>
      <c r="C521" s="506" t="s">
        <v>946</v>
      </c>
      <c r="D521" s="744"/>
      <c r="E521" s="744">
        <f>SUM(E522:E526)</f>
        <v>33127516</v>
      </c>
      <c r="F521" s="744">
        <f>SUM(F522:F526)</f>
        <v>32852881</v>
      </c>
      <c r="G521" s="745">
        <f t="shared" si="28"/>
        <v>0.991709761758171</v>
      </c>
    </row>
    <row r="522" spans="1:7" s="709" customFormat="1" ht="19.5" customHeight="1">
      <c r="A522" s="737"/>
      <c r="B522" s="737"/>
      <c r="C522" s="781" t="s">
        <v>1033</v>
      </c>
      <c r="D522" s="764"/>
      <c r="E522" s="764">
        <v>513943</v>
      </c>
      <c r="F522" s="764">
        <v>508341</v>
      </c>
      <c r="G522" s="746">
        <f t="shared" si="28"/>
        <v>0.9890999585557153</v>
      </c>
    </row>
    <row r="523" spans="1:7" s="709" customFormat="1" ht="19.5" customHeight="1">
      <c r="A523" s="737"/>
      <c r="B523" s="737"/>
      <c r="C523" s="740" t="s">
        <v>1034</v>
      </c>
      <c r="D523" s="610"/>
      <c r="E523" s="610">
        <v>350592</v>
      </c>
      <c r="F523" s="610">
        <v>350592</v>
      </c>
      <c r="G523" s="611">
        <f t="shared" si="28"/>
        <v>1</v>
      </c>
    </row>
    <row r="524" spans="1:7" s="709" customFormat="1" ht="19.5" customHeight="1">
      <c r="A524" s="737"/>
      <c r="B524" s="737"/>
      <c r="C524" s="740" t="s">
        <v>1035</v>
      </c>
      <c r="D524" s="610"/>
      <c r="E524" s="610">
        <v>97899</v>
      </c>
      <c r="F524" s="610">
        <v>97898</v>
      </c>
      <c r="G524" s="611">
        <v>0.9999</v>
      </c>
    </row>
    <row r="525" spans="1:7" s="709" customFormat="1" ht="19.5" customHeight="1">
      <c r="A525" s="737"/>
      <c r="B525" s="737"/>
      <c r="C525" s="740" t="s">
        <v>123</v>
      </c>
      <c r="D525" s="610"/>
      <c r="E525" s="610">
        <v>31991592</v>
      </c>
      <c r="F525" s="610">
        <v>31722560</v>
      </c>
      <c r="G525" s="611">
        <f aca="true" t="shared" si="29" ref="G525:G546">F525/E525</f>
        <v>0.9915905404144939</v>
      </c>
    </row>
    <row r="526" spans="1:7" s="709" customFormat="1" ht="19.5" customHeight="1">
      <c r="A526" s="737"/>
      <c r="B526" s="741"/>
      <c r="C526" s="778" t="s">
        <v>1002</v>
      </c>
      <c r="D526" s="770"/>
      <c r="E526" s="770">
        <v>173490</v>
      </c>
      <c r="F526" s="770">
        <v>173490</v>
      </c>
      <c r="G526" s="771">
        <f t="shared" si="29"/>
        <v>1</v>
      </c>
    </row>
    <row r="527" spans="1:7" s="709" customFormat="1" ht="38.25" customHeight="1">
      <c r="A527" s="737"/>
      <c r="B527" s="791">
        <v>85213</v>
      </c>
      <c r="C527" s="506" t="s">
        <v>504</v>
      </c>
      <c r="D527" s="744">
        <f>D528</f>
        <v>710000</v>
      </c>
      <c r="E527" s="744">
        <f>E528</f>
        <v>619689</v>
      </c>
      <c r="F527" s="744">
        <f>F528</f>
        <v>613600</v>
      </c>
      <c r="G527" s="745">
        <f t="shared" si="29"/>
        <v>0.9901741034615751</v>
      </c>
    </row>
    <row r="528" spans="1:7" s="709" customFormat="1" ht="25.5" customHeight="1">
      <c r="A528" s="737"/>
      <c r="B528" s="747"/>
      <c r="C528" s="414" t="s">
        <v>124</v>
      </c>
      <c r="D528" s="727">
        <v>710000</v>
      </c>
      <c r="E528" s="727">
        <v>619689</v>
      </c>
      <c r="F528" s="727">
        <v>613600</v>
      </c>
      <c r="G528" s="728">
        <f t="shared" si="29"/>
        <v>0.9901741034615751</v>
      </c>
    </row>
    <row r="529" spans="1:7" s="709" customFormat="1" ht="19.5" customHeight="1">
      <c r="A529" s="737"/>
      <c r="B529" s="78">
        <v>85214</v>
      </c>
      <c r="C529" s="506" t="s">
        <v>125</v>
      </c>
      <c r="D529" s="744">
        <f>SUM(D530:D530)</f>
        <v>14563000</v>
      </c>
      <c r="E529" s="744">
        <f>SUM(E530:E530)</f>
        <v>9649880</v>
      </c>
      <c r="F529" s="744">
        <f>SUM(F530:F530)</f>
        <v>9198442</v>
      </c>
      <c r="G529" s="745">
        <f t="shared" si="29"/>
        <v>0.9532182783620107</v>
      </c>
    </row>
    <row r="530" spans="1:7" s="709" customFormat="1" ht="19.5" customHeight="1">
      <c r="A530" s="737"/>
      <c r="B530" s="747"/>
      <c r="C530" s="747" t="s">
        <v>29</v>
      </c>
      <c r="D530" s="586">
        <v>14563000</v>
      </c>
      <c r="E530" s="586">
        <v>9649880</v>
      </c>
      <c r="F530" s="586">
        <v>9198442</v>
      </c>
      <c r="G530" s="587">
        <f t="shared" si="29"/>
        <v>0.9532182783620107</v>
      </c>
    </row>
    <row r="531" spans="1:7" s="709" customFormat="1" ht="19.5" customHeight="1">
      <c r="A531" s="737"/>
      <c r="B531" s="232">
        <v>85216</v>
      </c>
      <c r="C531" s="506" t="s">
        <v>415</v>
      </c>
      <c r="D531" s="723">
        <f>D532</f>
        <v>4360000</v>
      </c>
      <c r="E531" s="723">
        <f>E532</f>
        <v>249440</v>
      </c>
      <c r="F531" s="723">
        <f>F532</f>
        <v>248595</v>
      </c>
      <c r="G531" s="724">
        <f t="shared" si="29"/>
        <v>0.9966124118024374</v>
      </c>
    </row>
    <row r="532" spans="1:7" s="709" customFormat="1" ht="19.5" customHeight="1">
      <c r="A532" s="737"/>
      <c r="B532" s="747"/>
      <c r="C532" s="414" t="s">
        <v>29</v>
      </c>
      <c r="D532" s="727">
        <v>4360000</v>
      </c>
      <c r="E532" s="727">
        <v>249440</v>
      </c>
      <c r="F532" s="727">
        <v>248595</v>
      </c>
      <c r="G532" s="728">
        <f t="shared" si="29"/>
        <v>0.9966124118024374</v>
      </c>
    </row>
    <row r="533" spans="1:7" s="709" customFormat="1" ht="19.5" customHeight="1">
      <c r="A533" s="737"/>
      <c r="B533" s="722">
        <v>85219</v>
      </c>
      <c r="C533" s="387" t="s">
        <v>416</v>
      </c>
      <c r="D533" s="723">
        <f>SUM(D534:D537)</f>
        <v>3498000</v>
      </c>
      <c r="E533" s="723">
        <f>SUM(E534:E537)</f>
        <v>3498000</v>
      </c>
      <c r="F533" s="723">
        <f>SUM(F534:F537)</f>
        <v>3498000</v>
      </c>
      <c r="G533" s="724">
        <f t="shared" si="29"/>
        <v>1</v>
      </c>
    </row>
    <row r="534" spans="1:7" s="709" customFormat="1" ht="19.5" customHeight="1">
      <c r="A534" s="741"/>
      <c r="B534" s="741"/>
      <c r="C534" s="747" t="s">
        <v>1033</v>
      </c>
      <c r="D534" s="727">
        <v>2611300</v>
      </c>
      <c r="E534" s="727">
        <v>2611300</v>
      </c>
      <c r="F534" s="727">
        <v>2611300</v>
      </c>
      <c r="G534" s="728">
        <f t="shared" si="29"/>
        <v>1</v>
      </c>
    </row>
    <row r="535" spans="1:7" s="709" customFormat="1" ht="19.5" customHeight="1">
      <c r="A535" s="737"/>
      <c r="B535" s="737"/>
      <c r="C535" s="781" t="s">
        <v>1034</v>
      </c>
      <c r="D535" s="764">
        <v>369700</v>
      </c>
      <c r="E535" s="764">
        <v>373922</v>
      </c>
      <c r="F535" s="764">
        <v>373922</v>
      </c>
      <c r="G535" s="746">
        <f t="shared" si="29"/>
        <v>1</v>
      </c>
    </row>
    <row r="536" spans="1:7" s="709" customFormat="1" ht="19.5" customHeight="1">
      <c r="A536" s="737"/>
      <c r="B536" s="737"/>
      <c r="C536" s="740" t="s">
        <v>1035</v>
      </c>
      <c r="D536" s="610">
        <v>509000</v>
      </c>
      <c r="E536" s="610">
        <v>504778</v>
      </c>
      <c r="F536" s="610">
        <v>504778</v>
      </c>
      <c r="G536" s="611">
        <f t="shared" si="29"/>
        <v>1</v>
      </c>
    </row>
    <row r="537" spans="1:7" s="709" customFormat="1" ht="19.5" customHeight="1">
      <c r="A537" s="737"/>
      <c r="B537" s="741"/>
      <c r="C537" s="778" t="s">
        <v>1002</v>
      </c>
      <c r="D537" s="770">
        <v>8000</v>
      </c>
      <c r="E537" s="770">
        <v>8000</v>
      </c>
      <c r="F537" s="770">
        <v>8000</v>
      </c>
      <c r="G537" s="771">
        <f t="shared" si="29"/>
        <v>1</v>
      </c>
    </row>
    <row r="538" spans="1:7" s="709" customFormat="1" ht="19.5" customHeight="1">
      <c r="A538" s="737"/>
      <c r="B538" s="232">
        <v>85228</v>
      </c>
      <c r="C538" s="506" t="s">
        <v>388</v>
      </c>
      <c r="D538" s="744">
        <f>D539</f>
        <v>930000</v>
      </c>
      <c r="E538" s="744">
        <f>E539</f>
        <v>653000</v>
      </c>
      <c r="F538" s="744">
        <f>F539</f>
        <v>653000</v>
      </c>
      <c r="G538" s="745">
        <f t="shared" si="29"/>
        <v>1</v>
      </c>
    </row>
    <row r="539" spans="1:7" s="709" customFormat="1" ht="19.5" customHeight="1">
      <c r="A539" s="741"/>
      <c r="B539" s="741"/>
      <c r="C539" s="495" t="s">
        <v>126</v>
      </c>
      <c r="D539" s="742">
        <v>930000</v>
      </c>
      <c r="E539" s="742">
        <v>653000</v>
      </c>
      <c r="F539" s="742">
        <v>653000</v>
      </c>
      <c r="G539" s="743">
        <f t="shared" si="29"/>
        <v>1</v>
      </c>
    </row>
    <row r="540" spans="1:7" s="709" customFormat="1" ht="19.5" customHeight="1">
      <c r="A540" s="219" t="s">
        <v>871</v>
      </c>
      <c r="B540" s="720"/>
      <c r="C540" s="720" t="s">
        <v>396</v>
      </c>
      <c r="D540" s="601"/>
      <c r="E540" s="601">
        <f>E541</f>
        <v>4000</v>
      </c>
      <c r="F540" s="601">
        <f>F541</f>
        <v>4000</v>
      </c>
      <c r="G540" s="572">
        <f t="shared" si="29"/>
        <v>1</v>
      </c>
    </row>
    <row r="541" spans="1:7" s="709" customFormat="1" ht="19.5" customHeight="1">
      <c r="A541" s="738"/>
      <c r="B541" s="722">
        <v>85401</v>
      </c>
      <c r="C541" s="837" t="s">
        <v>397</v>
      </c>
      <c r="D541" s="723"/>
      <c r="E541" s="723">
        <f>E542</f>
        <v>4000</v>
      </c>
      <c r="F541" s="723">
        <f>F542</f>
        <v>4000</v>
      </c>
      <c r="G541" s="724">
        <f t="shared" si="29"/>
        <v>1</v>
      </c>
    </row>
    <row r="542" spans="1:7" s="709" customFormat="1" ht="19.5" customHeight="1">
      <c r="A542" s="737"/>
      <c r="B542" s="737"/>
      <c r="C542" s="824" t="s">
        <v>120</v>
      </c>
      <c r="D542" s="742"/>
      <c r="E542" s="742">
        <v>4000</v>
      </c>
      <c r="F542" s="742">
        <v>4000</v>
      </c>
      <c r="G542" s="743">
        <f t="shared" si="29"/>
        <v>1</v>
      </c>
    </row>
    <row r="543" spans="1:7" ht="27" customHeight="1">
      <c r="A543" s="741"/>
      <c r="B543" s="741"/>
      <c r="C543" s="838" t="s">
        <v>127</v>
      </c>
      <c r="D543" s="835">
        <f>D544+D547+D554+D561+D567+D573+D586</f>
        <v>19128905</v>
      </c>
      <c r="E543" s="835">
        <f>E544+E547+E554+E561+E567+E573+E586</f>
        <v>19729761</v>
      </c>
      <c r="F543" s="835">
        <f>F544+F547+F554+F561+F567+F573+F586</f>
        <v>19159801</v>
      </c>
      <c r="G543" s="836">
        <f t="shared" si="29"/>
        <v>0.9711116622243929</v>
      </c>
    </row>
    <row r="544" spans="1:7" s="709" customFormat="1" ht="19.5" customHeight="1">
      <c r="A544" s="219" t="s">
        <v>128</v>
      </c>
      <c r="B544" s="720"/>
      <c r="C544" s="720" t="s">
        <v>387</v>
      </c>
      <c r="D544" s="601">
        <f aca="true" t="shared" si="30" ref="D544:F545">D545</f>
        <v>338200</v>
      </c>
      <c r="E544" s="601">
        <f t="shared" si="30"/>
        <v>553982</v>
      </c>
      <c r="F544" s="601">
        <f t="shared" si="30"/>
        <v>553982</v>
      </c>
      <c r="G544" s="572">
        <f t="shared" si="29"/>
        <v>1</v>
      </c>
    </row>
    <row r="545" spans="1:7" s="709" customFormat="1" ht="19.5" customHeight="1">
      <c r="A545" s="738"/>
      <c r="B545" s="722">
        <v>70005</v>
      </c>
      <c r="C545" s="837" t="s">
        <v>425</v>
      </c>
      <c r="D545" s="723">
        <f t="shared" si="30"/>
        <v>338200</v>
      </c>
      <c r="E545" s="723">
        <f t="shared" si="30"/>
        <v>553982</v>
      </c>
      <c r="F545" s="723">
        <f t="shared" si="30"/>
        <v>553982</v>
      </c>
      <c r="G545" s="724">
        <f t="shared" si="29"/>
        <v>1</v>
      </c>
    </row>
    <row r="546" spans="1:7" s="709" customFormat="1" ht="19.5" customHeight="1">
      <c r="A546" s="741"/>
      <c r="B546" s="741"/>
      <c r="C546" s="824" t="s">
        <v>129</v>
      </c>
      <c r="D546" s="742">
        <v>338200</v>
      </c>
      <c r="E546" s="742">
        <v>553982</v>
      </c>
      <c r="F546" s="742">
        <v>553982</v>
      </c>
      <c r="G546" s="743">
        <f t="shared" si="29"/>
        <v>1</v>
      </c>
    </row>
    <row r="547" spans="1:7" s="709" customFormat="1" ht="19.5" customHeight="1">
      <c r="A547" s="720">
        <v>710</v>
      </c>
      <c r="B547" s="720"/>
      <c r="C547" s="720" t="s">
        <v>393</v>
      </c>
      <c r="D547" s="601">
        <f>D548+D550</f>
        <v>438760</v>
      </c>
      <c r="E547" s="601">
        <f>E548+E550</f>
        <v>512006</v>
      </c>
      <c r="F547" s="601">
        <f>F548+F550</f>
        <v>512003</v>
      </c>
      <c r="G547" s="572">
        <v>0.9999</v>
      </c>
    </row>
    <row r="548" spans="1:7" s="709" customFormat="1" ht="19.5" customHeight="1">
      <c r="A548" s="737"/>
      <c r="B548" s="722">
        <v>71013</v>
      </c>
      <c r="C548" s="722" t="s">
        <v>426</v>
      </c>
      <c r="D548" s="723">
        <f>D549</f>
        <v>90000</v>
      </c>
      <c r="E548" s="723">
        <f>E549</f>
        <v>90000</v>
      </c>
      <c r="F548" s="723">
        <f>F549</f>
        <v>90000</v>
      </c>
      <c r="G548" s="724">
        <f>F548/E548</f>
        <v>1</v>
      </c>
    </row>
    <row r="549" spans="1:7" s="709" customFormat="1" ht="19.5" customHeight="1">
      <c r="A549" s="737"/>
      <c r="B549" s="741"/>
      <c r="C549" s="414" t="s">
        <v>130</v>
      </c>
      <c r="D549" s="727">
        <v>90000</v>
      </c>
      <c r="E549" s="727">
        <v>90000</v>
      </c>
      <c r="F549" s="727">
        <v>90000</v>
      </c>
      <c r="G549" s="743">
        <f>F549/E549</f>
        <v>1</v>
      </c>
    </row>
    <row r="550" spans="1:7" s="709" customFormat="1" ht="19.5" customHeight="1">
      <c r="A550" s="737"/>
      <c r="B550" s="232">
        <v>71015</v>
      </c>
      <c r="C550" s="506" t="s">
        <v>428</v>
      </c>
      <c r="D550" s="744">
        <f>SUM(D551:D553)</f>
        <v>348760</v>
      </c>
      <c r="E550" s="744">
        <f>SUM(E551:E553)</f>
        <v>422006</v>
      </c>
      <c r="F550" s="744">
        <f>SUM(F551:F553)</f>
        <v>422003</v>
      </c>
      <c r="G550" s="745">
        <v>0.9999</v>
      </c>
    </row>
    <row r="551" spans="1:7" s="709" customFormat="1" ht="19.5" customHeight="1">
      <c r="A551" s="737"/>
      <c r="B551" s="737"/>
      <c r="C551" s="839" t="s">
        <v>1033</v>
      </c>
      <c r="D551" s="586">
        <v>243900</v>
      </c>
      <c r="E551" s="586">
        <v>271937</v>
      </c>
      <c r="F551" s="586">
        <v>271936</v>
      </c>
      <c r="G551" s="587">
        <v>0.9999</v>
      </c>
    </row>
    <row r="552" spans="1:7" s="709" customFormat="1" ht="19.5" customHeight="1">
      <c r="A552" s="737"/>
      <c r="B552" s="737"/>
      <c r="C552" s="820" t="s">
        <v>1034</v>
      </c>
      <c r="D552" s="610">
        <v>56860</v>
      </c>
      <c r="E552" s="610">
        <v>90859</v>
      </c>
      <c r="F552" s="610">
        <v>90857</v>
      </c>
      <c r="G552" s="611">
        <v>0.9999</v>
      </c>
    </row>
    <row r="553" spans="1:7" s="709" customFormat="1" ht="19.5" customHeight="1">
      <c r="A553" s="741"/>
      <c r="B553" s="741"/>
      <c r="C553" s="840" t="s">
        <v>1035</v>
      </c>
      <c r="D553" s="770">
        <v>48000</v>
      </c>
      <c r="E553" s="770">
        <v>59210</v>
      </c>
      <c r="F553" s="770">
        <v>59210</v>
      </c>
      <c r="G553" s="771">
        <f aca="true" t="shared" si="31" ref="G553:G582">F553/E553</f>
        <v>1</v>
      </c>
    </row>
    <row r="554" spans="1:7" s="709" customFormat="1" ht="19.5" customHeight="1">
      <c r="A554" s="720">
        <v>750</v>
      </c>
      <c r="B554" s="720"/>
      <c r="C554" s="720" t="s">
        <v>391</v>
      </c>
      <c r="D554" s="601">
        <f>D555+D559</f>
        <v>926945</v>
      </c>
      <c r="E554" s="601">
        <f>E555+E559</f>
        <v>943865</v>
      </c>
      <c r="F554" s="601">
        <f>F555+F559</f>
        <v>943865</v>
      </c>
      <c r="G554" s="572">
        <f t="shared" si="31"/>
        <v>1</v>
      </c>
    </row>
    <row r="555" spans="1:7" s="818" customFormat="1" ht="19.5" customHeight="1">
      <c r="A555" s="817"/>
      <c r="B555" s="815">
        <v>75011</v>
      </c>
      <c r="C555" s="815" t="s">
        <v>413</v>
      </c>
      <c r="D555" s="583">
        <f>SUM(D556:D558)</f>
        <v>809945</v>
      </c>
      <c r="E555" s="583">
        <f>SUM(E556:E558)</f>
        <v>826865</v>
      </c>
      <c r="F555" s="583">
        <f>SUM(F556:F558)</f>
        <v>826865</v>
      </c>
      <c r="G555" s="584">
        <f t="shared" si="31"/>
        <v>1</v>
      </c>
    </row>
    <row r="556" spans="1:7" s="818" customFormat="1" ht="19.5" customHeight="1">
      <c r="A556" s="569"/>
      <c r="B556" s="625"/>
      <c r="C556" s="839" t="s">
        <v>1033</v>
      </c>
      <c r="D556" s="574">
        <f>601600+46700</f>
        <v>648300</v>
      </c>
      <c r="E556" s="574">
        <v>665220</v>
      </c>
      <c r="F556" s="574">
        <v>665220</v>
      </c>
      <c r="G556" s="575">
        <f t="shared" si="31"/>
        <v>1</v>
      </c>
    </row>
    <row r="557" spans="1:7" s="818" customFormat="1" ht="19.5" customHeight="1">
      <c r="A557" s="569"/>
      <c r="B557" s="569"/>
      <c r="C557" s="820" t="s">
        <v>1034</v>
      </c>
      <c r="D557" s="608">
        <f>26700+7445</f>
        <v>34145</v>
      </c>
      <c r="E557" s="608">
        <f>26700+7445</f>
        <v>34145</v>
      </c>
      <c r="F557" s="608">
        <v>34145</v>
      </c>
      <c r="G557" s="609">
        <f t="shared" si="31"/>
        <v>1</v>
      </c>
    </row>
    <row r="558" spans="1:7" s="818" customFormat="1" ht="19.5" customHeight="1">
      <c r="A558" s="569"/>
      <c r="B558" s="824"/>
      <c r="C558" s="824" t="s">
        <v>1035</v>
      </c>
      <c r="D558" s="580">
        <f>111700+15800</f>
        <v>127500</v>
      </c>
      <c r="E558" s="580">
        <f>111700+15800</f>
        <v>127500</v>
      </c>
      <c r="F558" s="580">
        <v>127500</v>
      </c>
      <c r="G558" s="585">
        <f t="shared" si="31"/>
        <v>1</v>
      </c>
    </row>
    <row r="559" spans="1:7" s="709" customFormat="1" ht="19.5" customHeight="1">
      <c r="A559" s="737"/>
      <c r="B559" s="232">
        <v>75045</v>
      </c>
      <c r="C559" s="815" t="s">
        <v>430</v>
      </c>
      <c r="D559" s="744">
        <f>D560</f>
        <v>117000</v>
      </c>
      <c r="E559" s="744">
        <f>E560</f>
        <v>117000</v>
      </c>
      <c r="F559" s="744">
        <f>F560</f>
        <v>117000</v>
      </c>
      <c r="G559" s="745">
        <f t="shared" si="31"/>
        <v>1</v>
      </c>
    </row>
    <row r="560" spans="1:7" s="709" customFormat="1" ht="19.5" customHeight="1">
      <c r="A560" s="741"/>
      <c r="B560" s="741"/>
      <c r="C560" s="486" t="s">
        <v>131</v>
      </c>
      <c r="D560" s="742">
        <v>117000</v>
      </c>
      <c r="E560" s="742">
        <v>117000</v>
      </c>
      <c r="F560" s="742">
        <v>117000</v>
      </c>
      <c r="G560" s="743">
        <f t="shared" si="31"/>
        <v>1</v>
      </c>
    </row>
    <row r="561" spans="1:7" s="709" customFormat="1" ht="19.5" customHeight="1">
      <c r="A561" s="96">
        <v>754</v>
      </c>
      <c r="B561" s="720"/>
      <c r="C561" s="105" t="s">
        <v>394</v>
      </c>
      <c r="D561" s="601">
        <f>D562</f>
        <v>11746000</v>
      </c>
      <c r="E561" s="601">
        <f>E562</f>
        <v>11938000</v>
      </c>
      <c r="F561" s="601">
        <f>F562</f>
        <v>11938000</v>
      </c>
      <c r="G561" s="572">
        <f t="shared" si="31"/>
        <v>1</v>
      </c>
    </row>
    <row r="562" spans="1:7" s="709" customFormat="1" ht="19.5" customHeight="1">
      <c r="A562" s="737"/>
      <c r="B562" s="232">
        <v>75411</v>
      </c>
      <c r="C562" s="815" t="s">
        <v>432</v>
      </c>
      <c r="D562" s="744">
        <f>D563+D564+D566</f>
        <v>11746000</v>
      </c>
      <c r="E562" s="744">
        <f>E563+E564+E566</f>
        <v>11938000</v>
      </c>
      <c r="F562" s="744">
        <f>F563+F564+F566</f>
        <v>11938000</v>
      </c>
      <c r="G562" s="745">
        <f t="shared" si="31"/>
        <v>1</v>
      </c>
    </row>
    <row r="563" spans="1:7" s="818" customFormat="1" ht="19.5" customHeight="1">
      <c r="A563" s="569"/>
      <c r="B563" s="625"/>
      <c r="C563" s="839" t="s">
        <v>1033</v>
      </c>
      <c r="D563" s="574">
        <v>8849600</v>
      </c>
      <c r="E563" s="574">
        <v>8836540</v>
      </c>
      <c r="F563" s="574">
        <v>8836540</v>
      </c>
      <c r="G563" s="575">
        <f t="shared" si="31"/>
        <v>1</v>
      </c>
    </row>
    <row r="564" spans="1:7" s="818" customFormat="1" ht="19.5" customHeight="1">
      <c r="A564" s="569"/>
      <c r="B564" s="569"/>
      <c r="C564" s="841" t="s">
        <v>1034</v>
      </c>
      <c r="D564" s="842">
        <v>2867200</v>
      </c>
      <c r="E564" s="842">
        <v>3092312</v>
      </c>
      <c r="F564" s="842">
        <v>3092312</v>
      </c>
      <c r="G564" s="843">
        <f t="shared" si="31"/>
        <v>1</v>
      </c>
    </row>
    <row r="565" spans="1:7" s="818" customFormat="1" ht="16.5" customHeight="1">
      <c r="A565" s="569"/>
      <c r="B565" s="569"/>
      <c r="C565" s="844" t="s">
        <v>1019</v>
      </c>
      <c r="D565" s="845">
        <v>150000</v>
      </c>
      <c r="E565" s="845">
        <v>228000</v>
      </c>
      <c r="F565" s="845">
        <v>228000</v>
      </c>
      <c r="G565" s="846">
        <f t="shared" si="31"/>
        <v>1</v>
      </c>
    </row>
    <row r="566" spans="1:7" s="818" customFormat="1" ht="19.5" customHeight="1">
      <c r="A566" s="569"/>
      <c r="B566" s="824"/>
      <c r="C566" s="824" t="s">
        <v>1035</v>
      </c>
      <c r="D566" s="580">
        <v>29200</v>
      </c>
      <c r="E566" s="580">
        <v>9148</v>
      </c>
      <c r="F566" s="580">
        <v>9148</v>
      </c>
      <c r="G566" s="585">
        <f t="shared" si="31"/>
        <v>1</v>
      </c>
    </row>
    <row r="567" spans="1:7" s="709" customFormat="1" ht="19.5" customHeight="1">
      <c r="A567" s="719">
        <v>851</v>
      </c>
      <c r="B567" s="719"/>
      <c r="C567" s="719" t="s">
        <v>350</v>
      </c>
      <c r="D567" s="735">
        <f>D570</f>
        <v>2903000</v>
      </c>
      <c r="E567" s="735">
        <f>E570+E568</f>
        <v>3019064</v>
      </c>
      <c r="F567" s="735">
        <f>F570+F568</f>
        <v>2465683</v>
      </c>
      <c r="G567" s="736">
        <f t="shared" si="31"/>
        <v>0.8167044487960506</v>
      </c>
    </row>
    <row r="568" spans="1:7" s="709" customFormat="1" ht="19.5" customHeight="1">
      <c r="A568" s="737"/>
      <c r="B568" s="232">
        <v>85141</v>
      </c>
      <c r="C568" s="815" t="s">
        <v>527</v>
      </c>
      <c r="D568" s="744"/>
      <c r="E568" s="744">
        <f>E569</f>
        <v>116064</v>
      </c>
      <c r="F568" s="744">
        <f>F569</f>
        <v>116064</v>
      </c>
      <c r="G568" s="745">
        <f t="shared" si="31"/>
        <v>1</v>
      </c>
    </row>
    <row r="569" spans="1:7" s="818" customFormat="1" ht="19.5" customHeight="1">
      <c r="A569" s="569"/>
      <c r="B569" s="847"/>
      <c r="C569" s="847" t="s">
        <v>132</v>
      </c>
      <c r="D569" s="44"/>
      <c r="E569" s="44">
        <v>116064</v>
      </c>
      <c r="F569" s="44">
        <v>116064</v>
      </c>
      <c r="G569" s="743">
        <f t="shared" si="31"/>
        <v>1</v>
      </c>
    </row>
    <row r="570" spans="1:8" s="709" customFormat="1" ht="25.5" customHeight="1">
      <c r="A570" s="737"/>
      <c r="B570" s="791">
        <v>85156</v>
      </c>
      <c r="C570" s="39" t="s">
        <v>516</v>
      </c>
      <c r="D570" s="744">
        <f>SUM(D571:D572)</f>
        <v>2903000</v>
      </c>
      <c r="E570" s="744">
        <f>SUM(E571:E572)</f>
        <v>2903000</v>
      </c>
      <c r="F570" s="744">
        <f>SUM(F571:F572)</f>
        <v>2349619</v>
      </c>
      <c r="G570" s="745">
        <f t="shared" si="31"/>
        <v>0.8093761625904237</v>
      </c>
      <c r="H570" s="725"/>
    </row>
    <row r="571" spans="1:7" s="709" customFormat="1" ht="28.5" customHeight="1">
      <c r="A571" s="737"/>
      <c r="B571" s="737"/>
      <c r="C571" s="416" t="s">
        <v>133</v>
      </c>
      <c r="D571" s="586">
        <v>118000</v>
      </c>
      <c r="E571" s="586">
        <v>118000</v>
      </c>
      <c r="F571" s="586">
        <v>109228</v>
      </c>
      <c r="G571" s="587">
        <f t="shared" si="31"/>
        <v>0.9256610169491526</v>
      </c>
    </row>
    <row r="572" spans="1:7" s="709" customFormat="1" ht="29.25" customHeight="1">
      <c r="A572" s="741"/>
      <c r="B572" s="741"/>
      <c r="C572" s="486" t="s">
        <v>134</v>
      </c>
      <c r="D572" s="742">
        <v>2785000</v>
      </c>
      <c r="E572" s="742">
        <v>2785000</v>
      </c>
      <c r="F572" s="742">
        <v>2240391</v>
      </c>
      <c r="G572" s="743">
        <f t="shared" si="31"/>
        <v>0.8044491921005386</v>
      </c>
    </row>
    <row r="573" spans="1:7" s="709" customFormat="1" ht="19.5" customHeight="1">
      <c r="A573" s="720">
        <v>852</v>
      </c>
      <c r="B573" s="720"/>
      <c r="C573" s="720" t="s">
        <v>463</v>
      </c>
      <c r="D573" s="601">
        <f>D574+D581+D584</f>
        <v>2267000</v>
      </c>
      <c r="E573" s="601">
        <f>E574+E581+E584+E579</f>
        <v>2180434</v>
      </c>
      <c r="F573" s="601">
        <f>F574+F581+F584+F579</f>
        <v>2164506</v>
      </c>
      <c r="G573" s="572">
        <f t="shared" si="31"/>
        <v>0.9926950322733914</v>
      </c>
    </row>
    <row r="574" spans="1:7" s="709" customFormat="1" ht="19.5" customHeight="1">
      <c r="A574" s="737"/>
      <c r="B574" s="722">
        <v>85203</v>
      </c>
      <c r="C574" s="722" t="s">
        <v>433</v>
      </c>
      <c r="D574" s="723">
        <v>1967000</v>
      </c>
      <c r="E574" s="723">
        <f>SUM(E575:E578)</f>
        <v>2044000</v>
      </c>
      <c r="F574" s="723">
        <f>SUM(F575:F578)</f>
        <v>2044000</v>
      </c>
      <c r="G574" s="724">
        <f t="shared" si="31"/>
        <v>1</v>
      </c>
    </row>
    <row r="575" spans="1:7" s="709" customFormat="1" ht="27.75" customHeight="1">
      <c r="A575" s="737"/>
      <c r="B575" s="737"/>
      <c r="C575" s="494" t="s">
        <v>135</v>
      </c>
      <c r="D575" s="586">
        <v>750000</v>
      </c>
      <c r="E575" s="586">
        <v>750000</v>
      </c>
      <c r="F575" s="586">
        <v>750000</v>
      </c>
      <c r="G575" s="587">
        <f t="shared" si="31"/>
        <v>1</v>
      </c>
    </row>
    <row r="576" spans="1:7" s="709" customFormat="1" ht="27" customHeight="1">
      <c r="A576" s="737"/>
      <c r="B576" s="737"/>
      <c r="C576" s="792" t="s">
        <v>136</v>
      </c>
      <c r="D576" s="786">
        <v>1217000</v>
      </c>
      <c r="E576" s="786">
        <v>1217000</v>
      </c>
      <c r="F576" s="786">
        <v>1217000</v>
      </c>
      <c r="G576" s="787">
        <f t="shared" si="31"/>
        <v>1</v>
      </c>
    </row>
    <row r="577" spans="1:7" s="709" customFormat="1" ht="27" customHeight="1">
      <c r="A577" s="737"/>
      <c r="B577" s="737"/>
      <c r="C577" s="765" t="s">
        <v>137</v>
      </c>
      <c r="D577" s="610"/>
      <c r="E577" s="610">
        <v>27000</v>
      </c>
      <c r="F577" s="610">
        <v>27000</v>
      </c>
      <c r="G577" s="611">
        <f t="shared" si="31"/>
        <v>1</v>
      </c>
    </row>
    <row r="578" spans="1:7" s="709" customFormat="1" ht="27" customHeight="1">
      <c r="A578" s="737"/>
      <c r="B578" s="741"/>
      <c r="C578" s="495" t="s">
        <v>138</v>
      </c>
      <c r="D578" s="742"/>
      <c r="E578" s="742">
        <v>50000</v>
      </c>
      <c r="F578" s="742">
        <v>50000</v>
      </c>
      <c r="G578" s="743">
        <f t="shared" si="31"/>
        <v>1</v>
      </c>
    </row>
    <row r="579" spans="1:7" s="709" customFormat="1" ht="26.25" customHeight="1">
      <c r="A579" s="737"/>
      <c r="B579" s="791">
        <v>85212</v>
      </c>
      <c r="C579" s="506" t="s">
        <v>946</v>
      </c>
      <c r="D579" s="744"/>
      <c r="E579" s="744">
        <f>E580</f>
        <v>32789</v>
      </c>
      <c r="F579" s="744">
        <f>F580</f>
        <v>18829</v>
      </c>
      <c r="G579" s="745">
        <f t="shared" si="31"/>
        <v>0.574247461038763</v>
      </c>
    </row>
    <row r="580" spans="1:7" s="709" customFormat="1" ht="19.5" customHeight="1">
      <c r="A580" s="737"/>
      <c r="B580" s="741"/>
      <c r="C580" s="778" t="s">
        <v>139</v>
      </c>
      <c r="D580" s="770"/>
      <c r="E580" s="770">
        <v>32789</v>
      </c>
      <c r="F580" s="770">
        <v>18829</v>
      </c>
      <c r="G580" s="771">
        <f t="shared" si="31"/>
        <v>0.574247461038763</v>
      </c>
    </row>
    <row r="581" spans="1:7" s="709" customFormat="1" ht="19.5" customHeight="1">
      <c r="A581" s="737"/>
      <c r="B581" s="232">
        <v>85216</v>
      </c>
      <c r="C581" s="232" t="s">
        <v>415</v>
      </c>
      <c r="D581" s="744">
        <f>SUM(D582:D582)</f>
        <v>44000</v>
      </c>
      <c r="E581" s="744">
        <f>SUM(E582:E582)</f>
        <v>11211</v>
      </c>
      <c r="F581" s="744">
        <f>SUM(F582:F582)</f>
        <v>11211</v>
      </c>
      <c r="G581" s="745">
        <f t="shared" si="31"/>
        <v>1</v>
      </c>
    </row>
    <row r="582" spans="1:7" s="709" customFormat="1" ht="19.5" customHeight="1">
      <c r="A582" s="737"/>
      <c r="B582" s="737"/>
      <c r="C582" s="785" t="s">
        <v>140</v>
      </c>
      <c r="D582" s="786">
        <v>44000</v>
      </c>
      <c r="E582" s="786">
        <v>11211</v>
      </c>
      <c r="F582" s="786">
        <v>11211</v>
      </c>
      <c r="G582" s="787">
        <f t="shared" si="31"/>
        <v>1</v>
      </c>
    </row>
    <row r="583" spans="1:7" s="709" customFormat="1" ht="19.5" customHeight="1">
      <c r="A583" s="767"/>
      <c r="B583" s="767"/>
      <c r="C583" s="767"/>
      <c r="D583" s="768"/>
      <c r="E583" s="768"/>
      <c r="F583" s="768"/>
      <c r="G583" s="769"/>
    </row>
    <row r="584" spans="1:7" s="709" customFormat="1" ht="19.5" customHeight="1">
      <c r="A584" s="737"/>
      <c r="B584" s="232">
        <v>85231</v>
      </c>
      <c r="C584" s="232" t="s">
        <v>435</v>
      </c>
      <c r="D584" s="744">
        <f>D585</f>
        <v>256000</v>
      </c>
      <c r="E584" s="744">
        <f>E585</f>
        <v>92434</v>
      </c>
      <c r="F584" s="744">
        <f>F585</f>
        <v>90466</v>
      </c>
      <c r="G584" s="745">
        <f aca="true" t="shared" si="32" ref="G584:G594">F584/E584</f>
        <v>0.9787091330030075</v>
      </c>
    </row>
    <row r="585" spans="1:7" s="709" customFormat="1" ht="19.5" customHeight="1">
      <c r="A585" s="741"/>
      <c r="B585" s="747"/>
      <c r="C585" s="414" t="s">
        <v>141</v>
      </c>
      <c r="D585" s="727">
        <v>256000</v>
      </c>
      <c r="E585" s="727">
        <v>92434</v>
      </c>
      <c r="F585" s="727">
        <v>90466</v>
      </c>
      <c r="G585" s="728">
        <f t="shared" si="32"/>
        <v>0.9787091330030075</v>
      </c>
    </row>
    <row r="586" spans="1:7" s="709" customFormat="1" ht="19.5" customHeight="1">
      <c r="A586" s="720">
        <v>853</v>
      </c>
      <c r="B586" s="720"/>
      <c r="C586" s="720" t="s">
        <v>464</v>
      </c>
      <c r="D586" s="601">
        <f>D587+D592</f>
        <v>509000</v>
      </c>
      <c r="E586" s="601">
        <f>E587+E592</f>
        <v>582410</v>
      </c>
      <c r="F586" s="601">
        <f>F587+F592</f>
        <v>581762</v>
      </c>
      <c r="G586" s="572">
        <f t="shared" si="32"/>
        <v>0.9988873817413849</v>
      </c>
    </row>
    <row r="587" spans="1:7" s="709" customFormat="1" ht="19.5" customHeight="1">
      <c r="A587" s="737"/>
      <c r="B587" s="232">
        <v>85321</v>
      </c>
      <c r="C587" s="232" t="s">
        <v>518</v>
      </c>
      <c r="D587" s="744">
        <f>SUM(D588:D591)</f>
        <v>509000</v>
      </c>
      <c r="E587" s="744">
        <f>SUM(E588:E591)</f>
        <v>509000</v>
      </c>
      <c r="F587" s="744">
        <f>SUM(F588:F591)</f>
        <v>508748</v>
      </c>
      <c r="G587" s="745">
        <f t="shared" si="32"/>
        <v>0.9995049115913556</v>
      </c>
    </row>
    <row r="588" spans="1:7" s="709" customFormat="1" ht="19.5" customHeight="1">
      <c r="A588" s="737"/>
      <c r="B588" s="738"/>
      <c r="C588" s="494" t="s">
        <v>1033</v>
      </c>
      <c r="D588" s="586">
        <v>266100</v>
      </c>
      <c r="E588" s="586">
        <v>246227</v>
      </c>
      <c r="F588" s="586">
        <v>246227</v>
      </c>
      <c r="G588" s="587">
        <f t="shared" si="32"/>
        <v>1</v>
      </c>
    </row>
    <row r="589" spans="1:7" s="709" customFormat="1" ht="19.5" customHeight="1">
      <c r="A589" s="737"/>
      <c r="B589" s="737"/>
      <c r="C589" s="765" t="s">
        <v>1034</v>
      </c>
      <c r="D589" s="610">
        <v>179600</v>
      </c>
      <c r="E589" s="610">
        <v>203380</v>
      </c>
      <c r="F589" s="610">
        <v>203380</v>
      </c>
      <c r="G589" s="611">
        <f t="shared" si="32"/>
        <v>1</v>
      </c>
    </row>
    <row r="590" spans="1:7" s="709" customFormat="1" ht="19.5" customHeight="1">
      <c r="A590" s="737"/>
      <c r="B590" s="737"/>
      <c r="C590" s="766" t="s">
        <v>1035</v>
      </c>
      <c r="D590" s="626">
        <v>55300</v>
      </c>
      <c r="E590" s="626">
        <v>51393</v>
      </c>
      <c r="F590" s="626">
        <v>51393</v>
      </c>
      <c r="G590" s="627">
        <f t="shared" si="32"/>
        <v>1</v>
      </c>
    </row>
    <row r="591" spans="1:7" s="709" customFormat="1" ht="19.5" customHeight="1">
      <c r="A591" s="737"/>
      <c r="B591" s="741"/>
      <c r="C591" s="508" t="s">
        <v>1002</v>
      </c>
      <c r="D591" s="770">
        <v>8000</v>
      </c>
      <c r="E591" s="770">
        <v>8000</v>
      </c>
      <c r="F591" s="770">
        <v>7748</v>
      </c>
      <c r="G591" s="743">
        <f t="shared" si="32"/>
        <v>0.9685</v>
      </c>
    </row>
    <row r="592" spans="1:7" s="709" customFormat="1" ht="19.5" customHeight="1">
      <c r="A592" s="737"/>
      <c r="B592" s="232">
        <v>85334</v>
      </c>
      <c r="C592" s="232" t="s">
        <v>898</v>
      </c>
      <c r="D592" s="744"/>
      <c r="E592" s="744">
        <f>E593</f>
        <v>73410</v>
      </c>
      <c r="F592" s="744">
        <f>F593</f>
        <v>73014</v>
      </c>
      <c r="G592" s="745">
        <f t="shared" si="32"/>
        <v>0.9946056395586432</v>
      </c>
    </row>
    <row r="593" spans="1:7" s="709" customFormat="1" ht="19.5" customHeight="1">
      <c r="A593" s="737"/>
      <c r="B593" s="737"/>
      <c r="C593" s="797" t="s">
        <v>142</v>
      </c>
      <c r="D593" s="760"/>
      <c r="E593" s="760">
        <v>73410</v>
      </c>
      <c r="F593" s="760">
        <v>73014</v>
      </c>
      <c r="G593" s="761">
        <f t="shared" si="32"/>
        <v>0.9946056395586432</v>
      </c>
    </row>
    <row r="594" spans="1:7" s="709" customFormat="1" ht="16.5" customHeight="1">
      <c r="A594" s="741"/>
      <c r="B594" s="741"/>
      <c r="C594" s="750" t="s">
        <v>1019</v>
      </c>
      <c r="D594" s="751"/>
      <c r="E594" s="751">
        <v>4120</v>
      </c>
      <c r="F594" s="751">
        <v>4120</v>
      </c>
      <c r="G594" s="752">
        <f t="shared" si="32"/>
        <v>1</v>
      </c>
    </row>
    <row r="595" spans="1:7" ht="19.5" customHeight="1">
      <c r="A595" s="848"/>
      <c r="B595" s="848"/>
      <c r="C595" s="848"/>
      <c r="D595" s="848"/>
      <c r="E595" s="848"/>
      <c r="F595" s="848"/>
      <c r="G595" s="848"/>
    </row>
    <row r="596" spans="1:7" ht="19.5" customHeight="1">
      <c r="A596" s="848"/>
      <c r="B596" s="848"/>
      <c r="C596" s="848"/>
      <c r="D596" s="848"/>
      <c r="E596" s="848"/>
      <c r="F596" s="848"/>
      <c r="G596" s="848"/>
    </row>
    <row r="597" spans="2:9" s="28" customFormat="1" ht="14.25">
      <c r="B597"/>
      <c r="E597" s="375" t="s">
        <v>330</v>
      </c>
      <c r="F597"/>
      <c r="G597" s="365"/>
      <c r="H597"/>
      <c r="I597" s="37"/>
    </row>
    <row r="598" spans="2:9" s="28" customFormat="1" ht="14.25">
      <c r="B598"/>
      <c r="E598" s="694" t="s">
        <v>331</v>
      </c>
      <c r="F598"/>
      <c r="G598" s="365"/>
      <c r="H598"/>
      <c r="I598" s="37"/>
    </row>
    <row r="599" spans="1:7" ht="19.5" customHeight="1">
      <c r="A599" s="848"/>
      <c r="B599" s="848"/>
      <c r="C599" s="848"/>
      <c r="D599" s="848"/>
      <c r="E599" s="848"/>
      <c r="F599" s="848"/>
      <c r="G599" s="848"/>
    </row>
    <row r="600" spans="1:7" ht="19.5" customHeight="1">
      <c r="A600" s="848"/>
      <c r="B600" s="848"/>
      <c r="C600" s="848"/>
      <c r="D600" s="848"/>
      <c r="E600" s="848"/>
      <c r="F600" s="848"/>
      <c r="G600" s="848"/>
    </row>
    <row r="601" spans="1:7" ht="19.5" customHeight="1">
      <c r="A601" s="848"/>
      <c r="B601" s="848"/>
      <c r="C601" s="848"/>
      <c r="D601" s="848"/>
      <c r="E601" s="848"/>
      <c r="F601" s="848"/>
      <c r="G601" s="848"/>
    </row>
    <row r="602" spans="1:7" ht="19.5" customHeight="1">
      <c r="A602" s="848"/>
      <c r="B602" s="848"/>
      <c r="C602" s="848"/>
      <c r="D602" s="848"/>
      <c r="E602" s="848"/>
      <c r="F602" s="848"/>
      <c r="G602" s="848"/>
    </row>
    <row r="603" spans="1:7" ht="19.5" customHeight="1">
      <c r="A603" s="848"/>
      <c r="B603" s="848"/>
      <c r="C603" s="848"/>
      <c r="D603" s="848"/>
      <c r="E603" s="848"/>
      <c r="F603" s="848"/>
      <c r="G603" s="848"/>
    </row>
    <row r="604" spans="1:7" ht="19.5" customHeight="1">
      <c r="A604" s="848"/>
      <c r="B604" s="848"/>
      <c r="C604" s="848"/>
      <c r="D604" s="848"/>
      <c r="E604" s="848"/>
      <c r="F604" s="848"/>
      <c r="G604" s="848"/>
    </row>
    <row r="605" spans="1:7" ht="19.5" customHeight="1">
      <c r="A605" s="848"/>
      <c r="B605" s="848"/>
      <c r="C605" s="848"/>
      <c r="D605" s="848"/>
      <c r="E605" s="848"/>
      <c r="F605" s="848"/>
      <c r="G605" s="848"/>
    </row>
    <row r="606" spans="1:7" ht="19.5" customHeight="1">
      <c r="A606" s="848"/>
      <c r="B606" s="848"/>
      <c r="C606" s="848"/>
      <c r="D606" s="848"/>
      <c r="E606" s="848"/>
      <c r="F606" s="848"/>
      <c r="G606" s="848"/>
    </row>
    <row r="607" spans="1:7" ht="19.5" customHeight="1">
      <c r="A607" s="848"/>
      <c r="B607" s="848"/>
      <c r="C607" s="848"/>
      <c r="D607" s="848"/>
      <c r="E607" s="848"/>
      <c r="F607" s="848"/>
      <c r="G607" s="848"/>
    </row>
    <row r="608" spans="1:7" ht="19.5" customHeight="1">
      <c r="A608" s="848"/>
      <c r="B608" s="848"/>
      <c r="C608" s="848"/>
      <c r="D608" s="848"/>
      <c r="E608" s="848"/>
      <c r="F608" s="848"/>
      <c r="G608" s="848"/>
    </row>
    <row r="609" spans="1:7" ht="19.5" customHeight="1">
      <c r="A609" s="848"/>
      <c r="B609" s="848"/>
      <c r="C609" s="848"/>
      <c r="D609" s="848"/>
      <c r="E609" s="848"/>
      <c r="F609" s="848"/>
      <c r="G609" s="848"/>
    </row>
    <row r="610" spans="1:7" ht="19.5" customHeight="1">
      <c r="A610" s="848"/>
      <c r="B610" s="848"/>
      <c r="C610" s="848"/>
      <c r="D610" s="848"/>
      <c r="E610" s="848"/>
      <c r="F610" s="848"/>
      <c r="G610" s="848"/>
    </row>
    <row r="611" spans="1:7" ht="19.5" customHeight="1">
      <c r="A611" s="848"/>
      <c r="B611" s="848"/>
      <c r="C611" s="848"/>
      <c r="D611" s="848"/>
      <c r="E611" s="848"/>
      <c r="F611" s="848"/>
      <c r="G611" s="848"/>
    </row>
    <row r="612" spans="1:7" ht="19.5" customHeight="1">
      <c r="A612" s="848"/>
      <c r="B612" s="848"/>
      <c r="C612" s="848"/>
      <c r="D612" s="848"/>
      <c r="E612" s="848"/>
      <c r="F612" s="848"/>
      <c r="G612" s="848"/>
    </row>
    <row r="613" spans="1:7" ht="19.5" customHeight="1">
      <c r="A613" s="848"/>
      <c r="B613" s="848"/>
      <c r="C613" s="848"/>
      <c r="D613" s="848"/>
      <c r="E613" s="848"/>
      <c r="F613" s="848"/>
      <c r="G613" s="848"/>
    </row>
    <row r="614" spans="1:7" ht="19.5" customHeight="1">
      <c r="A614" s="848"/>
      <c r="B614" s="848"/>
      <c r="C614" s="848"/>
      <c r="D614" s="848"/>
      <c r="E614" s="848"/>
      <c r="F614" s="848"/>
      <c r="G614" s="848"/>
    </row>
    <row r="615" spans="1:7" ht="19.5" customHeight="1">
      <c r="A615" s="848"/>
      <c r="B615" s="848"/>
      <c r="C615" s="848"/>
      <c r="D615" s="848"/>
      <c r="E615" s="848"/>
      <c r="F615" s="848"/>
      <c r="G615" s="848"/>
    </row>
    <row r="616" spans="1:7" ht="19.5" customHeight="1">
      <c r="A616" s="848"/>
      <c r="B616" s="848"/>
      <c r="C616" s="848"/>
      <c r="D616" s="848"/>
      <c r="E616" s="848"/>
      <c r="F616" s="848"/>
      <c r="G616" s="848"/>
    </row>
    <row r="617" spans="1:7" ht="19.5" customHeight="1">
      <c r="A617" s="848"/>
      <c r="B617" s="848"/>
      <c r="C617" s="848"/>
      <c r="D617" s="848"/>
      <c r="E617" s="848"/>
      <c r="F617" s="848"/>
      <c r="G617" s="848"/>
    </row>
    <row r="618" spans="1:7" ht="19.5" customHeight="1">
      <c r="A618" s="848"/>
      <c r="B618" s="848"/>
      <c r="C618" s="848"/>
      <c r="D618" s="848"/>
      <c r="E618" s="848"/>
      <c r="F618" s="848"/>
      <c r="G618" s="848"/>
    </row>
    <row r="619" spans="1:7" ht="19.5" customHeight="1">
      <c r="A619" s="848"/>
      <c r="B619" s="848"/>
      <c r="C619" s="848"/>
      <c r="D619" s="848"/>
      <c r="E619" s="848"/>
      <c r="F619" s="848"/>
      <c r="G619" s="848"/>
    </row>
    <row r="620" spans="1:7" ht="19.5" customHeight="1">
      <c r="A620" s="848"/>
      <c r="B620" s="848"/>
      <c r="C620" s="848"/>
      <c r="D620" s="848"/>
      <c r="E620" s="848"/>
      <c r="F620" s="848"/>
      <c r="G620" s="848"/>
    </row>
    <row r="621" spans="1:7" ht="19.5" customHeight="1">
      <c r="A621" s="848"/>
      <c r="B621" s="848"/>
      <c r="C621" s="848"/>
      <c r="D621" s="848"/>
      <c r="E621" s="848"/>
      <c r="F621" s="848"/>
      <c r="G621" s="848"/>
    </row>
    <row r="622" spans="1:7" ht="19.5" customHeight="1">
      <c r="A622" s="848"/>
      <c r="B622" s="848"/>
      <c r="C622" s="848"/>
      <c r="D622" s="848"/>
      <c r="E622" s="848"/>
      <c r="F622" s="848"/>
      <c r="G622" s="848"/>
    </row>
    <row r="623" spans="1:7" ht="19.5" customHeight="1">
      <c r="A623" s="848"/>
      <c r="B623" s="848"/>
      <c r="C623" s="848"/>
      <c r="D623" s="848"/>
      <c r="E623" s="848"/>
      <c r="F623" s="848"/>
      <c r="G623" s="848"/>
    </row>
    <row r="624" spans="1:7" ht="19.5" customHeight="1">
      <c r="A624" s="848"/>
      <c r="B624" s="848"/>
      <c r="C624" s="848"/>
      <c r="D624" s="848"/>
      <c r="E624" s="848"/>
      <c r="F624" s="848"/>
      <c r="G624" s="848"/>
    </row>
    <row r="625" spans="1:7" ht="19.5" customHeight="1">
      <c r="A625" s="848"/>
      <c r="B625" s="848"/>
      <c r="C625" s="848"/>
      <c r="D625" s="848"/>
      <c r="E625" s="848"/>
      <c r="F625" s="848"/>
      <c r="G625" s="848"/>
    </row>
    <row r="626" spans="1:7" ht="19.5" customHeight="1">
      <c r="A626" s="848"/>
      <c r="B626" s="848"/>
      <c r="C626" s="848"/>
      <c r="D626" s="848"/>
      <c r="E626" s="848"/>
      <c r="F626" s="848"/>
      <c r="G626" s="848"/>
    </row>
    <row r="627" spans="1:7" ht="19.5" customHeight="1">
      <c r="A627" s="848"/>
      <c r="B627" s="848"/>
      <c r="C627" s="848"/>
      <c r="D627" s="848"/>
      <c r="E627" s="848"/>
      <c r="F627" s="848"/>
      <c r="G627" s="848"/>
    </row>
    <row r="628" spans="1:7" ht="19.5" customHeight="1">
      <c r="A628" s="848"/>
      <c r="B628" s="848"/>
      <c r="C628" s="848"/>
      <c r="D628" s="848"/>
      <c r="E628" s="848"/>
      <c r="F628" s="848"/>
      <c r="G628" s="848"/>
    </row>
    <row r="629" spans="1:7" ht="19.5" customHeight="1">
      <c r="A629" s="848"/>
      <c r="B629" s="848"/>
      <c r="C629" s="848"/>
      <c r="D629" s="848"/>
      <c r="E629" s="848"/>
      <c r="F629" s="848"/>
      <c r="G629" s="848"/>
    </row>
    <row r="630" spans="1:7" ht="19.5" customHeight="1">
      <c r="A630" s="848"/>
      <c r="B630" s="848"/>
      <c r="C630" s="848"/>
      <c r="D630" s="848"/>
      <c r="E630" s="848"/>
      <c r="F630" s="848"/>
      <c r="G630" s="848"/>
    </row>
    <row r="631" spans="1:7" ht="19.5" customHeight="1">
      <c r="A631" s="848"/>
      <c r="B631" s="848"/>
      <c r="C631" s="848"/>
      <c r="D631" s="848"/>
      <c r="E631" s="848"/>
      <c r="F631" s="848"/>
      <c r="G631" s="848"/>
    </row>
    <row r="632" spans="1:7" ht="19.5" customHeight="1">
      <c r="A632" s="848"/>
      <c r="B632" s="848"/>
      <c r="C632" s="848"/>
      <c r="D632" s="848"/>
      <c r="E632" s="848"/>
      <c r="F632" s="848"/>
      <c r="G632" s="848"/>
    </row>
    <row r="633" spans="1:7" ht="19.5" customHeight="1">
      <c r="A633" s="848"/>
      <c r="B633" s="848"/>
      <c r="C633" s="848"/>
      <c r="D633" s="848"/>
      <c r="E633" s="848"/>
      <c r="F633" s="848"/>
      <c r="G633" s="848"/>
    </row>
    <row r="634" spans="1:7" ht="19.5" customHeight="1">
      <c r="A634" s="848"/>
      <c r="B634" s="848"/>
      <c r="C634" s="848"/>
      <c r="D634" s="848"/>
      <c r="E634" s="848"/>
      <c r="F634" s="848"/>
      <c r="G634" s="848"/>
    </row>
    <row r="635" spans="1:7" ht="19.5" customHeight="1">
      <c r="A635" s="848"/>
      <c r="B635" s="848"/>
      <c r="C635" s="848"/>
      <c r="D635" s="848"/>
      <c r="E635" s="848"/>
      <c r="F635" s="848"/>
      <c r="G635" s="848"/>
    </row>
    <row r="636" spans="1:7" ht="19.5" customHeight="1">
      <c r="A636" s="848"/>
      <c r="B636" s="848"/>
      <c r="C636" s="848"/>
      <c r="D636" s="848"/>
      <c r="E636" s="848"/>
      <c r="F636" s="848"/>
      <c r="G636" s="848"/>
    </row>
    <row r="637" spans="1:7" ht="19.5" customHeight="1">
      <c r="A637" s="848"/>
      <c r="B637" s="848"/>
      <c r="C637" s="848"/>
      <c r="D637" s="848"/>
      <c r="E637" s="848"/>
      <c r="F637" s="848"/>
      <c r="G637" s="848"/>
    </row>
    <row r="638" spans="1:7" ht="19.5" customHeight="1">
      <c r="A638" s="848"/>
      <c r="B638" s="848"/>
      <c r="C638" s="848"/>
      <c r="D638" s="848"/>
      <c r="E638" s="848"/>
      <c r="F638" s="848"/>
      <c r="G638" s="848"/>
    </row>
    <row r="639" spans="1:7" ht="19.5" customHeight="1">
      <c r="A639" s="848"/>
      <c r="B639" s="848"/>
      <c r="C639" s="848"/>
      <c r="D639" s="848"/>
      <c r="E639" s="848"/>
      <c r="F639" s="848"/>
      <c r="G639" s="848"/>
    </row>
    <row r="640" spans="1:7" ht="19.5" customHeight="1">
      <c r="A640" s="848"/>
      <c r="B640" s="848"/>
      <c r="C640" s="848"/>
      <c r="D640" s="848"/>
      <c r="E640" s="848"/>
      <c r="F640" s="848"/>
      <c r="G640" s="848"/>
    </row>
    <row r="641" spans="1:7" ht="19.5" customHeight="1">
      <c r="A641" s="848"/>
      <c r="B641" s="848"/>
      <c r="C641" s="848"/>
      <c r="D641" s="848"/>
      <c r="E641" s="848"/>
      <c r="F641" s="848"/>
      <c r="G641" s="848"/>
    </row>
    <row r="642" spans="1:7" ht="19.5" customHeight="1">
      <c r="A642" s="848"/>
      <c r="B642" s="848"/>
      <c r="C642" s="848"/>
      <c r="D642" s="848"/>
      <c r="E642" s="848"/>
      <c r="F642" s="848"/>
      <c r="G642" s="848"/>
    </row>
    <row r="643" spans="1:7" ht="19.5" customHeight="1">
      <c r="A643" s="848"/>
      <c r="B643" s="848"/>
      <c r="C643" s="848"/>
      <c r="D643" s="848"/>
      <c r="E643" s="848"/>
      <c r="F643" s="848"/>
      <c r="G643" s="848"/>
    </row>
    <row r="644" spans="1:7" ht="19.5" customHeight="1">
      <c r="A644" s="848"/>
      <c r="B644" s="848"/>
      <c r="C644" s="848"/>
      <c r="D644" s="848"/>
      <c r="E644" s="848"/>
      <c r="F644" s="848"/>
      <c r="G644" s="848"/>
    </row>
    <row r="645" spans="1:7" ht="30" customHeight="1">
      <c r="A645" s="848"/>
      <c r="B645" s="848"/>
      <c r="C645" s="848"/>
      <c r="D645" s="848"/>
      <c r="E645" s="848"/>
      <c r="F645" s="848"/>
      <c r="G645" s="848"/>
    </row>
    <row r="646" spans="1:7" ht="30" customHeight="1">
      <c r="A646" s="848"/>
      <c r="B646" s="848"/>
      <c r="C646" s="848"/>
      <c r="D646" s="848"/>
      <c r="E646" s="848"/>
      <c r="F646" s="848"/>
      <c r="G646" s="848"/>
    </row>
    <row r="647" spans="1:7" ht="30" customHeight="1">
      <c r="A647" s="848"/>
      <c r="B647" s="848"/>
      <c r="C647" s="848"/>
      <c r="D647" s="848"/>
      <c r="E647" s="848"/>
      <c r="F647" s="848"/>
      <c r="G647" s="848"/>
    </row>
    <row r="648" spans="1:7" ht="30" customHeight="1">
      <c r="A648" s="848"/>
      <c r="B648" s="848"/>
      <c r="C648" s="848"/>
      <c r="D648" s="848"/>
      <c r="E648" s="848"/>
      <c r="F648" s="848"/>
      <c r="G648" s="848"/>
    </row>
    <row r="649" spans="1:7" ht="30" customHeight="1">
      <c r="A649" s="848"/>
      <c r="B649" s="848"/>
      <c r="C649" s="848"/>
      <c r="D649" s="848"/>
      <c r="E649" s="848"/>
      <c r="F649" s="848"/>
      <c r="G649" s="848"/>
    </row>
    <row r="650" spans="1:7" ht="30" customHeight="1">
      <c r="A650" s="848"/>
      <c r="B650" s="848"/>
      <c r="C650" s="848"/>
      <c r="D650" s="848"/>
      <c r="E650" s="848"/>
      <c r="F650" s="848"/>
      <c r="G650" s="848"/>
    </row>
    <row r="651" spans="1:7" ht="30" customHeight="1">
      <c r="A651" s="848"/>
      <c r="B651" s="848"/>
      <c r="C651" s="848"/>
      <c r="D651" s="848"/>
      <c r="E651" s="848"/>
      <c r="F651" s="848"/>
      <c r="G651" s="848"/>
    </row>
    <row r="652" spans="1:7" ht="30" customHeight="1">
      <c r="A652" s="848"/>
      <c r="B652" s="848"/>
      <c r="C652" s="848"/>
      <c r="D652" s="848"/>
      <c r="E652" s="848"/>
      <c r="F652" s="848"/>
      <c r="G652" s="848"/>
    </row>
    <row r="653" spans="1:7" ht="30" customHeight="1">
      <c r="A653" s="848"/>
      <c r="B653" s="848"/>
      <c r="C653" s="848"/>
      <c r="D653" s="848"/>
      <c r="E653" s="848"/>
      <c r="F653" s="848"/>
      <c r="G653" s="848"/>
    </row>
    <row r="654" spans="1:7" ht="30" customHeight="1">
      <c r="A654" s="848"/>
      <c r="B654" s="848"/>
      <c r="C654" s="848"/>
      <c r="D654" s="848"/>
      <c r="E654" s="848"/>
      <c r="F654" s="848"/>
      <c r="G654" s="848"/>
    </row>
    <row r="655" spans="1:7" ht="30" customHeight="1">
      <c r="A655" s="848"/>
      <c r="B655" s="848"/>
      <c r="C655" s="848"/>
      <c r="D655" s="848"/>
      <c r="E655" s="848"/>
      <c r="F655" s="848"/>
      <c r="G655" s="848"/>
    </row>
    <row r="656" spans="1:7" ht="30" customHeight="1">
      <c r="A656" s="848"/>
      <c r="B656" s="848"/>
      <c r="C656" s="848"/>
      <c r="D656" s="848"/>
      <c r="E656" s="848"/>
      <c r="F656" s="848"/>
      <c r="G656" s="848"/>
    </row>
    <row r="657" spans="1:7" ht="33" customHeight="1">
      <c r="A657" s="848"/>
      <c r="B657" s="848"/>
      <c r="C657" s="848"/>
      <c r="D657" s="848"/>
      <c r="E657" s="848"/>
      <c r="F657" s="848"/>
      <c r="G657" s="848"/>
    </row>
    <row r="658" spans="1:7" ht="29.25" customHeight="1">
      <c r="A658" s="848"/>
      <c r="B658" s="848"/>
      <c r="C658" s="848"/>
      <c r="D658" s="848"/>
      <c r="E658" s="848"/>
      <c r="F658" s="848"/>
      <c r="G658" s="848"/>
    </row>
    <row r="659" spans="1:7" ht="23.25" customHeight="1">
      <c r="A659" s="848"/>
      <c r="B659" s="848"/>
      <c r="C659" s="848"/>
      <c r="D659" s="848"/>
      <c r="E659" s="848"/>
      <c r="F659" s="848"/>
      <c r="G659" s="848"/>
    </row>
    <row r="660" spans="1:7" ht="33.75" customHeight="1">
      <c r="A660" s="848"/>
      <c r="B660" s="848"/>
      <c r="C660" s="848"/>
      <c r="D660" s="848"/>
      <c r="E660" s="848"/>
      <c r="F660" s="848"/>
      <c r="G660" s="848"/>
    </row>
    <row r="661" spans="1:7" ht="33" customHeight="1">
      <c r="A661" s="848"/>
      <c r="B661" s="848"/>
      <c r="C661" s="848"/>
      <c r="D661" s="848"/>
      <c r="E661" s="848"/>
      <c r="F661" s="848"/>
      <c r="G661" s="848"/>
    </row>
    <row r="662" spans="1:7" ht="30" customHeight="1">
      <c r="A662" s="848"/>
      <c r="B662" s="848"/>
      <c r="C662" s="848"/>
      <c r="D662" s="848"/>
      <c r="E662" s="848"/>
      <c r="F662" s="848"/>
      <c r="G662" s="848"/>
    </row>
    <row r="663" spans="1:7" ht="30" customHeight="1">
      <c r="A663" s="848"/>
      <c r="B663" s="848"/>
      <c r="C663" s="848"/>
      <c r="D663" s="848"/>
      <c r="E663" s="848"/>
      <c r="F663" s="848"/>
      <c r="G663" s="848"/>
    </row>
    <row r="664" spans="1:7" ht="31.5" customHeight="1">
      <c r="A664" s="848"/>
      <c r="B664" s="848"/>
      <c r="C664" s="848"/>
      <c r="D664" s="848"/>
      <c r="E664" s="848"/>
      <c r="F664" s="848"/>
      <c r="G664" s="848"/>
    </row>
    <row r="665" spans="1:7" ht="33.75" customHeight="1">
      <c r="A665" s="848"/>
      <c r="B665" s="848"/>
      <c r="C665" s="848"/>
      <c r="D665" s="848"/>
      <c r="E665" s="848"/>
      <c r="F665" s="848"/>
      <c r="G665" s="848"/>
    </row>
    <row r="666" spans="1:7" ht="30" customHeight="1">
      <c r="A666" s="848"/>
      <c r="B666" s="848"/>
      <c r="C666" s="848"/>
      <c r="D666" s="848"/>
      <c r="E666" s="848"/>
      <c r="F666" s="848"/>
      <c r="G666" s="848"/>
    </row>
    <row r="667" spans="1:7" ht="30" customHeight="1">
      <c r="A667" s="848"/>
      <c r="B667" s="848"/>
      <c r="C667" s="848"/>
      <c r="D667" s="848"/>
      <c r="E667" s="848"/>
      <c r="F667" s="848"/>
      <c r="G667" s="848"/>
    </row>
    <row r="668" spans="1:7" ht="33.75" customHeight="1">
      <c r="A668" s="848"/>
      <c r="B668" s="848"/>
      <c r="C668" s="848"/>
      <c r="D668" s="697"/>
      <c r="E668" s="697"/>
      <c r="F668" s="697"/>
      <c r="G668" s="697"/>
    </row>
    <row r="669" spans="1:7" ht="30" customHeight="1">
      <c r="A669" s="848"/>
      <c r="B669" s="848"/>
      <c r="C669" s="848"/>
      <c r="D669" s="697"/>
      <c r="E669" s="697"/>
      <c r="F669" s="697"/>
      <c r="G669" s="697"/>
    </row>
    <row r="670" ht="39.75" customHeight="1"/>
    <row r="671" ht="47.25" customHeight="1"/>
    <row r="672" ht="35.25" customHeight="1"/>
    <row r="673" ht="35.25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48.75" customHeight="1"/>
    <row r="691" ht="48.75" customHeight="1"/>
    <row r="692" ht="48.75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106.5" customHeight="1"/>
    <row r="710" ht="77.25" customHeight="1"/>
    <row r="711" ht="30" customHeight="1"/>
    <row r="712" ht="28.5" customHeight="1"/>
    <row r="713" ht="30" customHeight="1"/>
    <row r="714" ht="21.75" customHeight="1"/>
    <row r="715" ht="30" customHeight="1"/>
    <row r="716" ht="30" customHeight="1"/>
    <row r="717" ht="27.75" customHeight="1"/>
    <row r="718" ht="33" customHeight="1"/>
    <row r="719" ht="32.25" customHeight="1"/>
    <row r="720" ht="21" customHeight="1"/>
    <row r="721" ht="30" customHeight="1"/>
    <row r="722" ht="24" customHeight="1"/>
    <row r="723" ht="24.75" customHeight="1"/>
    <row r="724" ht="24.75" customHeight="1"/>
    <row r="725" ht="26.25" customHeight="1"/>
    <row r="726" ht="24" customHeight="1"/>
    <row r="727" ht="24" customHeight="1"/>
    <row r="728" ht="24.75" customHeight="1"/>
    <row r="729" ht="33.75" customHeight="1"/>
    <row r="730" ht="33.75" customHeight="1"/>
    <row r="731" ht="39.75" customHeight="1"/>
    <row r="732" spans="1:7" s="849" customFormat="1" ht="21.75" customHeight="1">
      <c r="A732" s="695"/>
      <c r="B732" s="695"/>
      <c r="C732" s="695"/>
      <c r="D732" s="696"/>
      <c r="E732" s="696"/>
      <c r="F732" s="696"/>
      <c r="G732" s="696"/>
    </row>
    <row r="733" ht="24.75" customHeight="1"/>
    <row r="734" ht="49.5" customHeight="1"/>
    <row r="735" ht="30.75" customHeight="1"/>
    <row r="736" ht="27.75" customHeight="1"/>
  </sheetData>
  <mergeCells count="7">
    <mergeCell ref="E7:E10"/>
    <mergeCell ref="F7:F10"/>
    <mergeCell ref="G7:G10"/>
    <mergeCell ref="A7:A10"/>
    <mergeCell ref="B7:B10"/>
    <mergeCell ref="C7:C10"/>
    <mergeCell ref="D7:D10"/>
  </mergeCells>
  <printOptions horizontalCentered="1"/>
  <pageMargins left="0.5905511811023623" right="0.5905511811023623" top="0.6692913385826772" bottom="0.6692913385826772" header="0.5118110236220472" footer="0.4330708661417323"/>
  <pageSetup firstPageNumber="25" useFirstPageNumber="1" horizontalDpi="300" verticalDpi="300" orientation="landscape" paperSize="9" scale="95" r:id="rId2"/>
  <headerFooter alignWithMargins="0">
    <oddHeader>&amp;L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" sqref="A2"/>
    </sheetView>
  </sheetViews>
  <sheetFormatPr defaultColWidth="9.00390625" defaultRowHeight="12.75"/>
  <cols>
    <col min="1" max="1" width="6.75390625" style="709" customWidth="1"/>
    <col min="2" max="2" width="65.75390625" style="709" customWidth="1"/>
    <col min="3" max="9" width="14.75390625" style="709" customWidth="1"/>
    <col min="10" max="10" width="11.625" style="709" bestFit="1" customWidth="1"/>
    <col min="11" max="11" width="12.125" style="709" bestFit="1" customWidth="1"/>
    <col min="12" max="16384" width="9.125" style="709" customWidth="1"/>
  </cols>
  <sheetData>
    <row r="1" spans="2:8" ht="18" customHeight="1">
      <c r="B1" s="850"/>
      <c r="F1" s="851"/>
      <c r="G1" s="852" t="s">
        <v>143</v>
      </c>
      <c r="H1" s="851"/>
    </row>
    <row r="2" spans="2:8" ht="18" customHeight="1">
      <c r="B2" s="853" t="s">
        <v>144</v>
      </c>
      <c r="C2" s="851"/>
      <c r="D2" s="851"/>
      <c r="E2" s="851"/>
      <c r="F2" s="851"/>
      <c r="G2" s="852" t="s">
        <v>873</v>
      </c>
      <c r="H2" s="851"/>
    </row>
    <row r="3" spans="2:8" ht="18" customHeight="1">
      <c r="B3" s="854"/>
      <c r="C3" s="855"/>
      <c r="D3" s="855"/>
      <c r="E3" s="855"/>
      <c r="G3" s="856" t="s">
        <v>884</v>
      </c>
      <c r="H3" s="855"/>
    </row>
    <row r="4" spans="2:8" ht="18" customHeight="1">
      <c r="B4" s="857"/>
      <c r="C4" s="855"/>
      <c r="D4" s="855"/>
      <c r="E4" s="855"/>
      <c r="F4" s="855"/>
      <c r="G4" s="856" t="s">
        <v>874</v>
      </c>
      <c r="H4" s="855"/>
    </row>
    <row r="5" ht="18" customHeight="1">
      <c r="B5" s="857"/>
    </row>
    <row r="6" spans="1:8" ht="18" customHeight="1" thickBot="1">
      <c r="A6" s="858"/>
      <c r="B6" s="564"/>
      <c r="C6" s="564"/>
      <c r="D6" s="564"/>
      <c r="E6" s="564"/>
      <c r="F6" s="564"/>
      <c r="H6" s="859" t="s">
        <v>450</v>
      </c>
    </row>
    <row r="7" spans="1:8" ht="66" customHeight="1" thickBot="1" thickTop="1">
      <c r="A7" s="860" t="s">
        <v>530</v>
      </c>
      <c r="B7" s="861" t="s">
        <v>145</v>
      </c>
      <c r="C7" s="701" t="s">
        <v>146</v>
      </c>
      <c r="D7" s="701" t="s">
        <v>147</v>
      </c>
      <c r="E7" s="701" t="s">
        <v>148</v>
      </c>
      <c r="F7" s="701" t="s">
        <v>149</v>
      </c>
      <c r="G7" s="701" t="s">
        <v>150</v>
      </c>
      <c r="H7" s="701" t="s">
        <v>151</v>
      </c>
    </row>
    <row r="8" spans="1:8" s="865" customFormat="1" ht="14.25" customHeight="1" thickBot="1" thickTop="1">
      <c r="A8" s="862">
        <v>1</v>
      </c>
      <c r="B8" s="863">
        <v>2</v>
      </c>
      <c r="C8" s="864">
        <v>3</v>
      </c>
      <c r="D8" s="864">
        <v>4</v>
      </c>
      <c r="E8" s="864">
        <v>5</v>
      </c>
      <c r="F8" s="864">
        <v>6</v>
      </c>
      <c r="G8" s="864">
        <v>7</v>
      </c>
      <c r="H8" s="864">
        <v>8</v>
      </c>
    </row>
    <row r="9" spans="1:10" ht="21.75" customHeight="1" thickTop="1">
      <c r="A9" s="866"/>
      <c r="B9" s="867" t="s">
        <v>152</v>
      </c>
      <c r="C9" s="868">
        <f>C16+C12+C18+C10</f>
        <v>32506000</v>
      </c>
      <c r="D9" s="868">
        <f>D16+D12+D18+D10</f>
        <v>34371000</v>
      </c>
      <c r="E9" s="868">
        <f>E10+E12+E14</f>
        <v>29901898</v>
      </c>
      <c r="F9" s="868">
        <f>F16+F12+F18+F10</f>
        <v>14950000</v>
      </c>
      <c r="G9" s="869">
        <f>G16+G12+G18+G10</f>
        <v>15090000</v>
      </c>
      <c r="H9" s="869">
        <f>H16+H12+H18+H10</f>
        <v>15089599</v>
      </c>
      <c r="J9" s="710"/>
    </row>
    <row r="10" spans="1:13" s="848" customFormat="1" ht="45" customHeight="1">
      <c r="A10" s="870">
        <v>943</v>
      </c>
      <c r="B10" s="871" t="s">
        <v>153</v>
      </c>
      <c r="C10" s="872">
        <f>C11</f>
        <v>3500000</v>
      </c>
      <c r="D10" s="872">
        <f>D11</f>
        <v>3500000</v>
      </c>
      <c r="E10" s="872"/>
      <c r="F10" s="872"/>
      <c r="G10" s="872"/>
      <c r="H10" s="872"/>
      <c r="J10" s="873"/>
      <c r="K10" s="873"/>
      <c r="L10" s="873"/>
      <c r="M10" s="873"/>
    </row>
    <row r="11" spans="1:13" s="848" customFormat="1" ht="21" customHeight="1">
      <c r="A11" s="870"/>
      <c r="B11" s="874" t="s">
        <v>154</v>
      </c>
      <c r="C11" s="875">
        <v>3500000</v>
      </c>
      <c r="D11" s="875">
        <v>3500000</v>
      </c>
      <c r="E11" s="875"/>
      <c r="F11" s="872"/>
      <c r="G11" s="872"/>
      <c r="H11" s="875"/>
      <c r="I11" s="876"/>
      <c r="J11" s="873"/>
      <c r="K11" s="873"/>
      <c r="L11" s="873"/>
      <c r="M11" s="873"/>
    </row>
    <row r="12" spans="1:8" s="848" customFormat="1" ht="21" customHeight="1">
      <c r="A12" s="870">
        <v>952</v>
      </c>
      <c r="B12" s="877" t="s">
        <v>155</v>
      </c>
      <c r="C12" s="878">
        <f>C13</f>
        <v>29006000</v>
      </c>
      <c r="D12" s="878">
        <f>D13</f>
        <v>30871000</v>
      </c>
      <c r="E12" s="878">
        <f>E13</f>
        <v>28549123</v>
      </c>
      <c r="F12" s="878"/>
      <c r="G12" s="878"/>
      <c r="H12" s="878"/>
    </row>
    <row r="13" spans="1:8" s="848" customFormat="1" ht="21" customHeight="1">
      <c r="A13" s="879"/>
      <c r="B13" s="880" t="s">
        <v>156</v>
      </c>
      <c r="C13" s="881">
        <v>29006000</v>
      </c>
      <c r="D13" s="881">
        <v>30871000</v>
      </c>
      <c r="E13" s="881">
        <v>28549123</v>
      </c>
      <c r="F13" s="878"/>
      <c r="G13" s="878"/>
      <c r="H13" s="881"/>
    </row>
    <row r="14" spans="1:8" s="848" customFormat="1" ht="21" customHeight="1">
      <c r="A14" s="870">
        <v>957</v>
      </c>
      <c r="B14" s="877" t="s">
        <v>157</v>
      </c>
      <c r="C14" s="878"/>
      <c r="D14" s="878"/>
      <c r="E14" s="878">
        <f>E15</f>
        <v>1352775</v>
      </c>
      <c r="F14" s="878"/>
      <c r="G14" s="878"/>
      <c r="H14" s="878"/>
    </row>
    <row r="15" spans="1:8" s="848" customFormat="1" ht="30.75" customHeight="1">
      <c r="A15" s="879"/>
      <c r="B15" s="882" t="s">
        <v>158</v>
      </c>
      <c r="C15" s="881"/>
      <c r="D15" s="881"/>
      <c r="E15" s="881">
        <v>1352775</v>
      </c>
      <c r="F15" s="878"/>
      <c r="G15" s="878"/>
      <c r="H15" s="881"/>
    </row>
    <row r="16" spans="1:13" s="848" customFormat="1" ht="21" customHeight="1">
      <c r="A16" s="870">
        <v>982</v>
      </c>
      <c r="B16" s="877" t="s">
        <v>159</v>
      </c>
      <c r="C16" s="878"/>
      <c r="D16" s="878"/>
      <c r="E16" s="878"/>
      <c r="F16" s="878">
        <f>F17</f>
        <v>11000000</v>
      </c>
      <c r="G16" s="878">
        <f>G17</f>
        <v>11000000</v>
      </c>
      <c r="H16" s="878">
        <f>H17</f>
        <v>11000000</v>
      </c>
      <c r="J16" s="883"/>
      <c r="K16" s="883"/>
      <c r="L16" s="883"/>
      <c r="M16" s="883"/>
    </row>
    <row r="17" spans="1:8" s="848" customFormat="1" ht="21" customHeight="1">
      <c r="A17" s="879"/>
      <c r="B17" s="882" t="s">
        <v>160</v>
      </c>
      <c r="C17" s="881"/>
      <c r="D17" s="881"/>
      <c r="E17" s="881"/>
      <c r="F17" s="881">
        <v>11000000</v>
      </c>
      <c r="G17" s="881">
        <v>11000000</v>
      </c>
      <c r="H17" s="881">
        <v>11000000</v>
      </c>
    </row>
    <row r="18" spans="1:8" s="848" customFormat="1" ht="21" customHeight="1">
      <c r="A18" s="870">
        <v>992</v>
      </c>
      <c r="B18" s="877" t="s">
        <v>161</v>
      </c>
      <c r="C18" s="878"/>
      <c r="D18" s="878"/>
      <c r="E18" s="878"/>
      <c r="F18" s="878">
        <f>SUM(F19:F19)</f>
        <v>3950000</v>
      </c>
      <c r="G18" s="878">
        <f>SUM(G19:G19)</f>
        <v>4090000</v>
      </c>
      <c r="H18" s="878">
        <f>SUM(H19:H19)</f>
        <v>4089599</v>
      </c>
    </row>
    <row r="19" spans="1:8" s="848" customFormat="1" ht="21" customHeight="1">
      <c r="A19" s="879"/>
      <c r="B19" s="884" t="s">
        <v>162</v>
      </c>
      <c r="C19" s="885"/>
      <c r="D19" s="885"/>
      <c r="E19" s="885"/>
      <c r="F19" s="885">
        <v>3950000</v>
      </c>
      <c r="G19" s="885">
        <v>4090000</v>
      </c>
      <c r="H19" s="885">
        <v>4089599</v>
      </c>
    </row>
    <row r="20" spans="1:9" ht="7.5" customHeight="1">
      <c r="A20" s="767"/>
      <c r="B20" s="767"/>
      <c r="C20" s="767"/>
      <c r="D20" s="767"/>
      <c r="E20" s="767"/>
      <c r="F20" s="767"/>
      <c r="G20" s="767"/>
      <c r="H20" s="767"/>
      <c r="I20" s="564"/>
    </row>
    <row r="21" spans="1:10" ht="15.75" customHeight="1">
      <c r="A21" s="564"/>
      <c r="B21" s="886"/>
      <c r="C21" s="564"/>
      <c r="D21" s="564"/>
      <c r="E21" s="564"/>
      <c r="F21" s="564"/>
      <c r="G21" s="564"/>
      <c r="H21" s="564"/>
      <c r="I21" s="887"/>
      <c r="J21" s="564"/>
    </row>
    <row r="22" spans="2:9" s="28" customFormat="1" ht="14.25">
      <c r="B22"/>
      <c r="E22" s="375" t="s">
        <v>330</v>
      </c>
      <c r="F22"/>
      <c r="G22" s="365"/>
      <c r="H22"/>
      <c r="I22" s="37"/>
    </row>
    <row r="23" spans="2:9" s="28" customFormat="1" ht="14.25">
      <c r="B23"/>
      <c r="E23" s="694" t="s">
        <v>331</v>
      </c>
      <c r="F23"/>
      <c r="G23" s="365"/>
      <c r="H23"/>
      <c r="I23" s="37"/>
    </row>
    <row r="25" ht="18.75" customHeight="1"/>
  </sheetData>
  <printOptions horizontalCentered="1"/>
  <pageMargins left="0.5905511811023623" right="0.5905511811023623" top="0.7086614173228347" bottom="0.6692913385826772" header="0.5118110236220472" footer="0.5118110236220472"/>
  <pageSetup firstPageNumber="49" useFirstPageNumber="1"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.25390625" style="889" customWidth="1"/>
    <col min="2" max="2" width="7.75390625" style="889" customWidth="1"/>
    <col min="3" max="3" width="48.375" style="0" customWidth="1"/>
    <col min="4" max="4" width="15.75390625" style="0" customWidth="1"/>
    <col min="5" max="7" width="15.75390625" style="0" hidden="1" customWidth="1"/>
    <col min="8" max="8" width="15.25390625" style="0" customWidth="1"/>
    <col min="9" max="9" width="15.125" style="0" customWidth="1"/>
    <col min="10" max="10" width="15.00390625" style="0" customWidth="1"/>
    <col min="11" max="11" width="14.125" style="0" customWidth="1"/>
    <col min="12" max="13" width="15.00390625" style="0" customWidth="1"/>
    <col min="14" max="14" width="14.625" style="0" customWidth="1"/>
    <col min="15" max="15" width="14.25390625" style="0" customWidth="1"/>
    <col min="16" max="17" width="11.75390625" style="0" customWidth="1"/>
  </cols>
  <sheetData>
    <row r="1" spans="5:15" ht="19.5" customHeight="1">
      <c r="E1" s="890"/>
      <c r="I1" s="890"/>
      <c r="M1" s="890"/>
      <c r="O1" s="890" t="s">
        <v>163</v>
      </c>
    </row>
    <row r="2" spans="1:15" s="699" customFormat="1" ht="19.5" customHeight="1">
      <c r="A2" s="891"/>
      <c r="B2" s="892" t="s">
        <v>164</v>
      </c>
      <c r="C2" s="695"/>
      <c r="E2" s="890"/>
      <c r="I2" s="890"/>
      <c r="M2" s="890"/>
      <c r="O2" s="890" t="s">
        <v>873</v>
      </c>
    </row>
    <row r="3" spans="5:15" ht="19.5" customHeight="1">
      <c r="E3" s="890"/>
      <c r="I3" s="890"/>
      <c r="M3" s="890"/>
      <c r="O3" s="890" t="s">
        <v>884</v>
      </c>
    </row>
    <row r="4" spans="5:15" ht="19.5" customHeight="1">
      <c r="E4" s="890"/>
      <c r="I4" s="890"/>
      <c r="M4" s="890"/>
      <c r="O4" s="890" t="s">
        <v>874</v>
      </c>
    </row>
    <row r="5" spans="5:13" ht="19.5" customHeight="1">
      <c r="E5" s="695"/>
      <c r="I5" s="695"/>
      <c r="M5" s="695"/>
    </row>
    <row r="6" spans="6:17" ht="19.5" customHeight="1" thickBot="1">
      <c r="F6" s="709"/>
      <c r="G6" s="709" t="s">
        <v>450</v>
      </c>
      <c r="J6" s="709"/>
      <c r="K6" s="709"/>
      <c r="N6" s="709"/>
      <c r="O6" s="709"/>
      <c r="Q6" s="859" t="s">
        <v>450</v>
      </c>
    </row>
    <row r="7" spans="1:17" s="848" customFormat="1" ht="21.75" customHeight="1" thickBot="1" thickTop="1">
      <c r="A7" s="893"/>
      <c r="B7" s="893"/>
      <c r="C7" s="894"/>
      <c r="D7" s="1823" t="s">
        <v>165</v>
      </c>
      <c r="E7" s="895" t="s">
        <v>965</v>
      </c>
      <c r="F7" s="895"/>
      <c r="G7" s="896"/>
      <c r="H7" s="1820" t="s">
        <v>166</v>
      </c>
      <c r="I7" s="897" t="s">
        <v>965</v>
      </c>
      <c r="J7" s="898"/>
      <c r="K7" s="899"/>
      <c r="L7" s="1820" t="s">
        <v>167</v>
      </c>
      <c r="M7" s="897" t="s">
        <v>965</v>
      </c>
      <c r="N7" s="898"/>
      <c r="O7" s="899"/>
      <c r="P7" s="900"/>
      <c r="Q7" s="900"/>
    </row>
    <row r="8" spans="1:17" s="848" customFormat="1" ht="21.75" customHeight="1" thickTop="1">
      <c r="A8" s="901" t="s">
        <v>964</v>
      </c>
      <c r="B8" s="901" t="s">
        <v>529</v>
      </c>
      <c r="C8" s="902" t="s">
        <v>168</v>
      </c>
      <c r="D8" s="1824"/>
      <c r="E8" s="903" t="s">
        <v>169</v>
      </c>
      <c r="F8" s="904" t="s">
        <v>170</v>
      </c>
      <c r="G8" s="905" t="s">
        <v>171</v>
      </c>
      <c r="H8" s="1821"/>
      <c r="I8" s="1818" t="s">
        <v>172</v>
      </c>
      <c r="J8" s="1826" t="s">
        <v>173</v>
      </c>
      <c r="K8" s="1828" t="s">
        <v>174</v>
      </c>
      <c r="L8" s="1821"/>
      <c r="M8" s="1818" t="s">
        <v>172</v>
      </c>
      <c r="N8" s="1826" t="s">
        <v>173</v>
      </c>
      <c r="O8" s="1828" t="s">
        <v>174</v>
      </c>
      <c r="P8" s="1821" t="s">
        <v>175</v>
      </c>
      <c r="Q8" s="1821" t="s">
        <v>176</v>
      </c>
    </row>
    <row r="9" spans="1:17" s="848" customFormat="1" ht="21.75" customHeight="1">
      <c r="A9" s="906"/>
      <c r="B9" s="906"/>
      <c r="C9" s="902" t="s">
        <v>177</v>
      </c>
      <c r="D9" s="1824"/>
      <c r="E9" s="907" t="s">
        <v>178</v>
      </c>
      <c r="F9" s="908" t="s">
        <v>179</v>
      </c>
      <c r="G9" s="909" t="s">
        <v>180</v>
      </c>
      <c r="H9" s="1821"/>
      <c r="I9" s="1818"/>
      <c r="J9" s="1826"/>
      <c r="K9" s="1828"/>
      <c r="L9" s="1821"/>
      <c r="M9" s="1818"/>
      <c r="N9" s="1826"/>
      <c r="O9" s="1828"/>
      <c r="P9" s="1830"/>
      <c r="Q9" s="1821"/>
    </row>
    <row r="10" spans="1:17" s="848" customFormat="1" ht="30.75" customHeight="1" thickBot="1">
      <c r="A10" s="910"/>
      <c r="B10" s="910"/>
      <c r="C10" s="911"/>
      <c r="D10" s="1825"/>
      <c r="E10" s="912" t="s">
        <v>181</v>
      </c>
      <c r="F10" s="913" t="s">
        <v>182</v>
      </c>
      <c r="G10" s="914" t="s">
        <v>183</v>
      </c>
      <c r="H10" s="1822"/>
      <c r="I10" s="1819"/>
      <c r="J10" s="1827"/>
      <c r="K10" s="1829"/>
      <c r="L10" s="1822"/>
      <c r="M10" s="1819"/>
      <c r="N10" s="1827"/>
      <c r="O10" s="1829"/>
      <c r="P10" s="1383"/>
      <c r="Q10" s="1822"/>
    </row>
    <row r="11" spans="1:17" s="859" customFormat="1" ht="15.75" thickBot="1" thickTop="1">
      <c r="A11" s="915">
        <v>1</v>
      </c>
      <c r="B11" s="915">
        <v>2</v>
      </c>
      <c r="C11" s="916">
        <v>3</v>
      </c>
      <c r="D11" s="916">
        <v>4</v>
      </c>
      <c r="E11" s="916"/>
      <c r="F11" s="916"/>
      <c r="G11" s="916"/>
      <c r="H11" s="916">
        <v>5</v>
      </c>
      <c r="I11" s="916">
        <v>6</v>
      </c>
      <c r="J11" s="916">
        <v>7</v>
      </c>
      <c r="K11" s="916">
        <v>8</v>
      </c>
      <c r="L11" s="916">
        <v>9</v>
      </c>
      <c r="M11" s="916">
        <v>10</v>
      </c>
      <c r="N11" s="916">
        <v>11</v>
      </c>
      <c r="O11" s="916">
        <v>12</v>
      </c>
      <c r="P11" s="916">
        <v>13</v>
      </c>
      <c r="Q11" s="916">
        <v>14</v>
      </c>
    </row>
    <row r="12" spans="1:17" s="924" customFormat="1" ht="27" customHeight="1" thickBot="1" thickTop="1">
      <c r="A12" s="917"/>
      <c r="B12" s="917"/>
      <c r="C12" s="918" t="s">
        <v>184</v>
      </c>
      <c r="D12" s="919">
        <f>D14+D168</f>
        <v>88785450</v>
      </c>
      <c r="E12" s="920" t="e">
        <f>E14+E168+#REF!</f>
        <v>#REF!</v>
      </c>
      <c r="F12" s="919">
        <f>F14+F168</f>
        <v>65305868</v>
      </c>
      <c r="G12" s="921" t="e">
        <f>G14+G168</f>
        <v>#REF!</v>
      </c>
      <c r="H12" s="919">
        <f>I12+J12+K12</f>
        <v>99152686</v>
      </c>
      <c r="I12" s="920">
        <f>I14+I168</f>
        <v>67394512</v>
      </c>
      <c r="J12" s="920">
        <f>J14+J168</f>
        <v>23911515</v>
      </c>
      <c r="K12" s="920">
        <f>K14+K168</f>
        <v>7846659</v>
      </c>
      <c r="L12" s="922">
        <f>SUM(M12:O12)</f>
        <v>94502485.94</v>
      </c>
      <c r="M12" s="919">
        <f>M14+M168</f>
        <v>53997719.04</v>
      </c>
      <c r="N12" s="919">
        <f>N14+N168</f>
        <v>33509213</v>
      </c>
      <c r="O12" s="919">
        <f>O14+O168</f>
        <v>6995553.9</v>
      </c>
      <c r="P12" s="923">
        <f>L12/H12</f>
        <v>0.9531006143393835</v>
      </c>
      <c r="Q12" s="923">
        <f>M12/I12</f>
        <v>0.8012183401520884</v>
      </c>
    </row>
    <row r="13" spans="1:17" s="934" customFormat="1" ht="15" customHeight="1">
      <c r="A13" s="925"/>
      <c r="B13" s="925"/>
      <c r="C13" s="926" t="s">
        <v>965</v>
      </c>
      <c r="D13" s="927"/>
      <c r="E13" s="928"/>
      <c r="F13" s="927"/>
      <c r="G13" s="929"/>
      <c r="H13" s="927"/>
      <c r="I13" s="930"/>
      <c r="J13" s="931"/>
      <c r="K13" s="931"/>
      <c r="L13" s="932"/>
      <c r="M13" s="930"/>
      <c r="N13" s="931"/>
      <c r="O13" s="931"/>
      <c r="P13" s="933"/>
      <c r="Q13" s="933"/>
    </row>
    <row r="14" spans="1:17" s="941" customFormat="1" ht="21.75" customHeight="1" thickBot="1">
      <c r="A14" s="935"/>
      <c r="B14" s="935"/>
      <c r="C14" s="936" t="s">
        <v>984</v>
      </c>
      <c r="D14" s="937">
        <f>D15+D39+D44+D51+D56+D60+D68+D94+D101+D118+D125+D147+D158</f>
        <v>88769450</v>
      </c>
      <c r="E14" s="938" t="e">
        <f>E15+E44+E56+E60+E68+E94+E101+E118+E125+E147+E158</f>
        <v>#REF!</v>
      </c>
      <c r="F14" s="937">
        <f>F15+F44+F56+F60+F68+F94+F101+F118+F125+F147+F158</f>
        <v>65305868</v>
      </c>
      <c r="G14" s="936">
        <f>G15+G44+G56+G60+G68+G94+G101+G118+G125+G147+G158</f>
        <v>25069034</v>
      </c>
      <c r="H14" s="937">
        <f aca="true" t="shared" si="0" ref="H14:H37">I14+J14+K14</f>
        <v>98838196</v>
      </c>
      <c r="I14" s="938">
        <f>I15+I44+I56+I60+I68+I94+I101+I118+I125+I147+I158+I39+I51</f>
        <v>67394512</v>
      </c>
      <c r="J14" s="937">
        <f>J15+J44+J56+J60+J68+J94+J101+J118+J125+J147+J158+J39</f>
        <v>23911515</v>
      </c>
      <c r="K14" s="937">
        <f>K15+K44+K56+K60+K68+K94+K101+K118+K125+K147+K158</f>
        <v>7532169</v>
      </c>
      <c r="L14" s="939">
        <f aca="true" t="shared" si="1" ref="L14:L37">SUM(M14:O14)</f>
        <v>94188247.94</v>
      </c>
      <c r="M14" s="938">
        <f>M15+M44+M56+M60+M68+M94+M101+M118+M125+M147+M158+M39+M51</f>
        <v>53997719.04</v>
      </c>
      <c r="N14" s="938">
        <f>N15+N44+N56+N60+N68+N94+N101+N118+N125+N147+N158+N39</f>
        <v>33509213</v>
      </c>
      <c r="O14" s="938">
        <f>O15+O101+O125</f>
        <v>6681315.9</v>
      </c>
      <c r="P14" s="940">
        <f aca="true" t="shared" si="2" ref="P14:P41">L14/H14</f>
        <v>0.9529539363506796</v>
      </c>
      <c r="Q14" s="940">
        <f aca="true" t="shared" si="3" ref="Q14:Q41">M14/I14</f>
        <v>0.8012183401520884</v>
      </c>
    </row>
    <row r="15" spans="1:17" s="948" customFormat="1" ht="22.5" customHeight="1" thickTop="1">
      <c r="A15" s="942">
        <v>600</v>
      </c>
      <c r="B15" s="942"/>
      <c r="C15" s="943" t="s">
        <v>522</v>
      </c>
      <c r="D15" s="944">
        <f>D16+D30</f>
        <v>34699850</v>
      </c>
      <c r="E15" s="945">
        <f>E16+E30</f>
        <v>10000</v>
      </c>
      <c r="F15" s="944">
        <f>F16+F30</f>
        <v>17129800</v>
      </c>
      <c r="G15" s="943"/>
      <c r="H15" s="944">
        <f t="shared" si="0"/>
        <v>31525023</v>
      </c>
      <c r="I15" s="945">
        <f>I16+I30</f>
        <v>24439150</v>
      </c>
      <c r="J15" s="944">
        <f>J16+J30</f>
        <v>540000</v>
      </c>
      <c r="K15" s="944">
        <f>K16+K30</f>
        <v>6545873</v>
      </c>
      <c r="L15" s="946">
        <f t="shared" si="1"/>
        <v>31225329.009999998</v>
      </c>
      <c r="M15" s="944">
        <f>M16+M30</f>
        <v>14159745.109999998</v>
      </c>
      <c r="N15" s="944">
        <f>N16+N30</f>
        <v>10519711</v>
      </c>
      <c r="O15" s="944">
        <f>O16</f>
        <v>6545872.9</v>
      </c>
      <c r="P15" s="947">
        <f t="shared" si="2"/>
        <v>0.9904934568961297</v>
      </c>
      <c r="Q15" s="947">
        <f t="shared" si="3"/>
        <v>0.5793877900827156</v>
      </c>
    </row>
    <row r="16" spans="1:17" s="941" customFormat="1" ht="33" customHeight="1">
      <c r="A16" s="949"/>
      <c r="B16" s="950">
        <v>60015</v>
      </c>
      <c r="C16" s="951" t="s">
        <v>523</v>
      </c>
      <c r="D16" s="952">
        <f>SUM(D17:D29)</f>
        <v>31559000</v>
      </c>
      <c r="E16" s="953">
        <f>SUM(E17:E29)</f>
        <v>10000</v>
      </c>
      <c r="F16" s="952">
        <f>SUM(F17:F29)</f>
        <v>15279800</v>
      </c>
      <c r="G16" s="954"/>
      <c r="H16" s="952">
        <f t="shared" si="0"/>
        <v>30285973</v>
      </c>
      <c r="I16" s="953">
        <f>SUM(I17:I29)</f>
        <v>23740100</v>
      </c>
      <c r="J16" s="952"/>
      <c r="K16" s="952">
        <f>SUM(K17:K29)</f>
        <v>6545873</v>
      </c>
      <c r="L16" s="955">
        <f t="shared" si="1"/>
        <v>30035228.589999996</v>
      </c>
      <c r="M16" s="952">
        <f>SUM(M17:M29)</f>
        <v>13509644.689999998</v>
      </c>
      <c r="N16" s="952">
        <f>N18+N19+N24</f>
        <v>9979711</v>
      </c>
      <c r="O16" s="952">
        <f>O18+O20</f>
        <v>6545872.9</v>
      </c>
      <c r="P16" s="956">
        <f t="shared" si="2"/>
        <v>0.9917207741682922</v>
      </c>
      <c r="Q16" s="956">
        <f t="shared" si="3"/>
        <v>0.569064354825801</v>
      </c>
    </row>
    <row r="17" spans="1:17" s="948" customFormat="1" ht="21" customHeight="1">
      <c r="A17" s="957"/>
      <c r="B17" s="958"/>
      <c r="C17" s="959" t="s">
        <v>185</v>
      </c>
      <c r="D17" s="960">
        <v>500000</v>
      </c>
      <c r="E17" s="961"/>
      <c r="F17" s="962">
        <f>1071000+2500000</f>
        <v>3571000</v>
      </c>
      <c r="G17" s="963"/>
      <c r="H17" s="960">
        <f t="shared" si="0"/>
        <v>795000</v>
      </c>
      <c r="I17" s="962">
        <v>795000</v>
      </c>
      <c r="J17" s="962"/>
      <c r="K17" s="962"/>
      <c r="L17" s="964">
        <f t="shared" si="1"/>
        <v>793687</v>
      </c>
      <c r="M17" s="961">
        <v>793687</v>
      </c>
      <c r="N17" s="962"/>
      <c r="O17" s="962"/>
      <c r="P17" s="965">
        <f t="shared" si="2"/>
        <v>0.998348427672956</v>
      </c>
      <c r="Q17" s="965">
        <f t="shared" si="3"/>
        <v>0.998348427672956</v>
      </c>
    </row>
    <row r="18" spans="1:17" s="948" customFormat="1" ht="21" customHeight="1">
      <c r="A18" s="957"/>
      <c r="B18" s="957"/>
      <c r="C18" s="966" t="s">
        <v>186</v>
      </c>
      <c r="D18" s="960">
        <f>3000000+10500000</f>
        <v>13500000</v>
      </c>
      <c r="E18" s="967"/>
      <c r="F18" s="968">
        <v>3600000</v>
      </c>
      <c r="G18" s="966"/>
      <c r="H18" s="960">
        <f t="shared" si="0"/>
        <v>12507340</v>
      </c>
      <c r="I18" s="968">
        <v>8961467</v>
      </c>
      <c r="J18" s="968"/>
      <c r="K18" s="968">
        <v>3545873</v>
      </c>
      <c r="L18" s="964">
        <f t="shared" si="1"/>
        <v>12344365.899999999</v>
      </c>
      <c r="M18" s="967">
        <f>1284758.63+7513734.27-7979711</f>
        <v>818781.8999999985</v>
      </c>
      <c r="N18" s="968">
        <v>7979711</v>
      </c>
      <c r="O18" s="968">
        <v>3545873</v>
      </c>
      <c r="P18" s="969">
        <f t="shared" si="2"/>
        <v>0.986969723378432</v>
      </c>
      <c r="Q18" s="969">
        <f t="shared" si="3"/>
        <v>0.09136694918365469</v>
      </c>
    </row>
    <row r="19" spans="1:17" s="948" customFormat="1" ht="21" customHeight="1">
      <c r="A19" s="957"/>
      <c r="B19" s="957"/>
      <c r="C19" s="970" t="s">
        <v>187</v>
      </c>
      <c r="D19" s="960">
        <v>1100000</v>
      </c>
      <c r="E19" s="971"/>
      <c r="F19" s="972">
        <v>2540000</v>
      </c>
      <c r="G19" s="970"/>
      <c r="H19" s="960">
        <f t="shared" si="0"/>
        <v>2290000</v>
      </c>
      <c r="I19" s="972">
        <v>2290000</v>
      </c>
      <c r="J19" s="972"/>
      <c r="K19" s="972"/>
      <c r="L19" s="964">
        <f t="shared" si="1"/>
        <v>2226220</v>
      </c>
      <c r="M19" s="971">
        <f>2226220-852436</f>
        <v>1373784</v>
      </c>
      <c r="N19" s="972">
        <v>852436</v>
      </c>
      <c r="O19" s="972"/>
      <c r="P19" s="973">
        <f t="shared" si="2"/>
        <v>0.9721484716157205</v>
      </c>
      <c r="Q19" s="973">
        <f t="shared" si="3"/>
        <v>0.5999056768558952</v>
      </c>
    </row>
    <row r="20" spans="1:17" s="948" customFormat="1" ht="31.5" customHeight="1">
      <c r="A20" s="957"/>
      <c r="B20" s="957"/>
      <c r="C20" s="974" t="s">
        <v>188</v>
      </c>
      <c r="D20" s="960">
        <v>1000000</v>
      </c>
      <c r="E20" s="971"/>
      <c r="F20" s="972">
        <v>1250000</v>
      </c>
      <c r="G20" s="970"/>
      <c r="H20" s="960">
        <f t="shared" si="0"/>
        <v>4000533</v>
      </c>
      <c r="I20" s="972">
        <v>1000533</v>
      </c>
      <c r="J20" s="972"/>
      <c r="K20" s="972">
        <v>3000000</v>
      </c>
      <c r="L20" s="964">
        <f t="shared" si="1"/>
        <v>4000532.9</v>
      </c>
      <c r="M20" s="971">
        <v>1000533</v>
      </c>
      <c r="N20" s="972"/>
      <c r="O20" s="972">
        <f>2758651.9+241348</f>
        <v>2999999.9</v>
      </c>
      <c r="P20" s="973">
        <f t="shared" si="2"/>
        <v>0.9999999750033308</v>
      </c>
      <c r="Q20" s="973">
        <f t="shared" si="3"/>
        <v>1</v>
      </c>
    </row>
    <row r="21" spans="1:17" s="948" customFormat="1" ht="31.5" customHeight="1">
      <c r="A21" s="957"/>
      <c r="B21" s="957"/>
      <c r="C21" s="974" t="s">
        <v>189</v>
      </c>
      <c r="D21" s="960">
        <f>600000+100000</f>
        <v>700000</v>
      </c>
      <c r="E21" s="971"/>
      <c r="F21" s="972">
        <v>1158800</v>
      </c>
      <c r="G21" s="970"/>
      <c r="H21" s="960">
        <f t="shared" si="0"/>
        <v>1655850</v>
      </c>
      <c r="I21" s="972">
        <f>1550000+105850</f>
        <v>1655850</v>
      </c>
      <c r="J21" s="972"/>
      <c r="K21" s="972"/>
      <c r="L21" s="964">
        <f t="shared" si="1"/>
        <v>1655136.79</v>
      </c>
      <c r="M21" s="971">
        <f>1549293.35+105843.44</f>
        <v>1655136.79</v>
      </c>
      <c r="N21" s="972"/>
      <c r="O21" s="972"/>
      <c r="P21" s="973">
        <f t="shared" si="2"/>
        <v>0.9995692786182323</v>
      </c>
      <c r="Q21" s="973">
        <f t="shared" si="3"/>
        <v>0.9995692786182323</v>
      </c>
    </row>
    <row r="22" spans="1:17" s="948" customFormat="1" ht="31.5" customHeight="1">
      <c r="A22" s="957"/>
      <c r="B22" s="957"/>
      <c r="C22" s="974" t="s">
        <v>190</v>
      </c>
      <c r="D22" s="960">
        <v>979000</v>
      </c>
      <c r="E22" s="971"/>
      <c r="F22" s="972">
        <v>1000000</v>
      </c>
      <c r="G22" s="970"/>
      <c r="H22" s="960">
        <f t="shared" si="0"/>
        <v>979000</v>
      </c>
      <c r="I22" s="972">
        <v>979000</v>
      </c>
      <c r="J22" s="972"/>
      <c r="K22" s="972"/>
      <c r="L22" s="964">
        <f t="shared" si="1"/>
        <v>970792</v>
      </c>
      <c r="M22" s="971">
        <v>970792</v>
      </c>
      <c r="N22" s="972"/>
      <c r="O22" s="972"/>
      <c r="P22" s="973">
        <f t="shared" si="2"/>
        <v>0.9916159346271706</v>
      </c>
      <c r="Q22" s="973">
        <f t="shared" si="3"/>
        <v>0.9916159346271706</v>
      </c>
    </row>
    <row r="23" spans="1:17" s="948" customFormat="1" ht="48" customHeight="1">
      <c r="A23" s="957"/>
      <c r="B23" s="957"/>
      <c r="C23" s="974" t="s">
        <v>191</v>
      </c>
      <c r="D23" s="972">
        <v>3000000</v>
      </c>
      <c r="E23" s="971"/>
      <c r="F23" s="972">
        <v>270000</v>
      </c>
      <c r="G23" s="970"/>
      <c r="H23" s="972">
        <f t="shared" si="0"/>
        <v>63950</v>
      </c>
      <c r="I23" s="972">
        <v>63950</v>
      </c>
      <c r="J23" s="972"/>
      <c r="K23" s="975"/>
      <c r="L23" s="964">
        <f t="shared" si="1"/>
        <v>63598</v>
      </c>
      <c r="M23" s="971">
        <v>63598</v>
      </c>
      <c r="N23" s="972"/>
      <c r="O23" s="972"/>
      <c r="P23" s="973">
        <f t="shared" si="2"/>
        <v>0.9944956997654417</v>
      </c>
      <c r="Q23" s="973">
        <f t="shared" si="3"/>
        <v>0.9944956997654417</v>
      </c>
    </row>
    <row r="24" spans="1:17" s="948" customFormat="1" ht="31.5" customHeight="1">
      <c r="A24" s="957"/>
      <c r="B24" s="957"/>
      <c r="C24" s="974" t="s">
        <v>192</v>
      </c>
      <c r="D24" s="972">
        <v>7500000</v>
      </c>
      <c r="E24" s="971"/>
      <c r="F24" s="972">
        <v>200000</v>
      </c>
      <c r="G24" s="970"/>
      <c r="H24" s="972">
        <f t="shared" si="0"/>
        <v>5978000</v>
      </c>
      <c r="I24" s="972">
        <v>5978000</v>
      </c>
      <c r="J24" s="972"/>
      <c r="K24" s="972"/>
      <c r="L24" s="964">
        <f t="shared" si="1"/>
        <v>5975853</v>
      </c>
      <c r="M24" s="971">
        <f>5975853-1147564</f>
        <v>4828289</v>
      </c>
      <c r="N24" s="972">
        <v>1147564</v>
      </c>
      <c r="O24" s="972"/>
      <c r="P24" s="973">
        <f t="shared" si="2"/>
        <v>0.999640849782536</v>
      </c>
      <c r="Q24" s="973">
        <f t="shared" si="3"/>
        <v>0.8076763131482101</v>
      </c>
    </row>
    <row r="25" spans="1:17" s="948" customFormat="1" ht="31.5" customHeight="1">
      <c r="A25" s="957"/>
      <c r="B25" s="957"/>
      <c r="C25" s="976" t="s">
        <v>193</v>
      </c>
      <c r="D25" s="977">
        <v>1500000</v>
      </c>
      <c r="E25" s="967"/>
      <c r="F25" s="968">
        <v>600000</v>
      </c>
      <c r="G25" s="966"/>
      <c r="H25" s="977">
        <f t="shared" si="0"/>
        <v>142000</v>
      </c>
      <c r="I25" s="968">
        <v>142000</v>
      </c>
      <c r="J25" s="968"/>
      <c r="K25" s="968"/>
      <c r="L25" s="964">
        <f t="shared" si="1"/>
        <v>141452</v>
      </c>
      <c r="M25" s="967">
        <v>141452</v>
      </c>
      <c r="N25" s="968"/>
      <c r="O25" s="968"/>
      <c r="P25" s="973">
        <f t="shared" si="2"/>
        <v>0.9961408450704226</v>
      </c>
      <c r="Q25" s="973">
        <f t="shared" si="3"/>
        <v>0.9961408450704226</v>
      </c>
    </row>
    <row r="26" spans="1:17" s="948" customFormat="1" ht="48" customHeight="1">
      <c r="A26" s="957"/>
      <c r="B26" s="957"/>
      <c r="C26" s="978" t="s">
        <v>194</v>
      </c>
      <c r="D26" s="960">
        <v>1000000</v>
      </c>
      <c r="E26" s="971"/>
      <c r="F26" s="972">
        <v>500000</v>
      </c>
      <c r="G26" s="970"/>
      <c r="H26" s="960">
        <f t="shared" si="0"/>
        <v>760000</v>
      </c>
      <c r="I26" s="972">
        <v>760000</v>
      </c>
      <c r="J26" s="972"/>
      <c r="K26" s="972"/>
      <c r="L26" s="964">
        <f t="shared" si="1"/>
        <v>753980</v>
      </c>
      <c r="M26" s="971">
        <v>753980</v>
      </c>
      <c r="N26" s="972"/>
      <c r="O26" s="972"/>
      <c r="P26" s="973">
        <f t="shared" si="2"/>
        <v>0.9920789473684211</v>
      </c>
      <c r="Q26" s="973">
        <f t="shared" si="3"/>
        <v>0.9920789473684211</v>
      </c>
    </row>
    <row r="27" spans="1:17" s="948" customFormat="1" ht="31.5" customHeight="1">
      <c r="A27" s="957"/>
      <c r="B27" s="957"/>
      <c r="C27" s="978" t="s">
        <v>195</v>
      </c>
      <c r="D27" s="960">
        <v>300000</v>
      </c>
      <c r="E27" s="979">
        <v>10000</v>
      </c>
      <c r="F27" s="960">
        <v>360000</v>
      </c>
      <c r="G27" s="980"/>
      <c r="H27" s="960">
        <f t="shared" si="0"/>
        <v>330000</v>
      </c>
      <c r="I27" s="972">
        <v>330000</v>
      </c>
      <c r="J27" s="972"/>
      <c r="K27" s="975"/>
      <c r="L27" s="964">
        <f t="shared" si="1"/>
        <v>329426</v>
      </c>
      <c r="M27" s="979">
        <v>329426</v>
      </c>
      <c r="N27" s="960"/>
      <c r="O27" s="960"/>
      <c r="P27" s="973">
        <f t="shared" si="2"/>
        <v>0.9982606060606061</v>
      </c>
      <c r="Q27" s="973">
        <f t="shared" si="3"/>
        <v>0.9982606060606061</v>
      </c>
    </row>
    <row r="28" spans="1:17" s="948" customFormat="1" ht="31.5" customHeight="1">
      <c r="A28" s="957"/>
      <c r="B28" s="957"/>
      <c r="C28" s="974" t="s">
        <v>196</v>
      </c>
      <c r="D28" s="972">
        <v>380000</v>
      </c>
      <c r="E28" s="971"/>
      <c r="F28" s="972">
        <v>200000</v>
      </c>
      <c r="G28" s="970"/>
      <c r="H28" s="972">
        <f t="shared" si="0"/>
        <v>400000</v>
      </c>
      <c r="I28" s="972">
        <v>400000</v>
      </c>
      <c r="J28" s="972"/>
      <c r="K28" s="972"/>
      <c r="L28" s="964">
        <f t="shared" si="1"/>
        <v>399831</v>
      </c>
      <c r="M28" s="971">
        <v>399831</v>
      </c>
      <c r="N28" s="972"/>
      <c r="O28" s="972"/>
      <c r="P28" s="973">
        <f t="shared" si="2"/>
        <v>0.9995775</v>
      </c>
      <c r="Q28" s="973">
        <f t="shared" si="3"/>
        <v>0.9995775</v>
      </c>
    </row>
    <row r="29" spans="1:17" s="948" customFormat="1" ht="20.25" customHeight="1">
      <c r="A29" s="957"/>
      <c r="B29" s="981"/>
      <c r="C29" s="982" t="s">
        <v>197</v>
      </c>
      <c r="D29" s="983">
        <v>100000</v>
      </c>
      <c r="E29" s="984"/>
      <c r="F29" s="983">
        <v>30000</v>
      </c>
      <c r="G29" s="982"/>
      <c r="H29" s="983">
        <f t="shared" si="0"/>
        <v>384300</v>
      </c>
      <c r="I29" s="983">
        <v>384300</v>
      </c>
      <c r="J29" s="983"/>
      <c r="K29" s="983"/>
      <c r="L29" s="985">
        <f t="shared" si="1"/>
        <v>380354</v>
      </c>
      <c r="M29" s="984">
        <v>380354</v>
      </c>
      <c r="N29" s="983"/>
      <c r="O29" s="983"/>
      <c r="P29" s="986">
        <f t="shared" si="2"/>
        <v>0.9897319802237835</v>
      </c>
      <c r="Q29" s="986">
        <f t="shared" si="3"/>
        <v>0.9897319802237835</v>
      </c>
    </row>
    <row r="30" spans="1:17" s="941" customFormat="1" ht="22.5" customHeight="1">
      <c r="A30" s="949"/>
      <c r="B30" s="935">
        <v>60016</v>
      </c>
      <c r="C30" s="987" t="s">
        <v>524</v>
      </c>
      <c r="D30" s="988">
        <f>SUM(D31:D37)</f>
        <v>3140850</v>
      </c>
      <c r="E30" s="989">
        <f>SUM(E31:E37)</f>
        <v>0</v>
      </c>
      <c r="F30" s="988">
        <f>SUM(F31:F37)</f>
        <v>1850000</v>
      </c>
      <c r="G30" s="987"/>
      <c r="H30" s="988">
        <f t="shared" si="0"/>
        <v>1239050</v>
      </c>
      <c r="I30" s="989">
        <f>SUM(I31:I38)</f>
        <v>699050</v>
      </c>
      <c r="J30" s="988">
        <f>SUM(J31:J37)</f>
        <v>540000</v>
      </c>
      <c r="K30" s="988"/>
      <c r="L30" s="990">
        <f t="shared" si="1"/>
        <v>1190100.42</v>
      </c>
      <c r="M30" s="988">
        <f>SUM(M31:M38)</f>
        <v>650100.4199999999</v>
      </c>
      <c r="N30" s="988">
        <f>SUM(N31:N37)</f>
        <v>540000</v>
      </c>
      <c r="O30" s="988"/>
      <c r="P30" s="991">
        <f t="shared" si="2"/>
        <v>0.9604942657681288</v>
      </c>
      <c r="Q30" s="991">
        <f t="shared" si="3"/>
        <v>0.9299769973535511</v>
      </c>
    </row>
    <row r="31" spans="1:17" s="948" customFormat="1" ht="31.5" customHeight="1">
      <c r="A31" s="981"/>
      <c r="B31" s="992"/>
      <c r="C31" s="993" t="s">
        <v>198</v>
      </c>
      <c r="D31" s="994">
        <v>1500000</v>
      </c>
      <c r="E31" s="995"/>
      <c r="F31" s="994">
        <v>500000</v>
      </c>
      <c r="G31" s="996"/>
      <c r="H31" s="994">
        <f t="shared" si="0"/>
        <v>3000</v>
      </c>
      <c r="I31" s="995">
        <v>3000</v>
      </c>
      <c r="J31" s="994"/>
      <c r="K31" s="994"/>
      <c r="L31" s="997">
        <f t="shared" si="1"/>
        <v>2196</v>
      </c>
      <c r="M31" s="995">
        <v>2196</v>
      </c>
      <c r="N31" s="994"/>
      <c r="O31" s="994"/>
      <c r="P31" s="998">
        <f t="shared" si="2"/>
        <v>0.732</v>
      </c>
      <c r="Q31" s="998">
        <f t="shared" si="3"/>
        <v>0.732</v>
      </c>
    </row>
    <row r="32" spans="1:17" s="948" customFormat="1" ht="21" customHeight="1">
      <c r="A32" s="957"/>
      <c r="B32" s="957"/>
      <c r="C32" s="999" t="s">
        <v>199</v>
      </c>
      <c r="D32" s="1000">
        <v>570000</v>
      </c>
      <c r="E32" s="1001"/>
      <c r="F32" s="1000">
        <v>300000</v>
      </c>
      <c r="G32" s="999"/>
      <c r="H32" s="1000">
        <f t="shared" si="0"/>
        <v>755000</v>
      </c>
      <c r="I32" s="1001">
        <v>215000</v>
      </c>
      <c r="J32" s="1000">
        <v>540000</v>
      </c>
      <c r="K32" s="1000"/>
      <c r="L32" s="1002">
        <f t="shared" si="1"/>
        <v>754178.4199999999</v>
      </c>
      <c r="M32" s="1001">
        <f>14177.5+7199.92+192800+1</f>
        <v>214178.41999999998</v>
      </c>
      <c r="N32" s="1000">
        <v>540000</v>
      </c>
      <c r="O32" s="1000"/>
      <c r="P32" s="1003">
        <f t="shared" si="2"/>
        <v>0.9989118145695364</v>
      </c>
      <c r="Q32" s="1004">
        <f t="shared" si="3"/>
        <v>0.9961786976744186</v>
      </c>
    </row>
    <row r="33" spans="1:17" s="948" customFormat="1" ht="21" customHeight="1">
      <c r="A33" s="957"/>
      <c r="B33" s="957"/>
      <c r="C33" s="974" t="s">
        <v>200</v>
      </c>
      <c r="D33" s="1005">
        <v>70850</v>
      </c>
      <c r="E33" s="971"/>
      <c r="F33" s="972">
        <v>250000</v>
      </c>
      <c r="G33" s="970"/>
      <c r="H33" s="1005">
        <f t="shared" si="0"/>
        <v>70850</v>
      </c>
      <c r="I33" s="971">
        <v>70850</v>
      </c>
      <c r="J33" s="972"/>
      <c r="K33" s="972"/>
      <c r="L33" s="1002">
        <f t="shared" si="1"/>
        <v>59828</v>
      </c>
      <c r="M33" s="971">
        <v>59828</v>
      </c>
      <c r="N33" s="972"/>
      <c r="O33" s="972"/>
      <c r="P33" s="1003">
        <f t="shared" si="2"/>
        <v>0.8444318983768525</v>
      </c>
      <c r="Q33" s="1006">
        <f t="shared" si="3"/>
        <v>0.8444318983768525</v>
      </c>
    </row>
    <row r="34" spans="1:17" s="948" customFormat="1" ht="31.5" customHeight="1">
      <c r="A34" s="957"/>
      <c r="B34" s="957"/>
      <c r="C34" s="976" t="s">
        <v>201</v>
      </c>
      <c r="D34" s="1000">
        <v>150000</v>
      </c>
      <c r="E34" s="967"/>
      <c r="F34" s="968">
        <v>200000</v>
      </c>
      <c r="G34" s="966"/>
      <c r="H34" s="1000">
        <f t="shared" si="0"/>
        <v>45000</v>
      </c>
      <c r="I34" s="967">
        <v>45000</v>
      </c>
      <c r="J34" s="968"/>
      <c r="K34" s="968"/>
      <c r="L34" s="1002">
        <f t="shared" si="1"/>
        <v>11590</v>
      </c>
      <c r="M34" s="967">
        <v>11590</v>
      </c>
      <c r="N34" s="968"/>
      <c r="O34" s="968"/>
      <c r="P34" s="1003">
        <f t="shared" si="2"/>
        <v>0.25755555555555554</v>
      </c>
      <c r="Q34" s="1006">
        <f t="shared" si="3"/>
        <v>0.25755555555555554</v>
      </c>
    </row>
    <row r="35" spans="1:17" s="948" customFormat="1" ht="21.75" customHeight="1">
      <c r="A35" s="957"/>
      <c r="B35" s="957"/>
      <c r="C35" s="974" t="s">
        <v>202</v>
      </c>
      <c r="D35" s="1005">
        <v>500000</v>
      </c>
      <c r="E35" s="971"/>
      <c r="F35" s="972">
        <v>200000</v>
      </c>
      <c r="G35" s="970"/>
      <c r="H35" s="1005">
        <f t="shared" si="0"/>
        <v>230000</v>
      </c>
      <c r="I35" s="971">
        <v>230000</v>
      </c>
      <c r="J35" s="972"/>
      <c r="K35" s="972"/>
      <c r="L35" s="1007">
        <f t="shared" si="1"/>
        <v>229631</v>
      </c>
      <c r="M35" s="971">
        <v>229631</v>
      </c>
      <c r="N35" s="972"/>
      <c r="O35" s="972"/>
      <c r="P35" s="1003">
        <f t="shared" si="2"/>
        <v>0.998395652173913</v>
      </c>
      <c r="Q35" s="1006">
        <f t="shared" si="3"/>
        <v>0.998395652173913</v>
      </c>
    </row>
    <row r="36" spans="1:17" s="948" customFormat="1" ht="21" customHeight="1">
      <c r="A36" s="957"/>
      <c r="B36" s="1008"/>
      <c r="C36" s="976" t="s">
        <v>203</v>
      </c>
      <c r="D36" s="1000">
        <v>50000</v>
      </c>
      <c r="E36" s="1001"/>
      <c r="F36" s="1000">
        <v>200000</v>
      </c>
      <c r="G36" s="999"/>
      <c r="H36" s="1000">
        <f t="shared" si="0"/>
        <v>58850</v>
      </c>
      <c r="I36" s="1001">
        <v>58850</v>
      </c>
      <c r="J36" s="1000"/>
      <c r="K36" s="1000"/>
      <c r="L36" s="1007">
        <f t="shared" si="1"/>
        <v>57250</v>
      </c>
      <c r="M36" s="1001">
        <v>57250</v>
      </c>
      <c r="N36" s="1000"/>
      <c r="O36" s="1000"/>
      <c r="P36" s="1003">
        <f t="shared" si="2"/>
        <v>0.9728122344944775</v>
      </c>
      <c r="Q36" s="1006">
        <f t="shared" si="3"/>
        <v>0.9728122344944775</v>
      </c>
    </row>
    <row r="37" spans="1:17" s="948" customFormat="1" ht="21" customHeight="1">
      <c r="A37" s="957"/>
      <c r="B37" s="1008"/>
      <c r="C37" s="1009" t="s">
        <v>204</v>
      </c>
      <c r="D37" s="1005">
        <v>300000</v>
      </c>
      <c r="E37" s="1010"/>
      <c r="F37" s="1005">
        <v>200000</v>
      </c>
      <c r="G37" s="1009"/>
      <c r="H37" s="1005">
        <f t="shared" si="0"/>
        <v>70000</v>
      </c>
      <c r="I37" s="1010">
        <v>70000</v>
      </c>
      <c r="J37" s="1005"/>
      <c r="K37" s="1005"/>
      <c r="L37" s="1007">
        <f t="shared" si="1"/>
        <v>69259</v>
      </c>
      <c r="M37" s="1010">
        <v>69259</v>
      </c>
      <c r="N37" s="1005"/>
      <c r="O37" s="1005"/>
      <c r="P37" s="973">
        <f t="shared" si="2"/>
        <v>0.9894142857142857</v>
      </c>
      <c r="Q37" s="969">
        <f t="shared" si="3"/>
        <v>0.9894142857142857</v>
      </c>
    </row>
    <row r="38" spans="1:17" s="948" customFormat="1" ht="21" customHeight="1">
      <c r="A38" s="957"/>
      <c r="B38" s="1008"/>
      <c r="C38" s="1011" t="s">
        <v>205</v>
      </c>
      <c r="D38" s="1012"/>
      <c r="E38" s="1013"/>
      <c r="F38" s="1012"/>
      <c r="G38" s="1011"/>
      <c r="H38" s="1012">
        <f>I38</f>
        <v>6350</v>
      </c>
      <c r="I38" s="1013">
        <v>6350</v>
      </c>
      <c r="J38" s="1012"/>
      <c r="K38" s="1012"/>
      <c r="L38" s="1014">
        <f>M38</f>
        <v>6168</v>
      </c>
      <c r="M38" s="1013">
        <v>6168</v>
      </c>
      <c r="N38" s="1013"/>
      <c r="O38" s="1012"/>
      <c r="P38" s="973">
        <f t="shared" si="2"/>
        <v>0.9713385826771653</v>
      </c>
      <c r="Q38" s="969">
        <f t="shared" si="3"/>
        <v>0.9713385826771653</v>
      </c>
    </row>
    <row r="39" spans="1:17" s="948" customFormat="1" ht="21" customHeight="1">
      <c r="A39" s="942">
        <v>630</v>
      </c>
      <c r="B39" s="942"/>
      <c r="C39" s="1015" t="s">
        <v>446</v>
      </c>
      <c r="D39" s="1016">
        <f>D40</f>
        <v>12000</v>
      </c>
      <c r="E39" s="1017">
        <f>E44+E46+E40</f>
        <v>4600000</v>
      </c>
      <c r="F39" s="1016"/>
      <c r="G39" s="1015"/>
      <c r="H39" s="1016">
        <f aca="true" t="shared" si="4" ref="H39:H66">I39+J39+K39</f>
        <v>16056</v>
      </c>
      <c r="I39" s="1017">
        <f>I40</f>
        <v>12000</v>
      </c>
      <c r="J39" s="1016">
        <f>J42</f>
        <v>4056</v>
      </c>
      <c r="K39" s="1016"/>
      <c r="L39" s="1018">
        <f aca="true" t="shared" si="5" ref="L39:L46">SUM(M39:O39)</f>
        <v>16056</v>
      </c>
      <c r="M39" s="1017">
        <f>M40+M42</f>
        <v>12000</v>
      </c>
      <c r="N39" s="1017">
        <f>N40+N42</f>
        <v>4056</v>
      </c>
      <c r="O39" s="1016"/>
      <c r="P39" s="1019">
        <f t="shared" si="2"/>
        <v>1</v>
      </c>
      <c r="Q39" s="1019">
        <f t="shared" si="3"/>
        <v>1</v>
      </c>
    </row>
    <row r="40" spans="1:17" s="941" customFormat="1" ht="22.5" customHeight="1">
      <c r="A40" s="949"/>
      <c r="B40" s="1020">
        <v>63001</v>
      </c>
      <c r="C40" s="954" t="s">
        <v>893</v>
      </c>
      <c r="D40" s="952">
        <f>D41</f>
        <v>12000</v>
      </c>
      <c r="E40" s="953">
        <f>E41</f>
        <v>300000</v>
      </c>
      <c r="F40" s="952"/>
      <c r="G40" s="954"/>
      <c r="H40" s="952">
        <f t="shared" si="4"/>
        <v>12000</v>
      </c>
      <c r="I40" s="953">
        <f>I41</f>
        <v>12000</v>
      </c>
      <c r="J40" s="952"/>
      <c r="K40" s="952"/>
      <c r="L40" s="955">
        <f t="shared" si="5"/>
        <v>12000</v>
      </c>
      <c r="M40" s="953">
        <f>M41</f>
        <v>12000</v>
      </c>
      <c r="N40" s="952"/>
      <c r="O40" s="952"/>
      <c r="P40" s="956">
        <f t="shared" si="2"/>
        <v>1</v>
      </c>
      <c r="Q40" s="956">
        <f t="shared" si="3"/>
        <v>1</v>
      </c>
    </row>
    <row r="41" spans="1:17" s="948" customFormat="1" ht="21" customHeight="1">
      <c r="A41" s="957"/>
      <c r="B41" s="992"/>
      <c r="C41" s="993" t="s">
        <v>206</v>
      </c>
      <c r="D41" s="994">
        <v>12000</v>
      </c>
      <c r="E41" s="995">
        <v>300000</v>
      </c>
      <c r="F41" s="994"/>
      <c r="G41" s="996"/>
      <c r="H41" s="994">
        <f t="shared" si="4"/>
        <v>12000</v>
      </c>
      <c r="I41" s="995">
        <v>12000</v>
      </c>
      <c r="J41" s="994"/>
      <c r="K41" s="994"/>
      <c r="L41" s="1021">
        <f t="shared" si="5"/>
        <v>12000</v>
      </c>
      <c r="M41" s="995">
        <v>12000</v>
      </c>
      <c r="N41" s="994"/>
      <c r="O41" s="994"/>
      <c r="P41" s="1022">
        <f t="shared" si="2"/>
        <v>1</v>
      </c>
      <c r="Q41" s="1022">
        <f t="shared" si="3"/>
        <v>1</v>
      </c>
    </row>
    <row r="42" spans="1:17" s="941" customFormat="1" ht="33.75" customHeight="1">
      <c r="A42" s="949"/>
      <c r="B42" s="1020">
        <v>63003</v>
      </c>
      <c r="C42" s="951" t="s">
        <v>320</v>
      </c>
      <c r="D42" s="952"/>
      <c r="E42" s="953">
        <f>E43</f>
        <v>300000</v>
      </c>
      <c r="F42" s="952"/>
      <c r="G42" s="954"/>
      <c r="H42" s="952">
        <f t="shared" si="4"/>
        <v>4056</v>
      </c>
      <c r="I42" s="953"/>
      <c r="J42" s="952">
        <f>J43</f>
        <v>4056</v>
      </c>
      <c r="K42" s="952"/>
      <c r="L42" s="955">
        <f t="shared" si="5"/>
        <v>4056</v>
      </c>
      <c r="M42" s="953"/>
      <c r="N42" s="953">
        <f>N43</f>
        <v>4056</v>
      </c>
      <c r="O42" s="952"/>
      <c r="P42" s="956">
        <f aca="true" t="shared" si="6" ref="P42:P60">L42/H42</f>
        <v>1</v>
      </c>
      <c r="Q42" s="1022"/>
    </row>
    <row r="43" spans="1:17" s="948" customFormat="1" ht="21.75" customHeight="1">
      <c r="A43" s="957"/>
      <c r="B43" s="992"/>
      <c r="C43" s="993" t="s">
        <v>206</v>
      </c>
      <c r="D43" s="994"/>
      <c r="E43" s="995">
        <v>300000</v>
      </c>
      <c r="F43" s="994"/>
      <c r="G43" s="996"/>
      <c r="H43" s="994">
        <f t="shared" si="4"/>
        <v>4056</v>
      </c>
      <c r="I43" s="995"/>
      <c r="J43" s="994">
        <v>4056</v>
      </c>
      <c r="K43" s="994"/>
      <c r="L43" s="1021">
        <f t="shared" si="5"/>
        <v>4056</v>
      </c>
      <c r="M43" s="995"/>
      <c r="N43" s="994">
        <v>4056</v>
      </c>
      <c r="O43" s="994"/>
      <c r="P43" s="1022">
        <f t="shared" si="6"/>
        <v>1</v>
      </c>
      <c r="Q43" s="1022"/>
    </row>
    <row r="44" spans="1:17" s="948" customFormat="1" ht="21.75" customHeight="1">
      <c r="A44" s="942">
        <v>700</v>
      </c>
      <c r="B44" s="942"/>
      <c r="C44" s="1015" t="s">
        <v>387</v>
      </c>
      <c r="D44" s="1016">
        <f>D45+D47+D49</f>
        <v>3350000</v>
      </c>
      <c r="E44" s="1017">
        <f>E47+E49+E45</f>
        <v>4000000</v>
      </c>
      <c r="F44" s="1016"/>
      <c r="G44" s="1015"/>
      <c r="H44" s="1016">
        <f t="shared" si="4"/>
        <v>4095000</v>
      </c>
      <c r="I44" s="1017">
        <f>I47+I49+I45</f>
        <v>4000000</v>
      </c>
      <c r="J44" s="1016">
        <f>J45</f>
        <v>95000</v>
      </c>
      <c r="K44" s="1016"/>
      <c r="L44" s="1018">
        <f t="shared" si="5"/>
        <v>4094694</v>
      </c>
      <c r="M44" s="1017">
        <f>M45+M47+M49</f>
        <v>4028694</v>
      </c>
      <c r="N44" s="1016">
        <f>N45</f>
        <v>66000</v>
      </c>
      <c r="O44" s="1016"/>
      <c r="P44" s="1019">
        <f t="shared" si="6"/>
        <v>0.9999252747252747</v>
      </c>
      <c r="Q44" s="1019">
        <f aca="true" t="shared" si="7" ref="Q44:Q60">M44/I44</f>
        <v>1.0071735</v>
      </c>
    </row>
    <row r="45" spans="1:17" s="941" customFormat="1" ht="22.5" customHeight="1">
      <c r="A45" s="949"/>
      <c r="B45" s="1020">
        <v>70001</v>
      </c>
      <c r="C45" s="954" t="s">
        <v>448</v>
      </c>
      <c r="D45" s="952">
        <f>D46</f>
        <v>350000</v>
      </c>
      <c r="E45" s="953">
        <f>E46</f>
        <v>300000</v>
      </c>
      <c r="F45" s="952"/>
      <c r="G45" s="954"/>
      <c r="H45" s="952">
        <f t="shared" si="4"/>
        <v>445000</v>
      </c>
      <c r="I45" s="953">
        <f>I46</f>
        <v>350000</v>
      </c>
      <c r="J45" s="952">
        <f>J46</f>
        <v>95000</v>
      </c>
      <c r="K45" s="952"/>
      <c r="L45" s="955">
        <f t="shared" si="5"/>
        <v>445000</v>
      </c>
      <c r="M45" s="953">
        <f>M46</f>
        <v>379000</v>
      </c>
      <c r="N45" s="952">
        <f>N46</f>
        <v>66000</v>
      </c>
      <c r="O45" s="952"/>
      <c r="P45" s="1023">
        <f t="shared" si="6"/>
        <v>1</v>
      </c>
      <c r="Q45" s="1023">
        <f t="shared" si="7"/>
        <v>1.082857142857143</v>
      </c>
    </row>
    <row r="46" spans="1:17" s="948" customFormat="1" ht="21.75" customHeight="1">
      <c r="A46" s="957"/>
      <c r="B46" s="992"/>
      <c r="C46" s="993" t="s">
        <v>207</v>
      </c>
      <c r="D46" s="994">
        <v>350000</v>
      </c>
      <c r="E46" s="995">
        <v>300000</v>
      </c>
      <c r="F46" s="994"/>
      <c r="G46" s="996"/>
      <c r="H46" s="994">
        <f t="shared" si="4"/>
        <v>445000</v>
      </c>
      <c r="I46" s="995">
        <v>350000</v>
      </c>
      <c r="J46" s="994">
        <v>95000</v>
      </c>
      <c r="K46" s="994"/>
      <c r="L46" s="1021">
        <f t="shared" si="5"/>
        <v>445000</v>
      </c>
      <c r="M46" s="995">
        <v>379000</v>
      </c>
      <c r="N46" s="994">
        <v>66000</v>
      </c>
      <c r="O46" s="994"/>
      <c r="P46" s="1024">
        <f t="shared" si="6"/>
        <v>1</v>
      </c>
      <c r="Q46" s="1024">
        <f t="shared" si="7"/>
        <v>1.082857142857143</v>
      </c>
    </row>
    <row r="47" spans="1:17" s="941" customFormat="1" ht="33" customHeight="1">
      <c r="A47" s="949"/>
      <c r="B47" s="935">
        <v>70021</v>
      </c>
      <c r="C47" s="1025" t="s">
        <v>208</v>
      </c>
      <c r="D47" s="988">
        <f>D48</f>
        <v>1000000</v>
      </c>
      <c r="E47" s="989">
        <f>E48</f>
        <v>2000000</v>
      </c>
      <c r="F47" s="988"/>
      <c r="G47" s="987"/>
      <c r="H47" s="988">
        <f t="shared" si="4"/>
        <v>1000000</v>
      </c>
      <c r="I47" s="989">
        <f>I48</f>
        <v>1000000</v>
      </c>
      <c r="J47" s="988"/>
      <c r="K47" s="988"/>
      <c r="L47" s="990">
        <f>M47</f>
        <v>1000000</v>
      </c>
      <c r="M47" s="989">
        <f>M48</f>
        <v>1000000</v>
      </c>
      <c r="N47" s="988"/>
      <c r="O47" s="988"/>
      <c r="P47" s="956">
        <f t="shared" si="6"/>
        <v>1</v>
      </c>
      <c r="Q47" s="956">
        <f t="shared" si="7"/>
        <v>1</v>
      </c>
    </row>
    <row r="48" spans="1:17" s="948" customFormat="1" ht="48" customHeight="1">
      <c r="A48" s="957"/>
      <c r="B48" s="992"/>
      <c r="C48" s="993" t="s">
        <v>209</v>
      </c>
      <c r="D48" s="994">
        <v>1000000</v>
      </c>
      <c r="E48" s="995">
        <v>2000000</v>
      </c>
      <c r="F48" s="994"/>
      <c r="G48" s="996"/>
      <c r="H48" s="994">
        <f t="shared" si="4"/>
        <v>1000000</v>
      </c>
      <c r="I48" s="995">
        <v>1000000</v>
      </c>
      <c r="J48" s="994"/>
      <c r="K48" s="994"/>
      <c r="L48" s="1021">
        <f>M48</f>
        <v>1000000</v>
      </c>
      <c r="M48" s="995">
        <v>1000000</v>
      </c>
      <c r="N48" s="994"/>
      <c r="O48" s="994"/>
      <c r="P48" s="1022">
        <f t="shared" si="6"/>
        <v>1</v>
      </c>
      <c r="Q48" s="1022">
        <f t="shared" si="7"/>
        <v>1</v>
      </c>
    </row>
    <row r="49" spans="1:17" s="941" customFormat="1" ht="22.5" customHeight="1">
      <c r="A49" s="949"/>
      <c r="B49" s="1020">
        <v>70095</v>
      </c>
      <c r="C49" s="954" t="s">
        <v>966</v>
      </c>
      <c r="D49" s="952">
        <f>D50</f>
        <v>2000000</v>
      </c>
      <c r="E49" s="953">
        <f>E50</f>
        <v>1700000</v>
      </c>
      <c r="F49" s="952"/>
      <c r="G49" s="954"/>
      <c r="H49" s="952">
        <f t="shared" si="4"/>
        <v>2650000</v>
      </c>
      <c r="I49" s="953">
        <f>I50</f>
        <v>2650000</v>
      </c>
      <c r="J49" s="952"/>
      <c r="K49" s="952"/>
      <c r="L49" s="955">
        <f aca="true" t="shared" si="8" ref="L49:L60">SUM(M49:O49)</f>
        <v>2649694</v>
      </c>
      <c r="M49" s="953">
        <f>M50</f>
        <v>2649694</v>
      </c>
      <c r="N49" s="952"/>
      <c r="O49" s="952"/>
      <c r="P49" s="956">
        <f t="shared" si="6"/>
        <v>0.9998845283018868</v>
      </c>
      <c r="Q49" s="956">
        <f t="shared" si="7"/>
        <v>0.9998845283018868</v>
      </c>
    </row>
    <row r="50" spans="1:17" s="948" customFormat="1" ht="31.5" customHeight="1">
      <c r="A50" s="981"/>
      <c r="B50" s="992"/>
      <c r="C50" s="993" t="s">
        <v>210</v>
      </c>
      <c r="D50" s="994">
        <v>2000000</v>
      </c>
      <c r="E50" s="995">
        <v>1700000</v>
      </c>
      <c r="F50" s="994"/>
      <c r="G50" s="996"/>
      <c r="H50" s="994">
        <f t="shared" si="4"/>
        <v>2650000</v>
      </c>
      <c r="I50" s="995">
        <v>2650000</v>
      </c>
      <c r="J50" s="994"/>
      <c r="K50" s="994"/>
      <c r="L50" s="1021">
        <f t="shared" si="8"/>
        <v>2649694</v>
      </c>
      <c r="M50" s="995">
        <v>2649694</v>
      </c>
      <c r="N50" s="994"/>
      <c r="O50" s="994"/>
      <c r="P50" s="1022">
        <f t="shared" si="6"/>
        <v>0.9998845283018868</v>
      </c>
      <c r="Q50" s="1022">
        <f t="shared" si="7"/>
        <v>0.9998845283018868</v>
      </c>
    </row>
    <row r="51" spans="1:17" s="948" customFormat="1" ht="21" customHeight="1">
      <c r="A51" s="942">
        <v>710</v>
      </c>
      <c r="B51" s="942"/>
      <c r="C51" s="1015" t="s">
        <v>393</v>
      </c>
      <c r="D51" s="1016">
        <f>D54</f>
        <v>44000</v>
      </c>
      <c r="E51" s="1017">
        <f>E54</f>
        <v>1000000</v>
      </c>
      <c r="F51" s="1016"/>
      <c r="G51" s="1015"/>
      <c r="H51" s="1016">
        <f t="shared" si="4"/>
        <v>294000</v>
      </c>
      <c r="I51" s="1017">
        <f>I54+I52</f>
        <v>294000</v>
      </c>
      <c r="J51" s="1016"/>
      <c r="K51" s="1016"/>
      <c r="L51" s="1018">
        <f t="shared" si="8"/>
        <v>102902</v>
      </c>
      <c r="M51" s="1017">
        <f>M52+M54</f>
        <v>102902</v>
      </c>
      <c r="N51" s="1016"/>
      <c r="O51" s="1016"/>
      <c r="P51" s="1019">
        <f t="shared" si="6"/>
        <v>0.3500068027210884</v>
      </c>
      <c r="Q51" s="1019">
        <f t="shared" si="7"/>
        <v>0.3500068027210884</v>
      </c>
    </row>
    <row r="52" spans="1:17" s="941" customFormat="1" ht="21" customHeight="1">
      <c r="A52" s="1026"/>
      <c r="B52" s="1020">
        <v>71035</v>
      </c>
      <c r="C52" s="951" t="s">
        <v>442</v>
      </c>
      <c r="D52" s="952"/>
      <c r="E52" s="953">
        <f>SUM(E53:E54)</f>
        <v>1400000</v>
      </c>
      <c r="F52" s="952"/>
      <c r="G52" s="954"/>
      <c r="H52" s="952">
        <f t="shared" si="4"/>
        <v>250000</v>
      </c>
      <c r="I52" s="953">
        <f>I53</f>
        <v>250000</v>
      </c>
      <c r="J52" s="952"/>
      <c r="K52" s="952"/>
      <c r="L52" s="955">
        <f t="shared" si="8"/>
        <v>58902</v>
      </c>
      <c r="M52" s="953">
        <f>M53</f>
        <v>58902</v>
      </c>
      <c r="N52" s="952"/>
      <c r="O52" s="952"/>
      <c r="P52" s="956">
        <f t="shared" si="6"/>
        <v>0.235608</v>
      </c>
      <c r="Q52" s="956">
        <f t="shared" si="7"/>
        <v>0.235608</v>
      </c>
    </row>
    <row r="53" spans="1:17" s="948" customFormat="1" ht="21" customHeight="1">
      <c r="A53" s="957"/>
      <c r="B53" s="957"/>
      <c r="C53" s="976" t="s">
        <v>211</v>
      </c>
      <c r="D53" s="968"/>
      <c r="E53" s="967">
        <v>400000</v>
      </c>
      <c r="F53" s="968"/>
      <c r="G53" s="966"/>
      <c r="H53" s="968">
        <f t="shared" si="4"/>
        <v>250000</v>
      </c>
      <c r="I53" s="967">
        <v>250000</v>
      </c>
      <c r="J53" s="968"/>
      <c r="K53" s="968"/>
      <c r="L53" s="1002">
        <f t="shared" si="8"/>
        <v>58902</v>
      </c>
      <c r="M53" s="967">
        <v>58902</v>
      </c>
      <c r="N53" s="968"/>
      <c r="O53" s="968"/>
      <c r="P53" s="1022">
        <f t="shared" si="6"/>
        <v>0.235608</v>
      </c>
      <c r="Q53" s="1022">
        <f t="shared" si="7"/>
        <v>0.235608</v>
      </c>
    </row>
    <row r="54" spans="1:17" s="941" customFormat="1" ht="21" customHeight="1">
      <c r="A54" s="949"/>
      <c r="B54" s="1020">
        <v>71095</v>
      </c>
      <c r="C54" s="951" t="s">
        <v>966</v>
      </c>
      <c r="D54" s="952">
        <f>D55</f>
        <v>44000</v>
      </c>
      <c r="E54" s="953">
        <f>SUM(E55:E56)</f>
        <v>1000000</v>
      </c>
      <c r="F54" s="952"/>
      <c r="G54" s="954"/>
      <c r="H54" s="952">
        <f t="shared" si="4"/>
        <v>44000</v>
      </c>
      <c r="I54" s="953">
        <f>I55</f>
        <v>44000</v>
      </c>
      <c r="J54" s="952"/>
      <c r="K54" s="952"/>
      <c r="L54" s="955">
        <f t="shared" si="8"/>
        <v>44000</v>
      </c>
      <c r="M54" s="953">
        <f>M55</f>
        <v>44000</v>
      </c>
      <c r="N54" s="952"/>
      <c r="O54" s="952"/>
      <c r="P54" s="956">
        <f t="shared" si="6"/>
        <v>1</v>
      </c>
      <c r="Q54" s="956">
        <f t="shared" si="7"/>
        <v>1</v>
      </c>
    </row>
    <row r="55" spans="1:17" s="948" customFormat="1" ht="31.5" customHeight="1">
      <c r="A55" s="957"/>
      <c r="B55" s="957"/>
      <c r="C55" s="976" t="s">
        <v>212</v>
      </c>
      <c r="D55" s="968">
        <v>44000</v>
      </c>
      <c r="E55" s="967">
        <v>400000</v>
      </c>
      <c r="F55" s="968"/>
      <c r="G55" s="966"/>
      <c r="H55" s="968">
        <f t="shared" si="4"/>
        <v>44000</v>
      </c>
      <c r="I55" s="967">
        <v>44000</v>
      </c>
      <c r="J55" s="968"/>
      <c r="K55" s="968"/>
      <c r="L55" s="1002">
        <f t="shared" si="8"/>
        <v>44000</v>
      </c>
      <c r="M55" s="967">
        <v>44000</v>
      </c>
      <c r="N55" s="968"/>
      <c r="O55" s="968"/>
      <c r="P55" s="1022">
        <f t="shared" si="6"/>
        <v>1</v>
      </c>
      <c r="Q55" s="1022">
        <f t="shared" si="7"/>
        <v>1</v>
      </c>
    </row>
    <row r="56" spans="1:17" s="948" customFormat="1" ht="21" customHeight="1">
      <c r="A56" s="942">
        <v>750</v>
      </c>
      <c r="B56" s="942"/>
      <c r="C56" s="1015" t="s">
        <v>391</v>
      </c>
      <c r="D56" s="1016">
        <f>D57</f>
        <v>1800000</v>
      </c>
      <c r="E56" s="1017">
        <f>E57</f>
        <v>600000</v>
      </c>
      <c r="F56" s="1016"/>
      <c r="G56" s="1015"/>
      <c r="H56" s="1016">
        <f t="shared" si="4"/>
        <v>1050000</v>
      </c>
      <c r="I56" s="1017">
        <f>I57</f>
        <v>1050000</v>
      </c>
      <c r="J56" s="1016"/>
      <c r="K56" s="1016"/>
      <c r="L56" s="1018">
        <f t="shared" si="8"/>
        <v>924794</v>
      </c>
      <c r="M56" s="1017">
        <f>M57</f>
        <v>924794</v>
      </c>
      <c r="N56" s="1016"/>
      <c r="O56" s="1016"/>
      <c r="P56" s="1019">
        <f t="shared" si="6"/>
        <v>0.8807561904761905</v>
      </c>
      <c r="Q56" s="1019">
        <f t="shared" si="7"/>
        <v>0.8807561904761905</v>
      </c>
    </row>
    <row r="57" spans="1:17" s="941" customFormat="1" ht="33.75" customHeight="1">
      <c r="A57" s="1026"/>
      <c r="B57" s="1020">
        <v>75023</v>
      </c>
      <c r="C57" s="951" t="s">
        <v>449</v>
      </c>
      <c r="D57" s="952">
        <f>D58+D59</f>
        <v>1800000</v>
      </c>
      <c r="E57" s="953">
        <f>SUM(E58:E59)</f>
        <v>600000</v>
      </c>
      <c r="F57" s="952"/>
      <c r="G57" s="954"/>
      <c r="H57" s="952">
        <f t="shared" si="4"/>
        <v>1050000</v>
      </c>
      <c r="I57" s="953">
        <f>SUM(I58:I59)</f>
        <v>1050000</v>
      </c>
      <c r="J57" s="952"/>
      <c r="K57" s="952"/>
      <c r="L57" s="955">
        <f t="shared" si="8"/>
        <v>924794</v>
      </c>
      <c r="M57" s="953">
        <f>M59+M58</f>
        <v>924794</v>
      </c>
      <c r="N57" s="952"/>
      <c r="O57" s="952"/>
      <c r="P57" s="956">
        <f t="shared" si="6"/>
        <v>0.8807561904761905</v>
      </c>
      <c r="Q57" s="956">
        <f t="shared" si="7"/>
        <v>0.8807561904761905</v>
      </c>
    </row>
    <row r="58" spans="1:17" s="948" customFormat="1" ht="21" customHeight="1">
      <c r="A58" s="957"/>
      <c r="B58" s="957"/>
      <c r="C58" s="966" t="s">
        <v>213</v>
      </c>
      <c r="D58" s="968">
        <v>960000</v>
      </c>
      <c r="E58" s="967">
        <v>400000</v>
      </c>
      <c r="F58" s="968"/>
      <c r="G58" s="966"/>
      <c r="H58" s="968">
        <f t="shared" si="4"/>
        <v>51001</v>
      </c>
      <c r="I58" s="967">
        <v>51001</v>
      </c>
      <c r="J58" s="968"/>
      <c r="K58" s="968"/>
      <c r="L58" s="1027">
        <f t="shared" si="8"/>
        <v>51001</v>
      </c>
      <c r="M58" s="967">
        <v>51001</v>
      </c>
      <c r="N58" s="968"/>
      <c r="O58" s="968"/>
      <c r="P58" s="1028">
        <f t="shared" si="6"/>
        <v>1</v>
      </c>
      <c r="Q58" s="1028">
        <f t="shared" si="7"/>
        <v>1</v>
      </c>
    </row>
    <row r="59" spans="1:17" s="948" customFormat="1" ht="21" customHeight="1">
      <c r="A59" s="981"/>
      <c r="B59" s="981"/>
      <c r="C59" s="1029" t="s">
        <v>206</v>
      </c>
      <c r="D59" s="1030">
        <v>840000</v>
      </c>
      <c r="E59" s="1031">
        <v>200000</v>
      </c>
      <c r="F59" s="1030"/>
      <c r="G59" s="1029"/>
      <c r="H59" s="1030">
        <f t="shared" si="4"/>
        <v>998999</v>
      </c>
      <c r="I59" s="1031">
        <v>998999</v>
      </c>
      <c r="J59" s="1030"/>
      <c r="K59" s="1030"/>
      <c r="L59" s="997">
        <f t="shared" si="8"/>
        <v>873793</v>
      </c>
      <c r="M59" s="1031">
        <v>873793</v>
      </c>
      <c r="N59" s="1030"/>
      <c r="O59" s="1030"/>
      <c r="P59" s="986">
        <f t="shared" si="6"/>
        <v>0.8746685432117549</v>
      </c>
      <c r="Q59" s="986">
        <f t="shared" si="7"/>
        <v>0.8746685432117549</v>
      </c>
    </row>
    <row r="60" spans="1:17" s="948" customFormat="1" ht="36.75" customHeight="1">
      <c r="A60" s="1032">
        <v>754</v>
      </c>
      <c r="B60" s="1033"/>
      <c r="C60" s="1034" t="s">
        <v>394</v>
      </c>
      <c r="D60" s="944">
        <f>D61+D63+D65</f>
        <v>827600</v>
      </c>
      <c r="E60" s="945">
        <f>E61+E63+E65</f>
        <v>650000</v>
      </c>
      <c r="F60" s="944"/>
      <c r="G60" s="943"/>
      <c r="H60" s="944">
        <f t="shared" si="4"/>
        <v>872818</v>
      </c>
      <c r="I60" s="945">
        <f>I61+I63+I65</f>
        <v>872818</v>
      </c>
      <c r="J60" s="944"/>
      <c r="K60" s="944"/>
      <c r="L60" s="946">
        <f t="shared" si="8"/>
        <v>631725</v>
      </c>
      <c r="M60" s="945">
        <f>M65+M63</f>
        <v>631725</v>
      </c>
      <c r="N60" s="944"/>
      <c r="O60" s="944"/>
      <c r="P60" s="947">
        <f t="shared" si="6"/>
        <v>0.723776319920075</v>
      </c>
      <c r="Q60" s="947">
        <f t="shared" si="7"/>
        <v>0.723776319920075</v>
      </c>
    </row>
    <row r="61" spans="1:17" s="941" customFormat="1" ht="25.5" customHeight="1">
      <c r="A61" s="1026"/>
      <c r="B61" s="1020">
        <v>75405</v>
      </c>
      <c r="C61" s="951" t="s">
        <v>332</v>
      </c>
      <c r="D61" s="952">
        <f>D62</f>
        <v>100000</v>
      </c>
      <c r="E61" s="953">
        <f>SUM(E62:E62)</f>
        <v>400000</v>
      </c>
      <c r="F61" s="952"/>
      <c r="G61" s="954"/>
      <c r="H61" s="952">
        <f t="shared" si="4"/>
        <v>100000</v>
      </c>
      <c r="I61" s="953">
        <f>SUM(I62:I62)</f>
        <v>100000</v>
      </c>
      <c r="J61" s="952"/>
      <c r="K61" s="952"/>
      <c r="L61" s="955"/>
      <c r="M61" s="953"/>
      <c r="N61" s="952"/>
      <c r="O61" s="952"/>
      <c r="P61" s="956"/>
      <c r="Q61" s="956"/>
    </row>
    <row r="62" spans="1:17" s="948" customFormat="1" ht="34.5" customHeight="1">
      <c r="A62" s="957"/>
      <c r="B62" s="992"/>
      <c r="C62" s="993" t="s">
        <v>214</v>
      </c>
      <c r="D62" s="994">
        <v>100000</v>
      </c>
      <c r="E62" s="995">
        <f>300000+100000</f>
        <v>400000</v>
      </c>
      <c r="F62" s="994"/>
      <c r="G62" s="996"/>
      <c r="H62" s="994">
        <f t="shared" si="4"/>
        <v>100000</v>
      </c>
      <c r="I62" s="995">
        <v>100000</v>
      </c>
      <c r="J62" s="994"/>
      <c r="K62" s="994"/>
      <c r="L62" s="1021"/>
      <c r="M62" s="995"/>
      <c r="N62" s="994"/>
      <c r="O62" s="994"/>
      <c r="P62" s="1022"/>
      <c r="Q62" s="1022"/>
    </row>
    <row r="63" spans="1:17" s="941" customFormat="1" ht="32.25" customHeight="1">
      <c r="A63" s="949"/>
      <c r="B63" s="1035">
        <v>75411</v>
      </c>
      <c r="C63" s="1025" t="s">
        <v>432</v>
      </c>
      <c r="D63" s="988">
        <f>E63+F63+G63</f>
        <v>100000</v>
      </c>
      <c r="E63" s="989">
        <f>E64</f>
        <v>100000</v>
      </c>
      <c r="F63" s="988"/>
      <c r="G63" s="987"/>
      <c r="H63" s="988">
        <f t="shared" si="4"/>
        <v>75000</v>
      </c>
      <c r="I63" s="989">
        <f>I64</f>
        <v>75000</v>
      </c>
      <c r="J63" s="988"/>
      <c r="K63" s="988"/>
      <c r="L63" s="990">
        <f>M63</f>
        <v>75000</v>
      </c>
      <c r="M63" s="989">
        <f>M64</f>
        <v>75000</v>
      </c>
      <c r="N63" s="988"/>
      <c r="O63" s="988"/>
      <c r="P63" s="991">
        <f aca="true" t="shared" si="9" ref="P63:Q69">L63/H63</f>
        <v>1</v>
      </c>
      <c r="Q63" s="991">
        <f t="shared" si="9"/>
        <v>1</v>
      </c>
    </row>
    <row r="64" spans="1:17" s="948" customFormat="1" ht="23.25" customHeight="1">
      <c r="A64" s="957"/>
      <c r="B64" s="992"/>
      <c r="C64" s="993" t="s">
        <v>215</v>
      </c>
      <c r="D64" s="994">
        <f>E64+F64+G64</f>
        <v>100000</v>
      </c>
      <c r="E64" s="995">
        <v>100000</v>
      </c>
      <c r="F64" s="994"/>
      <c r="G64" s="996"/>
      <c r="H64" s="994">
        <f t="shared" si="4"/>
        <v>75000</v>
      </c>
      <c r="I64" s="995">
        <v>75000</v>
      </c>
      <c r="J64" s="994"/>
      <c r="K64" s="994"/>
      <c r="L64" s="1021">
        <f>M64</f>
        <v>75000</v>
      </c>
      <c r="M64" s="995">
        <v>75000</v>
      </c>
      <c r="N64" s="994"/>
      <c r="O64" s="994"/>
      <c r="P64" s="1036">
        <f t="shared" si="9"/>
        <v>1</v>
      </c>
      <c r="Q64" s="1036">
        <f t="shared" si="9"/>
        <v>1</v>
      </c>
    </row>
    <row r="65" spans="1:17" s="941" customFormat="1" ht="23.25" customHeight="1">
      <c r="A65" s="949"/>
      <c r="B65" s="1037">
        <v>75495</v>
      </c>
      <c r="C65" s="1025" t="s">
        <v>966</v>
      </c>
      <c r="D65" s="988">
        <f>D66</f>
        <v>627600</v>
      </c>
      <c r="E65" s="989">
        <f>E66</f>
        <v>150000</v>
      </c>
      <c r="F65" s="988"/>
      <c r="G65" s="987"/>
      <c r="H65" s="988">
        <f t="shared" si="4"/>
        <v>697818</v>
      </c>
      <c r="I65" s="989">
        <f>I66+I67</f>
        <v>697818</v>
      </c>
      <c r="J65" s="988"/>
      <c r="K65" s="988"/>
      <c r="L65" s="990">
        <f>SUM(M65:O65)</f>
        <v>556725</v>
      </c>
      <c r="M65" s="989">
        <f>M66+M67</f>
        <v>556725</v>
      </c>
      <c r="N65" s="988"/>
      <c r="O65" s="988"/>
      <c r="P65" s="991">
        <f t="shared" si="9"/>
        <v>0.797808311049586</v>
      </c>
      <c r="Q65" s="991">
        <f t="shared" si="9"/>
        <v>0.797808311049586</v>
      </c>
    </row>
    <row r="66" spans="1:17" s="948" customFormat="1" ht="21.75" customHeight="1">
      <c r="A66" s="957"/>
      <c r="B66" s="957"/>
      <c r="C66" s="1038" t="s">
        <v>1043</v>
      </c>
      <c r="D66" s="962">
        <v>627600</v>
      </c>
      <c r="E66" s="961">
        <v>150000</v>
      </c>
      <c r="F66" s="962"/>
      <c r="G66" s="963"/>
      <c r="H66" s="962">
        <f t="shared" si="4"/>
        <v>627234</v>
      </c>
      <c r="I66" s="961">
        <v>627234</v>
      </c>
      <c r="J66" s="962"/>
      <c r="K66" s="962"/>
      <c r="L66" s="1027">
        <f>SUM(M66:O66)</f>
        <v>486141</v>
      </c>
      <c r="M66" s="961">
        <v>486141</v>
      </c>
      <c r="N66" s="962"/>
      <c r="O66" s="962"/>
      <c r="P66" s="1039">
        <f t="shared" si="9"/>
        <v>0.7750552425410613</v>
      </c>
      <c r="Q66" s="1039">
        <f t="shared" si="9"/>
        <v>0.7750552425410613</v>
      </c>
    </row>
    <row r="67" spans="1:17" s="948" customFormat="1" ht="33.75" customHeight="1">
      <c r="A67" s="981"/>
      <c r="B67" s="981"/>
      <c r="C67" s="1040" t="s">
        <v>216</v>
      </c>
      <c r="D67" s="1030"/>
      <c r="E67" s="1031"/>
      <c r="F67" s="1031"/>
      <c r="G67" s="1029"/>
      <c r="H67" s="1030">
        <f>I67</f>
        <v>70584</v>
      </c>
      <c r="I67" s="1031">
        <v>70584</v>
      </c>
      <c r="J67" s="1031"/>
      <c r="K67" s="1030"/>
      <c r="L67" s="997">
        <f>M67</f>
        <v>70584</v>
      </c>
      <c r="M67" s="1031">
        <v>70584</v>
      </c>
      <c r="N67" s="1031"/>
      <c r="O67" s="1031"/>
      <c r="P67" s="986">
        <f t="shared" si="9"/>
        <v>1</v>
      </c>
      <c r="Q67" s="986">
        <f t="shared" si="9"/>
        <v>1</v>
      </c>
    </row>
    <row r="68" spans="1:17" s="948" customFormat="1" ht="24" customHeight="1">
      <c r="A68" s="1032">
        <v>801</v>
      </c>
      <c r="B68" s="1033"/>
      <c r="C68" s="1041" t="s">
        <v>347</v>
      </c>
      <c r="D68" s="945">
        <f aca="true" t="shared" si="10" ref="D68:J68">D69+D81+D89+D77+D86</f>
        <v>28660000</v>
      </c>
      <c r="E68" s="945">
        <f t="shared" si="10"/>
        <v>92495619</v>
      </c>
      <c r="F68" s="945">
        <f t="shared" si="10"/>
        <v>40676068</v>
      </c>
      <c r="G68" s="945">
        <f t="shared" si="10"/>
        <v>24413034</v>
      </c>
      <c r="H68" s="945">
        <f t="shared" si="10"/>
        <v>32130306</v>
      </c>
      <c r="I68" s="945">
        <f t="shared" si="10"/>
        <v>14173306</v>
      </c>
      <c r="J68" s="945">
        <f t="shared" si="10"/>
        <v>17957000</v>
      </c>
      <c r="K68" s="944"/>
      <c r="L68" s="946">
        <f aca="true" t="shared" si="11" ref="L68:L74">SUM(M68:O68)</f>
        <v>30650779.259999998</v>
      </c>
      <c r="M68" s="945">
        <f>M69+M81+M86+M89+M77</f>
        <v>13933869.26</v>
      </c>
      <c r="N68" s="945">
        <f>N69+N81+N86+N89</f>
        <v>16716910</v>
      </c>
      <c r="O68" s="945"/>
      <c r="P68" s="947">
        <f t="shared" si="9"/>
        <v>0.9539522984935157</v>
      </c>
      <c r="Q68" s="947">
        <f t="shared" si="9"/>
        <v>0.9831065003464964</v>
      </c>
    </row>
    <row r="69" spans="1:17" s="941" customFormat="1" ht="22.5" customHeight="1">
      <c r="A69" s="1026"/>
      <c r="B69" s="1037">
        <v>80101</v>
      </c>
      <c r="C69" s="951" t="s">
        <v>348</v>
      </c>
      <c r="D69" s="952">
        <f>SUM(D70:D76)</f>
        <v>10340000</v>
      </c>
      <c r="E69" s="953">
        <f>SUM(E73:E75)</f>
        <v>2400000</v>
      </c>
      <c r="F69" s="952"/>
      <c r="G69" s="954"/>
      <c r="H69" s="952">
        <f>I69+J69+K69</f>
        <v>10973763</v>
      </c>
      <c r="I69" s="953">
        <f>SUM(I70:I76)</f>
        <v>4577122</v>
      </c>
      <c r="J69" s="953">
        <f>SUM(J73:J76)</f>
        <v>6396641</v>
      </c>
      <c r="K69" s="952"/>
      <c r="L69" s="955">
        <f t="shared" si="11"/>
        <v>9772454.07</v>
      </c>
      <c r="M69" s="953">
        <f>SUM(M70:M76)</f>
        <v>4458018.07</v>
      </c>
      <c r="N69" s="953">
        <f>SUM(N70:N76)</f>
        <v>5314436</v>
      </c>
      <c r="O69" s="952"/>
      <c r="P69" s="956">
        <f t="shared" si="9"/>
        <v>0.8905289890076905</v>
      </c>
      <c r="Q69" s="956">
        <f t="shared" si="9"/>
        <v>0.9739784235596081</v>
      </c>
    </row>
    <row r="70" spans="1:17" s="948" customFormat="1" ht="33.75" customHeight="1">
      <c r="A70" s="957"/>
      <c r="B70" s="957"/>
      <c r="C70" s="974" t="s">
        <v>217</v>
      </c>
      <c r="D70" s="972">
        <v>300000</v>
      </c>
      <c r="E70" s="971">
        <f>400000+62000</f>
        <v>462000</v>
      </c>
      <c r="F70" s="972"/>
      <c r="G70" s="970"/>
      <c r="H70" s="972">
        <f>K70+J70+I70</f>
        <v>400000</v>
      </c>
      <c r="I70" s="971">
        <v>400000</v>
      </c>
      <c r="J70" s="972"/>
      <c r="K70" s="972"/>
      <c r="L70" s="1002">
        <f t="shared" si="11"/>
        <v>399994</v>
      </c>
      <c r="M70" s="971">
        <v>399994</v>
      </c>
      <c r="N70" s="972"/>
      <c r="O70" s="972"/>
      <c r="P70" s="973">
        <v>0.9999</v>
      </c>
      <c r="Q70" s="973">
        <v>0.9999</v>
      </c>
    </row>
    <row r="71" spans="1:17" s="948" customFormat="1" ht="33.75" customHeight="1">
      <c r="A71" s="957"/>
      <c r="B71" s="957"/>
      <c r="C71" s="974" t="s">
        <v>218</v>
      </c>
      <c r="D71" s="972">
        <v>500000</v>
      </c>
      <c r="E71" s="971">
        <v>200000</v>
      </c>
      <c r="F71" s="972"/>
      <c r="G71" s="970"/>
      <c r="H71" s="972">
        <f>I71+J71+K71</f>
        <v>814000</v>
      </c>
      <c r="I71" s="971">
        <v>814000</v>
      </c>
      <c r="J71" s="972"/>
      <c r="K71" s="972"/>
      <c r="L71" s="1002">
        <f t="shared" si="11"/>
        <v>813903</v>
      </c>
      <c r="M71" s="971">
        <v>813903</v>
      </c>
      <c r="N71" s="972"/>
      <c r="O71" s="972"/>
      <c r="P71" s="973">
        <f aca="true" t="shared" si="12" ref="P71:Q76">L71/H71</f>
        <v>0.9998808353808354</v>
      </c>
      <c r="Q71" s="973">
        <f t="shared" si="12"/>
        <v>0.9998808353808354</v>
      </c>
    </row>
    <row r="72" spans="1:17" s="948" customFormat="1" ht="21.75" customHeight="1">
      <c r="A72" s="957"/>
      <c r="B72" s="957"/>
      <c r="C72" s="974" t="s">
        <v>219</v>
      </c>
      <c r="D72" s="972">
        <v>800000</v>
      </c>
      <c r="E72" s="971">
        <v>500000</v>
      </c>
      <c r="F72" s="972"/>
      <c r="G72" s="970"/>
      <c r="H72" s="972">
        <f>I72+J72+K72</f>
        <v>386000</v>
      </c>
      <c r="I72" s="971">
        <v>386000</v>
      </c>
      <c r="J72" s="972"/>
      <c r="K72" s="972"/>
      <c r="L72" s="1002">
        <f t="shared" si="11"/>
        <v>384662</v>
      </c>
      <c r="M72" s="971">
        <v>384662</v>
      </c>
      <c r="N72" s="972"/>
      <c r="O72" s="972"/>
      <c r="P72" s="973">
        <f t="shared" si="12"/>
        <v>0.9965336787564767</v>
      </c>
      <c r="Q72" s="973">
        <f t="shared" si="12"/>
        <v>0.9965336787564767</v>
      </c>
    </row>
    <row r="73" spans="1:17" s="948" customFormat="1" ht="21.75" customHeight="1">
      <c r="A73" s="957"/>
      <c r="B73" s="957"/>
      <c r="C73" s="976" t="s">
        <v>220</v>
      </c>
      <c r="D73" s="968">
        <v>850000</v>
      </c>
      <c r="E73" s="967">
        <v>2000000</v>
      </c>
      <c r="F73" s="968"/>
      <c r="G73" s="966"/>
      <c r="H73" s="968">
        <f>K73+J73+I73</f>
        <v>936000</v>
      </c>
      <c r="I73" s="967">
        <v>936000</v>
      </c>
      <c r="J73" s="968"/>
      <c r="K73" s="968"/>
      <c r="L73" s="1002">
        <f t="shared" si="11"/>
        <v>935059</v>
      </c>
      <c r="M73" s="967">
        <v>935059</v>
      </c>
      <c r="N73" s="968"/>
      <c r="O73" s="968"/>
      <c r="P73" s="969">
        <f t="shared" si="12"/>
        <v>0.9989946581196582</v>
      </c>
      <c r="Q73" s="969">
        <f t="shared" si="12"/>
        <v>0.9989946581196582</v>
      </c>
    </row>
    <row r="74" spans="1:17" s="948" customFormat="1" ht="21.75" customHeight="1">
      <c r="A74" s="957"/>
      <c r="B74" s="957"/>
      <c r="C74" s="974" t="s">
        <v>221</v>
      </c>
      <c r="D74" s="972">
        <v>7890000</v>
      </c>
      <c r="E74" s="971">
        <v>200000</v>
      </c>
      <c r="F74" s="972"/>
      <c r="G74" s="970"/>
      <c r="H74" s="972">
        <f>I74+J74+K74</f>
        <v>8070813</v>
      </c>
      <c r="I74" s="971">
        <v>1674172</v>
      </c>
      <c r="J74" s="972">
        <f>4482641+1914000</f>
        <v>6396641</v>
      </c>
      <c r="K74" s="972"/>
      <c r="L74" s="1002">
        <f t="shared" si="11"/>
        <v>6871983.07</v>
      </c>
      <c r="M74" s="971">
        <f>1509025.86+48521.21</f>
        <v>1557547.07</v>
      </c>
      <c r="N74" s="972">
        <f>3400436+1914000</f>
        <v>5314436</v>
      </c>
      <c r="O74" s="972"/>
      <c r="P74" s="973">
        <f t="shared" si="12"/>
        <v>0.8514610696592773</v>
      </c>
      <c r="Q74" s="973">
        <f t="shared" si="12"/>
        <v>0.9303387405834048</v>
      </c>
    </row>
    <row r="75" spans="1:17" s="948" customFormat="1" ht="32.25" customHeight="1">
      <c r="A75" s="957"/>
      <c r="B75" s="957"/>
      <c r="C75" s="974" t="s">
        <v>222</v>
      </c>
      <c r="D75" s="972"/>
      <c r="E75" s="971">
        <v>200000</v>
      </c>
      <c r="F75" s="972"/>
      <c r="G75" s="970"/>
      <c r="H75" s="972">
        <f>I75+J75+K75</f>
        <v>343450</v>
      </c>
      <c r="I75" s="971">
        <v>343450</v>
      </c>
      <c r="J75" s="972"/>
      <c r="K75" s="972"/>
      <c r="L75" s="1002">
        <f>M75</f>
        <v>343450</v>
      </c>
      <c r="M75" s="971">
        <v>343450</v>
      </c>
      <c r="N75" s="972"/>
      <c r="O75" s="972"/>
      <c r="P75" s="973">
        <f t="shared" si="12"/>
        <v>1</v>
      </c>
      <c r="Q75" s="973">
        <f t="shared" si="12"/>
        <v>1</v>
      </c>
    </row>
    <row r="76" spans="1:17" s="948" customFormat="1" ht="22.5" customHeight="1">
      <c r="A76" s="957"/>
      <c r="B76" s="981"/>
      <c r="C76" s="982" t="s">
        <v>206</v>
      </c>
      <c r="D76" s="983"/>
      <c r="E76" s="984"/>
      <c r="F76" s="983"/>
      <c r="G76" s="982"/>
      <c r="H76" s="983">
        <f>I76</f>
        <v>23500</v>
      </c>
      <c r="I76" s="984">
        <v>23500</v>
      </c>
      <c r="J76" s="983"/>
      <c r="K76" s="983"/>
      <c r="L76" s="985">
        <f>SUM(M76:O76)</f>
        <v>23403</v>
      </c>
      <c r="M76" s="984">
        <v>23403</v>
      </c>
      <c r="N76" s="983"/>
      <c r="O76" s="983"/>
      <c r="P76" s="986">
        <f t="shared" si="12"/>
        <v>0.995872340425532</v>
      </c>
      <c r="Q76" s="986">
        <f t="shared" si="12"/>
        <v>0.995872340425532</v>
      </c>
    </row>
    <row r="77" spans="1:17" s="948" customFormat="1" ht="22.5" customHeight="1">
      <c r="A77" s="957"/>
      <c r="B77" s="935">
        <v>80104</v>
      </c>
      <c r="C77" s="987" t="s">
        <v>311</v>
      </c>
      <c r="D77" s="988"/>
      <c r="E77" s="1031">
        <f>SUM(E78:E82)</f>
        <v>10000000</v>
      </c>
      <c r="F77" s="1030"/>
      <c r="G77" s="1029"/>
      <c r="H77" s="988">
        <f aca="true" t="shared" si="13" ref="H77:H85">I77+J77+K77</f>
        <v>44596</v>
      </c>
      <c r="I77" s="989">
        <f>I78+I79+I80</f>
        <v>44596</v>
      </c>
      <c r="J77" s="1030"/>
      <c r="K77" s="1030"/>
      <c r="L77" s="990">
        <f>M77</f>
        <v>44595</v>
      </c>
      <c r="M77" s="989">
        <f>M78+M79+M80</f>
        <v>44595</v>
      </c>
      <c r="N77" s="988"/>
      <c r="O77" s="988"/>
      <c r="P77" s="1042">
        <v>0.9999</v>
      </c>
      <c r="Q77" s="1042">
        <v>0.9999</v>
      </c>
    </row>
    <row r="78" spans="1:17" s="948" customFormat="1" ht="22.5" customHeight="1">
      <c r="A78" s="957"/>
      <c r="B78" s="958"/>
      <c r="C78" s="1043" t="s">
        <v>223</v>
      </c>
      <c r="D78" s="1044"/>
      <c r="E78" s="1045">
        <v>1800000</v>
      </c>
      <c r="F78" s="1044"/>
      <c r="G78" s="1043"/>
      <c r="H78" s="1044">
        <f t="shared" si="13"/>
        <v>10980</v>
      </c>
      <c r="I78" s="1045">
        <v>10980</v>
      </c>
      <c r="J78" s="1044"/>
      <c r="K78" s="1044"/>
      <c r="L78" s="1046">
        <f>M78</f>
        <v>10980</v>
      </c>
      <c r="M78" s="1045">
        <v>10980</v>
      </c>
      <c r="N78" s="1044"/>
      <c r="O78" s="1044"/>
      <c r="P78" s="1047">
        <f aca="true" t="shared" si="14" ref="P78:P91">L78/H78</f>
        <v>1</v>
      </c>
      <c r="Q78" s="1047">
        <f aca="true" t="shared" si="15" ref="Q78:Q91">M78/I78</f>
        <v>1</v>
      </c>
    </row>
    <row r="79" spans="1:17" s="948" customFormat="1" ht="22.5" customHeight="1">
      <c r="A79" s="957"/>
      <c r="B79" s="957"/>
      <c r="C79" s="970" t="s">
        <v>224</v>
      </c>
      <c r="D79" s="972"/>
      <c r="E79" s="971">
        <v>1800000</v>
      </c>
      <c r="F79" s="972"/>
      <c r="G79" s="970"/>
      <c r="H79" s="972">
        <f t="shared" si="13"/>
        <v>29623</v>
      </c>
      <c r="I79" s="971">
        <v>29623</v>
      </c>
      <c r="J79" s="972"/>
      <c r="K79" s="972"/>
      <c r="L79" s="1007">
        <f>M79</f>
        <v>29623</v>
      </c>
      <c r="M79" s="971">
        <v>29623</v>
      </c>
      <c r="N79" s="972"/>
      <c r="O79" s="972"/>
      <c r="P79" s="973">
        <f t="shared" si="14"/>
        <v>1</v>
      </c>
      <c r="Q79" s="973">
        <f t="shared" si="15"/>
        <v>1</v>
      </c>
    </row>
    <row r="80" spans="1:17" s="948" customFormat="1" ht="22.5" customHeight="1">
      <c r="A80" s="957"/>
      <c r="B80" s="981"/>
      <c r="C80" s="1029" t="s">
        <v>206</v>
      </c>
      <c r="D80" s="1030"/>
      <c r="E80" s="1031">
        <v>1800000</v>
      </c>
      <c r="F80" s="1030"/>
      <c r="G80" s="1029"/>
      <c r="H80" s="1030">
        <f t="shared" si="13"/>
        <v>3993</v>
      </c>
      <c r="I80" s="1031">
        <v>3993</v>
      </c>
      <c r="J80" s="1030"/>
      <c r="K80" s="1030"/>
      <c r="L80" s="997">
        <f>M80</f>
        <v>3992</v>
      </c>
      <c r="M80" s="1031">
        <v>3992</v>
      </c>
      <c r="N80" s="1030"/>
      <c r="O80" s="1030"/>
      <c r="P80" s="1036">
        <f t="shared" si="14"/>
        <v>0.9997495617330328</v>
      </c>
      <c r="Q80" s="1036">
        <f t="shared" si="15"/>
        <v>0.9997495617330328</v>
      </c>
    </row>
    <row r="81" spans="1:17" s="948" customFormat="1" ht="22.5" customHeight="1">
      <c r="A81" s="957"/>
      <c r="B81" s="935">
        <v>80110</v>
      </c>
      <c r="C81" s="987" t="s">
        <v>349</v>
      </c>
      <c r="D81" s="988">
        <f>SUM(D82:D84)</f>
        <v>6990000</v>
      </c>
      <c r="E81" s="1031">
        <f>SUM(E82:E84)</f>
        <v>2800000</v>
      </c>
      <c r="F81" s="1030"/>
      <c r="G81" s="1029"/>
      <c r="H81" s="988">
        <f t="shared" si="13"/>
        <v>8855930</v>
      </c>
      <c r="I81" s="989">
        <f>SUM(I82:I85)</f>
        <v>5445571</v>
      </c>
      <c r="J81" s="989">
        <f>SUM(J82:J84)</f>
        <v>3410359</v>
      </c>
      <c r="K81" s="1030"/>
      <c r="L81" s="990">
        <f>SUM(M81:O81)</f>
        <v>8767408</v>
      </c>
      <c r="M81" s="989">
        <f>SUM(M82:M85)</f>
        <v>5357050</v>
      </c>
      <c r="N81" s="989">
        <f>SUM(N82:N84)</f>
        <v>3410358</v>
      </c>
      <c r="O81" s="988"/>
      <c r="P81" s="991">
        <f t="shared" si="14"/>
        <v>0.9900042118670767</v>
      </c>
      <c r="Q81" s="991">
        <f t="shared" si="15"/>
        <v>0.9837444043976288</v>
      </c>
    </row>
    <row r="82" spans="1:17" s="948" customFormat="1" ht="22.5" customHeight="1">
      <c r="A82" s="957"/>
      <c r="B82" s="958"/>
      <c r="C82" s="963" t="s">
        <v>225</v>
      </c>
      <c r="D82" s="962">
        <v>1500000</v>
      </c>
      <c r="E82" s="961">
        <v>1800000</v>
      </c>
      <c r="F82" s="962"/>
      <c r="G82" s="963"/>
      <c r="H82" s="962">
        <f t="shared" si="13"/>
        <v>3153000</v>
      </c>
      <c r="I82" s="961">
        <v>3153000</v>
      </c>
      <c r="J82" s="962"/>
      <c r="K82" s="962"/>
      <c r="L82" s="1027">
        <f>SUM(M82:O82)</f>
        <v>3152193</v>
      </c>
      <c r="M82" s="961">
        <v>3152193</v>
      </c>
      <c r="N82" s="962"/>
      <c r="O82" s="962"/>
      <c r="P82" s="965">
        <f t="shared" si="14"/>
        <v>0.999744053282588</v>
      </c>
      <c r="Q82" s="965">
        <f t="shared" si="15"/>
        <v>0.999744053282588</v>
      </c>
    </row>
    <row r="83" spans="1:17" s="948" customFormat="1" ht="22.5" customHeight="1">
      <c r="A83" s="957"/>
      <c r="B83" s="957"/>
      <c r="C83" s="970" t="s">
        <v>226</v>
      </c>
      <c r="D83" s="972">
        <v>900000</v>
      </c>
      <c r="E83" s="971">
        <v>500000</v>
      </c>
      <c r="F83" s="972"/>
      <c r="G83" s="970"/>
      <c r="H83" s="972">
        <f t="shared" si="13"/>
        <v>391000</v>
      </c>
      <c r="I83" s="971">
        <v>391000</v>
      </c>
      <c r="J83" s="972"/>
      <c r="K83" s="972"/>
      <c r="L83" s="1007">
        <f>SUM(M83:O83)</f>
        <v>390327</v>
      </c>
      <c r="M83" s="971">
        <v>390327</v>
      </c>
      <c r="N83" s="972"/>
      <c r="O83" s="972"/>
      <c r="P83" s="973">
        <f t="shared" si="14"/>
        <v>0.9982787723785166</v>
      </c>
      <c r="Q83" s="973">
        <f t="shared" si="15"/>
        <v>0.9982787723785166</v>
      </c>
    </row>
    <row r="84" spans="1:17" s="948" customFormat="1" ht="22.5" customHeight="1">
      <c r="A84" s="957"/>
      <c r="B84" s="957"/>
      <c r="C84" s="980" t="s">
        <v>221</v>
      </c>
      <c r="D84" s="960">
        <v>4590000</v>
      </c>
      <c r="E84" s="979">
        <v>500000</v>
      </c>
      <c r="F84" s="960"/>
      <c r="G84" s="980"/>
      <c r="H84" s="960">
        <f t="shared" si="13"/>
        <v>4305098</v>
      </c>
      <c r="I84" s="979">
        <v>894739</v>
      </c>
      <c r="J84" s="960">
        <f>2273359+1137000</f>
        <v>3410359</v>
      </c>
      <c r="K84" s="960"/>
      <c r="L84" s="964">
        <f>SUM(M84:O84)</f>
        <v>4218056</v>
      </c>
      <c r="M84" s="979">
        <f>783681+24017</f>
        <v>807698</v>
      </c>
      <c r="N84" s="960">
        <f>2273358+1137000</f>
        <v>3410358</v>
      </c>
      <c r="O84" s="960"/>
      <c r="P84" s="1047">
        <f t="shared" si="14"/>
        <v>0.979781644924227</v>
      </c>
      <c r="Q84" s="1047">
        <f t="shared" si="15"/>
        <v>0.9027191169715414</v>
      </c>
    </row>
    <row r="85" spans="1:17" s="948" customFormat="1" ht="22.5" customHeight="1">
      <c r="A85" s="981"/>
      <c r="B85" s="981"/>
      <c r="C85" s="982" t="s">
        <v>227</v>
      </c>
      <c r="D85" s="983"/>
      <c r="E85" s="984">
        <v>500000</v>
      </c>
      <c r="F85" s="983"/>
      <c r="G85" s="982"/>
      <c r="H85" s="983">
        <f t="shared" si="13"/>
        <v>1006832</v>
      </c>
      <c r="I85" s="984">
        <v>1006832</v>
      </c>
      <c r="J85" s="983"/>
      <c r="K85" s="983"/>
      <c r="L85" s="985">
        <f>SUM(M85:O85)</f>
        <v>1006832</v>
      </c>
      <c r="M85" s="984">
        <f>37454+949858+19520</f>
        <v>1006832</v>
      </c>
      <c r="N85" s="983"/>
      <c r="O85" s="983"/>
      <c r="P85" s="986">
        <f t="shared" si="14"/>
        <v>1</v>
      </c>
      <c r="Q85" s="986">
        <f t="shared" si="15"/>
        <v>1</v>
      </c>
    </row>
    <row r="86" spans="1:17" s="948" customFormat="1" ht="22.5" customHeight="1">
      <c r="A86" s="957"/>
      <c r="B86" s="935">
        <v>80120</v>
      </c>
      <c r="C86" s="987" t="s">
        <v>359</v>
      </c>
      <c r="D86" s="988">
        <f>D87</f>
        <v>180000</v>
      </c>
      <c r="E86" s="1031"/>
      <c r="F86" s="1030"/>
      <c r="G86" s="1029"/>
      <c r="H86" s="988">
        <f>I86</f>
        <v>49500</v>
      </c>
      <c r="I86" s="989">
        <f>I87+I88</f>
        <v>49500</v>
      </c>
      <c r="J86" s="1030"/>
      <c r="K86" s="1030"/>
      <c r="L86" s="990">
        <f>M86</f>
        <v>49161</v>
      </c>
      <c r="M86" s="989">
        <f>M87+M88</f>
        <v>49161</v>
      </c>
      <c r="N86" s="988"/>
      <c r="O86" s="988"/>
      <c r="P86" s="1042">
        <f t="shared" si="14"/>
        <v>0.9931515151515151</v>
      </c>
      <c r="Q86" s="1042">
        <f t="shared" si="15"/>
        <v>0.9931515151515151</v>
      </c>
    </row>
    <row r="87" spans="1:17" s="948" customFormat="1" ht="48" customHeight="1">
      <c r="A87" s="957"/>
      <c r="B87" s="957"/>
      <c r="C87" s="1048" t="s">
        <v>228</v>
      </c>
      <c r="D87" s="977">
        <v>180000</v>
      </c>
      <c r="E87" s="1049"/>
      <c r="F87" s="977"/>
      <c r="G87" s="926"/>
      <c r="H87" s="977">
        <f>I87</f>
        <v>30000</v>
      </c>
      <c r="I87" s="1049">
        <v>30000</v>
      </c>
      <c r="J87" s="977"/>
      <c r="K87" s="977"/>
      <c r="L87" s="1014">
        <f>M87</f>
        <v>29661</v>
      </c>
      <c r="M87" s="1049">
        <v>29661</v>
      </c>
      <c r="N87" s="977"/>
      <c r="O87" s="977"/>
      <c r="P87" s="1047">
        <f t="shared" si="14"/>
        <v>0.9887</v>
      </c>
      <c r="Q87" s="1047">
        <f t="shared" si="15"/>
        <v>0.9887</v>
      </c>
    </row>
    <row r="88" spans="1:17" s="948" customFormat="1" ht="22.5" customHeight="1">
      <c r="A88" s="957"/>
      <c r="B88" s="981"/>
      <c r="C88" s="982" t="s">
        <v>223</v>
      </c>
      <c r="D88" s="983"/>
      <c r="E88" s="984">
        <v>1800000</v>
      </c>
      <c r="F88" s="983"/>
      <c r="G88" s="982"/>
      <c r="H88" s="983">
        <f aca="true" t="shared" si="16" ref="H88:H96">I88+J88+K88</f>
        <v>19500</v>
      </c>
      <c r="I88" s="984">
        <v>19500</v>
      </c>
      <c r="J88" s="983"/>
      <c r="K88" s="983"/>
      <c r="L88" s="985">
        <f>M88</f>
        <v>19500</v>
      </c>
      <c r="M88" s="984">
        <v>19500</v>
      </c>
      <c r="N88" s="983"/>
      <c r="O88" s="983"/>
      <c r="P88" s="986">
        <f t="shared" si="14"/>
        <v>1</v>
      </c>
      <c r="Q88" s="986">
        <f t="shared" si="15"/>
        <v>1</v>
      </c>
    </row>
    <row r="89" spans="1:17" s="941" customFormat="1" ht="22.5" customHeight="1">
      <c r="A89" s="949"/>
      <c r="B89" s="1037">
        <v>80130</v>
      </c>
      <c r="C89" s="951" t="s">
        <v>360</v>
      </c>
      <c r="D89" s="952">
        <f>D90+D91</f>
        <v>11150000</v>
      </c>
      <c r="E89" s="952">
        <f>F89+G89+H89</f>
        <v>77295619</v>
      </c>
      <c r="F89" s="952">
        <f>G89+H89+I89</f>
        <v>40676068</v>
      </c>
      <c r="G89" s="952">
        <f>H89+I89+J89</f>
        <v>24413034</v>
      </c>
      <c r="H89" s="952">
        <f t="shared" si="16"/>
        <v>12206517</v>
      </c>
      <c r="I89" s="953">
        <f>SUM(I90:I93)</f>
        <v>4056517</v>
      </c>
      <c r="J89" s="953">
        <f>SUM(J91:J92)</f>
        <v>8150000</v>
      </c>
      <c r="K89" s="952"/>
      <c r="L89" s="955">
        <f aca="true" t="shared" si="17" ref="L89:L94">SUM(M89:O89)</f>
        <v>12017161.19</v>
      </c>
      <c r="M89" s="953">
        <f>M90+M92+M91+M93</f>
        <v>4025045.19</v>
      </c>
      <c r="N89" s="953">
        <f>N90+N92+N91</f>
        <v>7992116</v>
      </c>
      <c r="O89" s="952"/>
      <c r="P89" s="956">
        <f t="shared" si="14"/>
        <v>0.9844873185364834</v>
      </c>
      <c r="Q89" s="956">
        <f t="shared" si="15"/>
        <v>0.9922416669275637</v>
      </c>
    </row>
    <row r="90" spans="1:17" s="948" customFormat="1" ht="21.75" customHeight="1">
      <c r="A90" s="957"/>
      <c r="B90" s="958"/>
      <c r="C90" s="963" t="s">
        <v>229</v>
      </c>
      <c r="D90" s="962">
        <v>500000</v>
      </c>
      <c r="E90" s="961"/>
      <c r="F90" s="962">
        <v>1000000</v>
      </c>
      <c r="G90" s="963"/>
      <c r="H90" s="962">
        <f t="shared" si="16"/>
        <v>1000000</v>
      </c>
      <c r="I90" s="961">
        <v>1000000</v>
      </c>
      <c r="J90" s="962"/>
      <c r="K90" s="962"/>
      <c r="L90" s="1046">
        <f t="shared" si="17"/>
        <v>1000000</v>
      </c>
      <c r="M90" s="961">
        <v>1000000</v>
      </c>
      <c r="N90" s="962"/>
      <c r="O90" s="962"/>
      <c r="P90" s="1039">
        <f t="shared" si="14"/>
        <v>1</v>
      </c>
      <c r="Q90" s="1039">
        <f t="shared" si="15"/>
        <v>1</v>
      </c>
    </row>
    <row r="91" spans="1:17" s="948" customFormat="1" ht="21.75" customHeight="1">
      <c r="A91" s="957"/>
      <c r="B91" s="957"/>
      <c r="C91" s="970" t="s">
        <v>230</v>
      </c>
      <c r="D91" s="972">
        <v>10650000</v>
      </c>
      <c r="E91" s="971">
        <v>200000</v>
      </c>
      <c r="F91" s="972"/>
      <c r="G91" s="970"/>
      <c r="H91" s="972">
        <f t="shared" si="16"/>
        <v>11036550</v>
      </c>
      <c r="I91" s="971">
        <v>2886550</v>
      </c>
      <c r="J91" s="972">
        <v>8150000</v>
      </c>
      <c r="K91" s="972"/>
      <c r="L91" s="1007">
        <f t="shared" si="17"/>
        <v>10847195.19</v>
      </c>
      <c r="M91" s="971">
        <f>2706549.16+148530.03</f>
        <v>2855079.19</v>
      </c>
      <c r="N91" s="972">
        <v>7992116</v>
      </c>
      <c r="O91" s="972"/>
      <c r="P91" s="973">
        <f t="shared" si="14"/>
        <v>0.9828429346127187</v>
      </c>
      <c r="Q91" s="973">
        <f t="shared" si="15"/>
        <v>0.9890974311894822</v>
      </c>
    </row>
    <row r="92" spans="1:17" s="948" customFormat="1" ht="21.75" customHeight="1">
      <c r="A92" s="957"/>
      <c r="B92" s="957"/>
      <c r="C92" s="926" t="s">
        <v>206</v>
      </c>
      <c r="D92" s="977"/>
      <c r="E92" s="1049"/>
      <c r="F92" s="977"/>
      <c r="G92" s="926"/>
      <c r="H92" s="977">
        <f t="shared" si="16"/>
        <v>21000</v>
      </c>
      <c r="I92" s="1049">
        <v>21000</v>
      </c>
      <c r="J92" s="977"/>
      <c r="K92" s="977"/>
      <c r="L92" s="1014">
        <f t="shared" si="17"/>
        <v>20999</v>
      </c>
      <c r="M92" s="1049">
        <v>20999</v>
      </c>
      <c r="N92" s="977"/>
      <c r="O92" s="977"/>
      <c r="P92" s="1028">
        <v>0.9999</v>
      </c>
      <c r="Q92" s="1028">
        <v>0.9999</v>
      </c>
    </row>
    <row r="93" spans="1:17" s="948" customFormat="1" ht="22.5" customHeight="1">
      <c r="A93" s="981"/>
      <c r="B93" s="981"/>
      <c r="C93" s="982" t="s">
        <v>227</v>
      </c>
      <c r="D93" s="983"/>
      <c r="E93" s="984">
        <v>500000</v>
      </c>
      <c r="F93" s="983"/>
      <c r="G93" s="982"/>
      <c r="H93" s="983">
        <f t="shared" si="16"/>
        <v>148967</v>
      </c>
      <c r="I93" s="984">
        <v>148967</v>
      </c>
      <c r="J93" s="983"/>
      <c r="K93" s="983"/>
      <c r="L93" s="985">
        <f t="shared" si="17"/>
        <v>148967</v>
      </c>
      <c r="M93" s="984">
        <v>148967</v>
      </c>
      <c r="N93" s="983"/>
      <c r="O93" s="983"/>
      <c r="P93" s="986">
        <f aca="true" t="shared" si="18" ref="P93:Q96">L93/H93</f>
        <v>1</v>
      </c>
      <c r="Q93" s="986">
        <f t="shared" si="18"/>
        <v>1</v>
      </c>
    </row>
    <row r="94" spans="1:17" s="948" customFormat="1" ht="22.5" customHeight="1">
      <c r="A94" s="942">
        <v>851</v>
      </c>
      <c r="B94" s="942"/>
      <c r="C94" s="1015" t="s">
        <v>350</v>
      </c>
      <c r="D94" s="1016">
        <f>D95+D98</f>
        <v>1580000</v>
      </c>
      <c r="E94" s="1017">
        <f>E95</f>
        <v>300000</v>
      </c>
      <c r="F94" s="1016"/>
      <c r="G94" s="1015"/>
      <c r="H94" s="1016">
        <f t="shared" si="16"/>
        <v>2212076</v>
      </c>
      <c r="I94" s="1017">
        <f>I95+I98</f>
        <v>2212076</v>
      </c>
      <c r="J94" s="1016"/>
      <c r="K94" s="1016"/>
      <c r="L94" s="1018">
        <f t="shared" si="17"/>
        <v>2204318</v>
      </c>
      <c r="M94" s="1017">
        <f>M95+M98</f>
        <v>2204318</v>
      </c>
      <c r="N94" s="1016"/>
      <c r="O94" s="1016"/>
      <c r="P94" s="1019">
        <f t="shared" si="18"/>
        <v>0.9964928872244896</v>
      </c>
      <c r="Q94" s="1019">
        <f t="shared" si="18"/>
        <v>0.9964928872244896</v>
      </c>
    </row>
    <row r="95" spans="1:17" s="941" customFormat="1" ht="22.5" customHeight="1">
      <c r="A95" s="1026"/>
      <c r="B95" s="1020">
        <v>85121</v>
      </c>
      <c r="C95" s="954" t="s">
        <v>321</v>
      </c>
      <c r="D95" s="952">
        <f>SUM(D96:D97)</f>
        <v>180000</v>
      </c>
      <c r="E95" s="953">
        <f>E96</f>
        <v>300000</v>
      </c>
      <c r="F95" s="952"/>
      <c r="G95" s="954"/>
      <c r="H95" s="952">
        <f t="shared" si="16"/>
        <v>240000</v>
      </c>
      <c r="I95" s="953">
        <f>I96+I97</f>
        <v>240000</v>
      </c>
      <c r="J95" s="952"/>
      <c r="K95" s="952"/>
      <c r="L95" s="955">
        <f>M95</f>
        <v>236201</v>
      </c>
      <c r="M95" s="953">
        <f>M96</f>
        <v>236201</v>
      </c>
      <c r="N95" s="952"/>
      <c r="O95" s="952"/>
      <c r="P95" s="991">
        <f t="shared" si="18"/>
        <v>0.9841708333333333</v>
      </c>
      <c r="Q95" s="991">
        <f t="shared" si="18"/>
        <v>0.9841708333333333</v>
      </c>
    </row>
    <row r="96" spans="1:17" s="948" customFormat="1" ht="21.75" customHeight="1">
      <c r="A96" s="957"/>
      <c r="B96" s="957"/>
      <c r="C96" s="1038" t="s">
        <v>231</v>
      </c>
      <c r="D96" s="962">
        <v>100000</v>
      </c>
      <c r="E96" s="961">
        <v>300000</v>
      </c>
      <c r="F96" s="962"/>
      <c r="G96" s="963"/>
      <c r="H96" s="962">
        <f t="shared" si="16"/>
        <v>240000</v>
      </c>
      <c r="I96" s="961">
        <v>240000</v>
      </c>
      <c r="J96" s="962"/>
      <c r="K96" s="962"/>
      <c r="L96" s="1027">
        <f>M96</f>
        <v>236201</v>
      </c>
      <c r="M96" s="961">
        <f>156201+80000</f>
        <v>236201</v>
      </c>
      <c r="N96" s="962"/>
      <c r="O96" s="962"/>
      <c r="P96" s="1028">
        <f t="shared" si="18"/>
        <v>0.9841708333333333</v>
      </c>
      <c r="Q96" s="1028">
        <f t="shared" si="18"/>
        <v>0.9841708333333333</v>
      </c>
    </row>
    <row r="97" spans="1:17" s="948" customFormat="1" ht="21.75" customHeight="1">
      <c r="A97" s="957"/>
      <c r="B97" s="981"/>
      <c r="C97" s="1040" t="s">
        <v>206</v>
      </c>
      <c r="D97" s="1030">
        <v>80000</v>
      </c>
      <c r="E97" s="1031">
        <v>300000</v>
      </c>
      <c r="F97" s="1030"/>
      <c r="G97" s="1029"/>
      <c r="H97" s="1030"/>
      <c r="I97" s="1031"/>
      <c r="J97" s="1030"/>
      <c r="K97" s="1030"/>
      <c r="L97" s="997"/>
      <c r="M97" s="1031"/>
      <c r="N97" s="1030"/>
      <c r="O97" s="1030"/>
      <c r="P97" s="1042"/>
      <c r="Q97" s="1042"/>
    </row>
    <row r="98" spans="1:17" s="948" customFormat="1" ht="22.5" customHeight="1">
      <c r="A98" s="957"/>
      <c r="B98" s="935">
        <v>85154</v>
      </c>
      <c r="C98" s="1050" t="s">
        <v>334</v>
      </c>
      <c r="D98" s="988">
        <f>D99</f>
        <v>1400000</v>
      </c>
      <c r="E98" s="1031"/>
      <c r="F98" s="1030"/>
      <c r="G98" s="1029"/>
      <c r="H98" s="988">
        <f>SUM(H99:H100)</f>
        <v>1972076</v>
      </c>
      <c r="I98" s="988">
        <f>SUM(I99:I100)</f>
        <v>1972076</v>
      </c>
      <c r="J98" s="1030"/>
      <c r="K98" s="1030"/>
      <c r="L98" s="990">
        <f>SUM(M98:O98)</f>
        <v>1968117</v>
      </c>
      <c r="M98" s="989">
        <f>M100+M99</f>
        <v>1968117</v>
      </c>
      <c r="N98" s="988"/>
      <c r="O98" s="988"/>
      <c r="P98" s="991">
        <f aca="true" t="shared" si="19" ref="P98:Q103">L98/H98</f>
        <v>0.9979924708784043</v>
      </c>
      <c r="Q98" s="991">
        <f t="shared" si="19"/>
        <v>0.9979924708784043</v>
      </c>
    </row>
    <row r="99" spans="1:17" s="948" customFormat="1" ht="21.75" customHeight="1">
      <c r="A99" s="957"/>
      <c r="B99" s="958"/>
      <c r="C99" s="1038" t="s">
        <v>232</v>
      </c>
      <c r="D99" s="962">
        <v>1400000</v>
      </c>
      <c r="E99" s="961"/>
      <c r="F99" s="962"/>
      <c r="G99" s="963"/>
      <c r="H99" s="962">
        <f>I99</f>
        <v>1900000</v>
      </c>
      <c r="I99" s="961">
        <v>1900000</v>
      </c>
      <c r="J99" s="962"/>
      <c r="K99" s="962"/>
      <c r="L99" s="1027">
        <f>M99</f>
        <v>1900000</v>
      </c>
      <c r="M99" s="961">
        <f>1642251+257749</f>
        <v>1900000</v>
      </c>
      <c r="N99" s="962"/>
      <c r="O99" s="962"/>
      <c r="P99" s="1039">
        <f t="shared" si="19"/>
        <v>1</v>
      </c>
      <c r="Q99" s="1039">
        <f t="shared" si="19"/>
        <v>1</v>
      </c>
    </row>
    <row r="100" spans="1:17" s="948" customFormat="1" ht="21.75" customHeight="1">
      <c r="A100" s="981"/>
      <c r="B100" s="981"/>
      <c r="C100" s="1051" t="s">
        <v>206</v>
      </c>
      <c r="D100" s="983"/>
      <c r="E100" s="984"/>
      <c r="F100" s="983"/>
      <c r="G100" s="982"/>
      <c r="H100" s="983">
        <f>I100</f>
        <v>72076</v>
      </c>
      <c r="I100" s="984">
        <v>72076</v>
      </c>
      <c r="J100" s="983"/>
      <c r="K100" s="1030"/>
      <c r="L100" s="997">
        <f>M100</f>
        <v>68117</v>
      </c>
      <c r="M100" s="1031">
        <v>68117</v>
      </c>
      <c r="N100" s="1030"/>
      <c r="O100" s="1030"/>
      <c r="P100" s="986">
        <f t="shared" si="19"/>
        <v>0.9450718685831622</v>
      </c>
      <c r="Q100" s="986">
        <f t="shared" si="19"/>
        <v>0.9450718685831622</v>
      </c>
    </row>
    <row r="101" spans="1:17" s="948" customFormat="1" ht="22.5" customHeight="1">
      <c r="A101" s="1033">
        <v>852</v>
      </c>
      <c r="B101" s="942"/>
      <c r="C101" s="1015" t="s">
        <v>463</v>
      </c>
      <c r="D101" s="1016">
        <f>D106+D110+D114</f>
        <v>864000</v>
      </c>
      <c r="E101" s="1017">
        <f>E106+E114</f>
        <v>1220000</v>
      </c>
      <c r="F101" s="1016"/>
      <c r="G101" s="1015"/>
      <c r="H101" s="1016">
        <f aca="true" t="shared" si="20" ref="H101:H108">I101+J101+K101</f>
        <v>2661478</v>
      </c>
      <c r="I101" s="1017">
        <f>I106+I114+I102+I110+I116</f>
        <v>1728625</v>
      </c>
      <c r="J101" s="1017"/>
      <c r="K101" s="1016">
        <f>K102+K106+K110</f>
        <v>932853</v>
      </c>
      <c r="L101" s="1018">
        <f aca="true" t="shared" si="21" ref="L101:L107">SUM(M101:O101)</f>
        <v>1543685</v>
      </c>
      <c r="M101" s="1017">
        <f>M106+M114+M110+M102</f>
        <v>1461685</v>
      </c>
      <c r="N101" s="1017"/>
      <c r="O101" s="1016">
        <f>O102+O106</f>
        <v>82000</v>
      </c>
      <c r="P101" s="1019">
        <f t="shared" si="19"/>
        <v>0.580010430294746</v>
      </c>
      <c r="Q101" s="1019">
        <f t="shared" si="19"/>
        <v>0.8455766866729337</v>
      </c>
    </row>
    <row r="102" spans="1:17" s="941" customFormat="1" ht="22.5" customHeight="1">
      <c r="A102" s="949"/>
      <c r="B102" s="935">
        <v>85201</v>
      </c>
      <c r="C102" s="987" t="s">
        <v>392</v>
      </c>
      <c r="D102" s="988"/>
      <c r="E102" s="989">
        <f>E103</f>
        <v>1120000</v>
      </c>
      <c r="F102" s="988"/>
      <c r="G102" s="987"/>
      <c r="H102" s="988">
        <f t="shared" si="20"/>
        <v>518853</v>
      </c>
      <c r="I102" s="989">
        <f>I103+I105</f>
        <v>286000</v>
      </c>
      <c r="J102" s="989"/>
      <c r="K102" s="988">
        <f>K103+K104</f>
        <v>232853</v>
      </c>
      <c r="L102" s="990">
        <f t="shared" si="21"/>
        <v>308000</v>
      </c>
      <c r="M102" s="989">
        <f>M103+M105</f>
        <v>286000</v>
      </c>
      <c r="N102" s="989"/>
      <c r="O102" s="988">
        <f>O104</f>
        <v>22000</v>
      </c>
      <c r="P102" s="1052">
        <f t="shared" si="19"/>
        <v>0.5936170745856726</v>
      </c>
      <c r="Q102" s="1052">
        <f t="shared" si="19"/>
        <v>1</v>
      </c>
    </row>
    <row r="103" spans="1:256" s="1053" customFormat="1" ht="21.75" customHeight="1">
      <c r="A103" s="957"/>
      <c r="B103" s="958"/>
      <c r="C103" s="1043" t="s">
        <v>233</v>
      </c>
      <c r="D103" s="1044"/>
      <c r="E103" s="1045">
        <v>1120000</v>
      </c>
      <c r="F103" s="1044"/>
      <c r="G103" s="1043"/>
      <c r="H103" s="1044">
        <f t="shared" si="20"/>
        <v>490853</v>
      </c>
      <c r="I103" s="1045">
        <v>280000</v>
      </c>
      <c r="J103" s="1044"/>
      <c r="K103" s="1044">
        <v>210853</v>
      </c>
      <c r="L103" s="1046">
        <f t="shared" si="21"/>
        <v>280000</v>
      </c>
      <c r="M103" s="1045">
        <v>280000</v>
      </c>
      <c r="N103" s="1044"/>
      <c r="O103" s="1044"/>
      <c r="P103" s="965">
        <f t="shared" si="19"/>
        <v>0.5704355479135301</v>
      </c>
      <c r="Q103" s="965">
        <f t="shared" si="19"/>
        <v>1</v>
      </c>
      <c r="R103" s="934"/>
      <c r="S103" s="934"/>
      <c r="T103" s="934"/>
      <c r="U103" s="934"/>
      <c r="V103" s="934"/>
      <c r="W103" s="934"/>
      <c r="X103" s="934"/>
      <c r="Y103" s="934"/>
      <c r="Z103" s="934"/>
      <c r="AA103" s="934"/>
      <c r="AB103" s="934"/>
      <c r="AC103" s="934"/>
      <c r="AD103" s="934"/>
      <c r="AE103" s="934"/>
      <c r="AF103" s="934"/>
      <c r="AG103" s="934"/>
      <c r="AH103" s="934"/>
      <c r="AI103" s="934"/>
      <c r="AJ103" s="934"/>
      <c r="AK103" s="934"/>
      <c r="AL103" s="934"/>
      <c r="AM103" s="934"/>
      <c r="AN103" s="934"/>
      <c r="AO103" s="934"/>
      <c r="AP103" s="934"/>
      <c r="AQ103" s="934"/>
      <c r="AR103" s="934"/>
      <c r="AS103" s="934"/>
      <c r="AT103" s="934"/>
      <c r="AU103" s="934"/>
      <c r="AV103" s="934"/>
      <c r="AW103" s="934"/>
      <c r="AX103" s="934"/>
      <c r="AY103" s="934"/>
      <c r="AZ103" s="934"/>
      <c r="BA103" s="934"/>
      <c r="BB103" s="934"/>
      <c r="BC103" s="934"/>
      <c r="BD103" s="934"/>
      <c r="BE103" s="934"/>
      <c r="BF103" s="934"/>
      <c r="BG103" s="934"/>
      <c r="BH103" s="934"/>
      <c r="BI103" s="934"/>
      <c r="BJ103" s="934"/>
      <c r="BK103" s="934"/>
      <c r="BL103" s="934"/>
      <c r="BM103" s="934"/>
      <c r="BN103" s="934"/>
      <c r="BO103" s="934"/>
      <c r="BP103" s="934"/>
      <c r="BQ103" s="934"/>
      <c r="BR103" s="934"/>
      <c r="BS103" s="934"/>
      <c r="BT103" s="934"/>
      <c r="BU103" s="934"/>
      <c r="BV103" s="934"/>
      <c r="BW103" s="934"/>
      <c r="BX103" s="934"/>
      <c r="BY103" s="934"/>
      <c r="BZ103" s="934"/>
      <c r="CA103" s="934"/>
      <c r="CB103" s="934"/>
      <c r="CC103" s="934"/>
      <c r="CD103" s="934"/>
      <c r="CE103" s="934"/>
      <c r="CF103" s="934"/>
      <c r="CG103" s="934"/>
      <c r="CH103" s="934"/>
      <c r="CI103" s="934"/>
      <c r="CJ103" s="934"/>
      <c r="CK103" s="934"/>
      <c r="CL103" s="934"/>
      <c r="CM103" s="934"/>
      <c r="CN103" s="934"/>
      <c r="CO103" s="934"/>
      <c r="CP103" s="934"/>
      <c r="CQ103" s="934"/>
      <c r="CR103" s="934"/>
      <c r="CS103" s="934"/>
      <c r="CT103" s="934"/>
      <c r="CU103" s="934"/>
      <c r="CV103" s="934"/>
      <c r="CW103" s="934"/>
      <c r="CX103" s="934"/>
      <c r="CY103" s="934"/>
      <c r="CZ103" s="934"/>
      <c r="DA103" s="934"/>
      <c r="DB103" s="934"/>
      <c r="DC103" s="934"/>
      <c r="DD103" s="934"/>
      <c r="DE103" s="934"/>
      <c r="DF103" s="934"/>
      <c r="DG103" s="934"/>
      <c r="DH103" s="934"/>
      <c r="DI103" s="934"/>
      <c r="DJ103" s="934"/>
      <c r="DK103" s="934"/>
      <c r="DL103" s="934"/>
      <c r="DM103" s="934"/>
      <c r="DN103" s="934"/>
      <c r="DO103" s="934"/>
      <c r="DP103" s="934"/>
      <c r="DQ103" s="934"/>
      <c r="DR103" s="934"/>
      <c r="DS103" s="934"/>
      <c r="DT103" s="934"/>
      <c r="DU103" s="934"/>
      <c r="DV103" s="934"/>
      <c r="DW103" s="934"/>
      <c r="DX103" s="934"/>
      <c r="DY103" s="934"/>
      <c r="DZ103" s="934"/>
      <c r="EA103" s="934"/>
      <c r="EB103" s="934"/>
      <c r="EC103" s="934"/>
      <c r="ED103" s="934"/>
      <c r="EE103" s="934"/>
      <c r="EF103" s="934"/>
      <c r="EG103" s="934"/>
      <c r="EH103" s="934"/>
      <c r="EI103" s="934"/>
      <c r="EJ103" s="934"/>
      <c r="EK103" s="934"/>
      <c r="EL103" s="934"/>
      <c r="EM103" s="934"/>
      <c r="EN103" s="934"/>
      <c r="EO103" s="934"/>
      <c r="EP103" s="934"/>
      <c r="EQ103" s="934"/>
      <c r="ER103" s="934"/>
      <c r="ES103" s="934"/>
      <c r="ET103" s="934"/>
      <c r="EU103" s="934"/>
      <c r="EV103" s="934"/>
      <c r="EW103" s="934"/>
      <c r="EX103" s="934"/>
      <c r="EY103" s="934"/>
      <c r="EZ103" s="934"/>
      <c r="FA103" s="934"/>
      <c r="FB103" s="934"/>
      <c r="FC103" s="934"/>
      <c r="FD103" s="934"/>
      <c r="FE103" s="934"/>
      <c r="FF103" s="934"/>
      <c r="FG103" s="934"/>
      <c r="FH103" s="934"/>
      <c r="FI103" s="934"/>
      <c r="FJ103" s="934"/>
      <c r="FK103" s="934"/>
      <c r="FL103" s="934"/>
      <c r="FM103" s="934"/>
      <c r="FN103" s="934"/>
      <c r="FO103" s="934"/>
      <c r="FP103" s="934"/>
      <c r="FQ103" s="934"/>
      <c r="FR103" s="934"/>
      <c r="FS103" s="934"/>
      <c r="FT103" s="934"/>
      <c r="FU103" s="934"/>
      <c r="FV103" s="934"/>
      <c r="FW103" s="934"/>
      <c r="FX103" s="934"/>
      <c r="FY103" s="934"/>
      <c r="FZ103" s="934"/>
      <c r="GA103" s="934"/>
      <c r="GB103" s="934"/>
      <c r="GC103" s="934"/>
      <c r="GD103" s="934"/>
      <c r="GE103" s="934"/>
      <c r="GF103" s="934"/>
      <c r="GG103" s="934"/>
      <c r="GH103" s="934"/>
      <c r="GI103" s="934"/>
      <c r="GJ103" s="934"/>
      <c r="GK103" s="934"/>
      <c r="GL103" s="934"/>
      <c r="GM103" s="934"/>
      <c r="GN103" s="934"/>
      <c r="GO103" s="934"/>
      <c r="GP103" s="934"/>
      <c r="GQ103" s="934"/>
      <c r="GR103" s="934"/>
      <c r="GS103" s="934"/>
      <c r="GT103" s="934"/>
      <c r="GU103" s="934"/>
      <c r="GV103" s="934"/>
      <c r="GW103" s="934"/>
      <c r="GX103" s="934"/>
      <c r="GY103" s="934"/>
      <c r="GZ103" s="934"/>
      <c r="HA103" s="934"/>
      <c r="HB103" s="934"/>
      <c r="HC103" s="934"/>
      <c r="HD103" s="934"/>
      <c r="HE103" s="934"/>
      <c r="HF103" s="934"/>
      <c r="HG103" s="934"/>
      <c r="HH103" s="934"/>
      <c r="HI103" s="934"/>
      <c r="HJ103" s="934"/>
      <c r="HK103" s="934"/>
      <c r="HL103" s="934"/>
      <c r="HM103" s="934"/>
      <c r="HN103" s="934"/>
      <c r="HO103" s="934"/>
      <c r="HP103" s="934"/>
      <c r="HQ103" s="934"/>
      <c r="HR103" s="934"/>
      <c r="HS103" s="934"/>
      <c r="HT103" s="934"/>
      <c r="HU103" s="934"/>
      <c r="HV103" s="934"/>
      <c r="HW103" s="934"/>
      <c r="HX103" s="934"/>
      <c r="HY103" s="934"/>
      <c r="HZ103" s="934"/>
      <c r="IA103" s="934"/>
      <c r="IB103" s="934"/>
      <c r="IC103" s="934"/>
      <c r="ID103" s="934"/>
      <c r="IE103" s="934"/>
      <c r="IF103" s="934"/>
      <c r="IG103" s="934"/>
      <c r="IH103" s="934"/>
      <c r="II103" s="934"/>
      <c r="IJ103" s="934"/>
      <c r="IK103" s="934"/>
      <c r="IL103" s="934"/>
      <c r="IM103" s="934"/>
      <c r="IN103" s="934"/>
      <c r="IO103" s="934"/>
      <c r="IP103" s="934"/>
      <c r="IQ103" s="934"/>
      <c r="IR103" s="934"/>
      <c r="IS103" s="934"/>
      <c r="IT103" s="934"/>
      <c r="IU103" s="934"/>
      <c r="IV103" s="934"/>
    </row>
    <row r="104" spans="1:18" s="934" customFormat="1" ht="21.75" customHeight="1">
      <c r="A104" s="957"/>
      <c r="B104" s="957"/>
      <c r="C104" s="970" t="s">
        <v>234</v>
      </c>
      <c r="D104" s="972"/>
      <c r="E104" s="971">
        <v>1120000</v>
      </c>
      <c r="F104" s="972"/>
      <c r="G104" s="970"/>
      <c r="H104" s="972">
        <f t="shared" si="20"/>
        <v>22000</v>
      </c>
      <c r="I104" s="971"/>
      <c r="J104" s="972"/>
      <c r="K104" s="972">
        <v>22000</v>
      </c>
      <c r="L104" s="1007">
        <f t="shared" si="21"/>
        <v>22000</v>
      </c>
      <c r="M104" s="971"/>
      <c r="N104" s="972"/>
      <c r="O104" s="972">
        <v>22000</v>
      </c>
      <c r="P104" s="973">
        <f aca="true" t="shared" si="22" ref="P104:P110">L104/H104</f>
        <v>1</v>
      </c>
      <c r="Q104" s="973"/>
      <c r="R104" s="1054"/>
    </row>
    <row r="105" spans="1:18" s="934" customFormat="1" ht="21.75" customHeight="1">
      <c r="A105" s="957"/>
      <c r="B105" s="957"/>
      <c r="C105" s="970" t="s">
        <v>206</v>
      </c>
      <c r="D105" s="972"/>
      <c r="E105" s="971">
        <v>1120000</v>
      </c>
      <c r="F105" s="972"/>
      <c r="G105" s="970"/>
      <c r="H105" s="972">
        <f t="shared" si="20"/>
        <v>6000</v>
      </c>
      <c r="I105" s="971">
        <v>6000</v>
      </c>
      <c r="J105" s="972"/>
      <c r="K105" s="972"/>
      <c r="L105" s="1007">
        <f t="shared" si="21"/>
        <v>6000</v>
      </c>
      <c r="M105" s="971">
        <v>6000</v>
      </c>
      <c r="N105" s="972"/>
      <c r="O105" s="972"/>
      <c r="P105" s="973">
        <f t="shared" si="22"/>
        <v>1</v>
      </c>
      <c r="Q105" s="973">
        <f>M105/I105</f>
        <v>1</v>
      </c>
      <c r="R105" s="1054"/>
    </row>
    <row r="106" spans="1:18" s="1056" customFormat="1" ht="22.5" customHeight="1">
      <c r="A106" s="949"/>
      <c r="B106" s="1020">
        <v>85202</v>
      </c>
      <c r="C106" s="954" t="s">
        <v>352</v>
      </c>
      <c r="D106" s="952">
        <f>D107</f>
        <v>160000</v>
      </c>
      <c r="E106" s="953">
        <f>E107</f>
        <v>1120000</v>
      </c>
      <c r="F106" s="952"/>
      <c r="G106" s="954"/>
      <c r="H106" s="952">
        <f t="shared" si="20"/>
        <v>581288</v>
      </c>
      <c r="I106" s="953">
        <f>I107+I109+I108</f>
        <v>481288</v>
      </c>
      <c r="J106" s="953"/>
      <c r="K106" s="952">
        <f>K107</f>
        <v>100000</v>
      </c>
      <c r="L106" s="955">
        <f t="shared" si="21"/>
        <v>414349</v>
      </c>
      <c r="M106" s="953">
        <f>SUM(M107:M109)</f>
        <v>354349</v>
      </c>
      <c r="N106" s="953"/>
      <c r="O106" s="952">
        <f>O107</f>
        <v>60000</v>
      </c>
      <c r="P106" s="956">
        <f t="shared" si="22"/>
        <v>0.7128118935880321</v>
      </c>
      <c r="Q106" s="956">
        <f>M106/I106</f>
        <v>0.7362514752081913</v>
      </c>
      <c r="R106" s="1055"/>
    </row>
    <row r="107" spans="1:18" s="934" customFormat="1" ht="21.75" customHeight="1">
      <c r="A107" s="957"/>
      <c r="B107" s="958"/>
      <c r="C107" s="1043" t="s">
        <v>233</v>
      </c>
      <c r="D107" s="1044">
        <v>160000</v>
      </c>
      <c r="E107" s="1045">
        <v>1120000</v>
      </c>
      <c r="F107" s="1044"/>
      <c r="G107" s="1043"/>
      <c r="H107" s="1044">
        <f t="shared" si="20"/>
        <v>509088</v>
      </c>
      <c r="I107" s="1045">
        <v>409088</v>
      </c>
      <c r="J107" s="1044"/>
      <c r="K107" s="1044">
        <v>100000</v>
      </c>
      <c r="L107" s="1046">
        <f t="shared" si="21"/>
        <v>343765</v>
      </c>
      <c r="M107" s="1045">
        <f>87083+196682</f>
        <v>283765</v>
      </c>
      <c r="N107" s="1044"/>
      <c r="O107" s="1044">
        <v>60000</v>
      </c>
      <c r="P107" s="1039">
        <f t="shared" si="22"/>
        <v>0.6752565371802125</v>
      </c>
      <c r="Q107" s="1039">
        <f>M107/I107</f>
        <v>0.6936527104192741</v>
      </c>
      <c r="R107" s="1054"/>
    </row>
    <row r="108" spans="1:18" s="934" customFormat="1" ht="21.75" customHeight="1">
      <c r="A108" s="957"/>
      <c r="B108" s="957"/>
      <c r="C108" s="970" t="s">
        <v>235</v>
      </c>
      <c r="D108" s="972"/>
      <c r="E108" s="971">
        <v>1120000</v>
      </c>
      <c r="F108" s="972"/>
      <c r="G108" s="970"/>
      <c r="H108" s="972">
        <f t="shared" si="20"/>
        <v>41940</v>
      </c>
      <c r="I108" s="971">
        <v>41940</v>
      </c>
      <c r="J108" s="972"/>
      <c r="K108" s="972"/>
      <c r="L108" s="1007">
        <f>M108</f>
        <v>40344</v>
      </c>
      <c r="M108" s="971">
        <v>40344</v>
      </c>
      <c r="N108" s="972"/>
      <c r="O108" s="972"/>
      <c r="P108" s="973">
        <f t="shared" si="22"/>
        <v>0.9619456366237482</v>
      </c>
      <c r="Q108" s="973">
        <f>M108/I108</f>
        <v>0.9619456366237482</v>
      </c>
      <c r="R108" s="1054"/>
    </row>
    <row r="109" spans="1:18" s="934" customFormat="1" ht="21.75" customHeight="1">
      <c r="A109" s="957"/>
      <c r="B109" s="981"/>
      <c r="C109" s="1029" t="s">
        <v>206</v>
      </c>
      <c r="D109" s="1030"/>
      <c r="E109" s="1031"/>
      <c r="F109" s="1030"/>
      <c r="G109" s="1029"/>
      <c r="H109" s="1030">
        <f>I109</f>
        <v>30260</v>
      </c>
      <c r="I109" s="1031">
        <v>30260</v>
      </c>
      <c r="J109" s="1030"/>
      <c r="K109" s="1030"/>
      <c r="L109" s="997">
        <f>SUM(M109:O109)</f>
        <v>30240</v>
      </c>
      <c r="M109" s="1031">
        <v>30240</v>
      </c>
      <c r="N109" s="1030"/>
      <c r="O109" s="1030"/>
      <c r="P109" s="1028">
        <f t="shared" si="22"/>
        <v>0.9993390614672836</v>
      </c>
      <c r="Q109" s="1028">
        <f>M109/I109</f>
        <v>0.9993390614672836</v>
      </c>
      <c r="R109" s="1054"/>
    </row>
    <row r="110" spans="1:18" s="1056" customFormat="1" ht="22.5" customHeight="1">
      <c r="A110" s="949"/>
      <c r="B110" s="935">
        <v>85203</v>
      </c>
      <c r="C110" s="987" t="s">
        <v>433</v>
      </c>
      <c r="D110" s="988">
        <f>D111</f>
        <v>700000</v>
      </c>
      <c r="E110" s="989">
        <f>E111</f>
        <v>1120000</v>
      </c>
      <c r="F110" s="988"/>
      <c r="G110" s="987"/>
      <c r="H110" s="988">
        <f>I110+J110+K110</f>
        <v>1417337</v>
      </c>
      <c r="I110" s="989">
        <f>I111</f>
        <v>817337</v>
      </c>
      <c r="J110" s="989"/>
      <c r="K110" s="988">
        <f>K112+K113</f>
        <v>600000</v>
      </c>
      <c r="L110" s="990">
        <f>SUM(M110:O110)</f>
        <v>817336</v>
      </c>
      <c r="M110" s="989">
        <f>SUM(M111:M113)</f>
        <v>817336</v>
      </c>
      <c r="N110" s="989"/>
      <c r="O110" s="988"/>
      <c r="P110" s="956">
        <f t="shared" si="22"/>
        <v>0.5766701920573583</v>
      </c>
      <c r="Q110" s="956">
        <v>0.9999</v>
      </c>
      <c r="R110" s="1055"/>
    </row>
    <row r="111" spans="1:18" s="934" customFormat="1" ht="21.75" customHeight="1">
      <c r="A111" s="957"/>
      <c r="B111" s="958"/>
      <c r="C111" s="1043" t="s">
        <v>236</v>
      </c>
      <c r="D111" s="1044">
        <v>700000</v>
      </c>
      <c r="E111" s="1045">
        <v>1120000</v>
      </c>
      <c r="F111" s="1044"/>
      <c r="G111" s="1043"/>
      <c r="H111" s="1044">
        <f>I111+J111+K111</f>
        <v>817337</v>
      </c>
      <c r="I111" s="1045">
        <v>817337</v>
      </c>
      <c r="J111" s="1044"/>
      <c r="K111" s="1044"/>
      <c r="L111" s="1046">
        <f>SUM(M111:O111)</f>
        <v>817336</v>
      </c>
      <c r="M111" s="1045">
        <v>817336</v>
      </c>
      <c r="N111" s="1044"/>
      <c r="O111" s="1044"/>
      <c r="P111" s="1039">
        <v>0.9999</v>
      </c>
      <c r="Q111" s="1039">
        <v>0.9999</v>
      </c>
      <c r="R111" s="1054"/>
    </row>
    <row r="112" spans="1:17" s="934" customFormat="1" ht="49.5" customHeight="1">
      <c r="A112" s="957"/>
      <c r="B112" s="957"/>
      <c r="C112" s="974" t="s">
        <v>237</v>
      </c>
      <c r="D112" s="972"/>
      <c r="E112" s="971">
        <v>1120000</v>
      </c>
      <c r="F112" s="972"/>
      <c r="G112" s="970"/>
      <c r="H112" s="972">
        <f>I112+J112+K112</f>
        <v>300000</v>
      </c>
      <c r="I112" s="971"/>
      <c r="J112" s="972"/>
      <c r="K112" s="972">
        <v>300000</v>
      </c>
      <c r="L112" s="1007"/>
      <c r="M112" s="971"/>
      <c r="N112" s="972"/>
      <c r="O112" s="972"/>
      <c r="P112" s="973"/>
      <c r="Q112" s="973"/>
    </row>
    <row r="113" spans="1:17" s="934" customFormat="1" ht="33" customHeight="1">
      <c r="A113" s="981"/>
      <c r="B113" s="981"/>
      <c r="C113" s="1040" t="s">
        <v>238</v>
      </c>
      <c r="D113" s="1030"/>
      <c r="E113" s="1031"/>
      <c r="F113" s="1030"/>
      <c r="G113" s="1029"/>
      <c r="H113" s="1030">
        <f>K113</f>
        <v>300000</v>
      </c>
      <c r="I113" s="1031"/>
      <c r="J113" s="1030"/>
      <c r="K113" s="1030">
        <v>300000</v>
      </c>
      <c r="L113" s="997"/>
      <c r="M113" s="1031"/>
      <c r="N113" s="1030"/>
      <c r="O113" s="1030"/>
      <c r="P113" s="986"/>
      <c r="Q113" s="986"/>
    </row>
    <row r="114" spans="1:17" s="934" customFormat="1" ht="22.5" customHeight="1">
      <c r="A114" s="957"/>
      <c r="B114" s="935">
        <v>85219</v>
      </c>
      <c r="C114" s="987" t="s">
        <v>416</v>
      </c>
      <c r="D114" s="988">
        <f>D115</f>
        <v>4000</v>
      </c>
      <c r="E114" s="989">
        <f>E115</f>
        <v>100000</v>
      </c>
      <c r="F114" s="988"/>
      <c r="G114" s="987"/>
      <c r="H114" s="988">
        <f>H115</f>
        <v>4000</v>
      </c>
      <c r="I114" s="989">
        <f>I115</f>
        <v>4000</v>
      </c>
      <c r="J114" s="988"/>
      <c r="K114" s="988"/>
      <c r="L114" s="990">
        <f>M114</f>
        <v>4000</v>
      </c>
      <c r="M114" s="989">
        <f>M115</f>
        <v>4000</v>
      </c>
      <c r="N114" s="988"/>
      <c r="O114" s="988"/>
      <c r="P114" s="1057">
        <v>1</v>
      </c>
      <c r="Q114" s="1057">
        <v>1</v>
      </c>
    </row>
    <row r="115" spans="1:17" s="934" customFormat="1" ht="21" customHeight="1">
      <c r="A115" s="957"/>
      <c r="B115" s="992"/>
      <c r="C115" s="996" t="s">
        <v>239</v>
      </c>
      <c r="D115" s="994">
        <v>4000</v>
      </c>
      <c r="E115" s="995">
        <v>100000</v>
      </c>
      <c r="F115" s="994"/>
      <c r="G115" s="996"/>
      <c r="H115" s="994">
        <f>I115+J115+K115</f>
        <v>4000</v>
      </c>
      <c r="I115" s="995">
        <v>4000</v>
      </c>
      <c r="J115" s="994"/>
      <c r="K115" s="994"/>
      <c r="L115" s="1021">
        <f>M115</f>
        <v>4000</v>
      </c>
      <c r="M115" s="995">
        <v>4000</v>
      </c>
      <c r="N115" s="994"/>
      <c r="O115" s="994"/>
      <c r="P115" s="1022">
        <v>1</v>
      </c>
      <c r="Q115" s="1022">
        <v>1</v>
      </c>
    </row>
    <row r="116" spans="1:17" s="934" customFormat="1" ht="39" customHeight="1">
      <c r="A116" s="957"/>
      <c r="B116" s="935">
        <v>85220</v>
      </c>
      <c r="C116" s="1025" t="s">
        <v>240</v>
      </c>
      <c r="D116" s="988"/>
      <c r="E116" s="989">
        <f>E117</f>
        <v>100000</v>
      </c>
      <c r="F116" s="988"/>
      <c r="G116" s="987"/>
      <c r="H116" s="988">
        <f>H117</f>
        <v>140000</v>
      </c>
      <c r="I116" s="989">
        <f>I117</f>
        <v>140000</v>
      </c>
      <c r="J116" s="988"/>
      <c r="K116" s="988"/>
      <c r="L116" s="990"/>
      <c r="M116" s="989"/>
      <c r="N116" s="988"/>
      <c r="O116" s="988"/>
      <c r="P116" s="991"/>
      <c r="Q116" s="991"/>
    </row>
    <row r="117" spans="1:17" s="934" customFormat="1" ht="21.75" customHeight="1">
      <c r="A117" s="981"/>
      <c r="B117" s="992"/>
      <c r="C117" s="996" t="s">
        <v>241</v>
      </c>
      <c r="D117" s="994"/>
      <c r="E117" s="995">
        <v>100000</v>
      </c>
      <c r="F117" s="994"/>
      <c r="G117" s="996"/>
      <c r="H117" s="994">
        <f>I117+J117+K117</f>
        <v>140000</v>
      </c>
      <c r="I117" s="995">
        <v>140000</v>
      </c>
      <c r="J117" s="994"/>
      <c r="K117" s="994"/>
      <c r="L117" s="1021"/>
      <c r="M117" s="995"/>
      <c r="N117" s="994"/>
      <c r="O117" s="994"/>
      <c r="P117" s="1022"/>
      <c r="Q117" s="1022"/>
    </row>
    <row r="118" spans="1:17" s="948" customFormat="1" ht="34.5" customHeight="1">
      <c r="A118" s="1033">
        <v>853</v>
      </c>
      <c r="B118" s="942"/>
      <c r="C118" s="1058" t="s">
        <v>464</v>
      </c>
      <c r="D118" s="1016"/>
      <c r="E118" s="1017">
        <f>E119</f>
        <v>189000</v>
      </c>
      <c r="F118" s="1016"/>
      <c r="G118" s="1015"/>
      <c r="H118" s="1016">
        <f>I118+J118+K118</f>
        <v>83019</v>
      </c>
      <c r="I118" s="1017">
        <f>I119+I121</f>
        <v>80560</v>
      </c>
      <c r="J118" s="1016">
        <f>J121</f>
        <v>2459</v>
      </c>
      <c r="K118" s="1016"/>
      <c r="L118" s="1018">
        <f aca="true" t="shared" si="23" ref="L118:L123">M118</f>
        <v>70888</v>
      </c>
      <c r="M118" s="1017">
        <f>M119+M121</f>
        <v>70888</v>
      </c>
      <c r="N118" s="1016"/>
      <c r="O118" s="1016"/>
      <c r="P118" s="1019">
        <f aca="true" t="shared" si="24" ref="P118:Q123">L118/H118</f>
        <v>0.853876823377781</v>
      </c>
      <c r="Q118" s="1019">
        <f t="shared" si="24"/>
        <v>0.8799404170804369</v>
      </c>
    </row>
    <row r="119" spans="1:17" s="941" customFormat="1" ht="22.5" customHeight="1">
      <c r="A119" s="949"/>
      <c r="B119" s="1037">
        <v>85305</v>
      </c>
      <c r="C119" s="951" t="s">
        <v>351</v>
      </c>
      <c r="D119" s="952"/>
      <c r="E119" s="953">
        <f>E120</f>
        <v>189000</v>
      </c>
      <c r="F119" s="952"/>
      <c r="G119" s="954"/>
      <c r="H119" s="952">
        <f>I119+J119+K119</f>
        <v>13560</v>
      </c>
      <c r="I119" s="953">
        <f>I120</f>
        <v>13560</v>
      </c>
      <c r="J119" s="952"/>
      <c r="K119" s="952"/>
      <c r="L119" s="955">
        <f t="shared" si="23"/>
        <v>13560</v>
      </c>
      <c r="M119" s="953">
        <f>M120</f>
        <v>13560</v>
      </c>
      <c r="N119" s="952"/>
      <c r="O119" s="952"/>
      <c r="P119" s="956">
        <f t="shared" si="24"/>
        <v>1</v>
      </c>
      <c r="Q119" s="956">
        <f t="shared" si="24"/>
        <v>1</v>
      </c>
    </row>
    <row r="120" spans="1:17" s="948" customFormat="1" ht="21.75" customHeight="1">
      <c r="A120" s="957"/>
      <c r="B120" s="992"/>
      <c r="C120" s="996" t="s">
        <v>206</v>
      </c>
      <c r="D120" s="994"/>
      <c r="E120" s="995">
        <f>81000+108000</f>
        <v>189000</v>
      </c>
      <c r="F120" s="994"/>
      <c r="G120" s="996"/>
      <c r="H120" s="994">
        <f>I120+J120+K120</f>
        <v>13560</v>
      </c>
      <c r="I120" s="995">
        <v>13560</v>
      </c>
      <c r="J120" s="994"/>
      <c r="K120" s="994"/>
      <c r="L120" s="1021">
        <f t="shared" si="23"/>
        <v>13560</v>
      </c>
      <c r="M120" s="995">
        <v>13560</v>
      </c>
      <c r="N120" s="994"/>
      <c r="O120" s="994"/>
      <c r="P120" s="1022">
        <f t="shared" si="24"/>
        <v>1</v>
      </c>
      <c r="Q120" s="1022">
        <f t="shared" si="24"/>
        <v>1</v>
      </c>
    </row>
    <row r="121" spans="1:17" s="948" customFormat="1" ht="22.5" customHeight="1">
      <c r="A121" s="957"/>
      <c r="B121" s="935">
        <v>85333</v>
      </c>
      <c r="C121" s="987" t="s">
        <v>423</v>
      </c>
      <c r="D121" s="1030"/>
      <c r="E121" s="1031"/>
      <c r="F121" s="1030"/>
      <c r="G121" s="1029"/>
      <c r="H121" s="988">
        <f>I121+J121</f>
        <v>69459</v>
      </c>
      <c r="I121" s="989">
        <f>I122+I123+I124</f>
        <v>67000</v>
      </c>
      <c r="J121" s="988">
        <f>J124</f>
        <v>2459</v>
      </c>
      <c r="K121" s="1030"/>
      <c r="L121" s="990">
        <f t="shared" si="23"/>
        <v>57328</v>
      </c>
      <c r="M121" s="989">
        <f>M122+M123</f>
        <v>57328</v>
      </c>
      <c r="N121" s="1030"/>
      <c r="O121" s="1030"/>
      <c r="P121" s="956">
        <f t="shared" si="24"/>
        <v>0.8253502065966973</v>
      </c>
      <c r="Q121" s="956">
        <f t="shared" si="24"/>
        <v>0.8556417910447761</v>
      </c>
    </row>
    <row r="122" spans="1:17" s="948" customFormat="1" ht="21.75" customHeight="1">
      <c r="A122" s="957"/>
      <c r="B122" s="957"/>
      <c r="C122" s="926" t="s">
        <v>235</v>
      </c>
      <c r="D122" s="977"/>
      <c r="E122" s="1049"/>
      <c r="F122" s="977"/>
      <c r="G122" s="926"/>
      <c r="H122" s="977">
        <f>I122</f>
        <v>40000</v>
      </c>
      <c r="I122" s="1049">
        <v>40000</v>
      </c>
      <c r="J122" s="977"/>
      <c r="K122" s="977"/>
      <c r="L122" s="1014">
        <f t="shared" si="23"/>
        <v>35624</v>
      </c>
      <c r="M122" s="1049">
        <v>35624</v>
      </c>
      <c r="N122" s="977"/>
      <c r="O122" s="977"/>
      <c r="P122" s="1039">
        <f t="shared" si="24"/>
        <v>0.8906</v>
      </c>
      <c r="Q122" s="1039">
        <f t="shared" si="24"/>
        <v>0.8906</v>
      </c>
    </row>
    <row r="123" spans="1:17" s="934" customFormat="1" ht="21.75" customHeight="1">
      <c r="A123" s="957"/>
      <c r="B123" s="957"/>
      <c r="C123" s="974" t="s">
        <v>206</v>
      </c>
      <c r="D123" s="972"/>
      <c r="E123" s="971">
        <v>1120000</v>
      </c>
      <c r="F123" s="972"/>
      <c r="G123" s="970"/>
      <c r="H123" s="972">
        <f>I123+J123+K123</f>
        <v>22000</v>
      </c>
      <c r="I123" s="971">
        <v>22000</v>
      </c>
      <c r="J123" s="972"/>
      <c r="K123" s="972"/>
      <c r="L123" s="1007">
        <f t="shared" si="23"/>
        <v>21704</v>
      </c>
      <c r="M123" s="971">
        <v>21704</v>
      </c>
      <c r="N123" s="972"/>
      <c r="O123" s="972"/>
      <c r="P123" s="973">
        <f t="shared" si="24"/>
        <v>0.9865454545454545</v>
      </c>
      <c r="Q123" s="973">
        <f t="shared" si="24"/>
        <v>0.9865454545454545</v>
      </c>
    </row>
    <row r="124" spans="1:17" s="934" customFormat="1" ht="48.75" customHeight="1">
      <c r="A124" s="981"/>
      <c r="B124" s="981"/>
      <c r="C124" s="1040" t="s">
        <v>242</v>
      </c>
      <c r="D124" s="1030"/>
      <c r="E124" s="1031"/>
      <c r="F124" s="1030"/>
      <c r="G124" s="1029"/>
      <c r="H124" s="1030">
        <f>I124+J124</f>
        <v>7459</v>
      </c>
      <c r="I124" s="1031">
        <v>5000</v>
      </c>
      <c r="J124" s="1030">
        <v>2459</v>
      </c>
      <c r="K124" s="1030"/>
      <c r="L124" s="997"/>
      <c r="M124" s="1031"/>
      <c r="N124" s="1030"/>
      <c r="O124" s="1030"/>
      <c r="P124" s="1036"/>
      <c r="Q124" s="1036"/>
    </row>
    <row r="125" spans="1:17" s="948" customFormat="1" ht="32.25" customHeight="1">
      <c r="A125" s="1059">
        <v>900</v>
      </c>
      <c r="B125" s="1033"/>
      <c r="C125" s="1034" t="s">
        <v>384</v>
      </c>
      <c r="D125" s="944">
        <f>D126+D136+D139+D141</f>
        <v>10342000</v>
      </c>
      <c r="E125" s="945">
        <f>E126+E136+E141</f>
        <v>4968000</v>
      </c>
      <c r="F125" s="944">
        <f>F126+F136+F141</f>
        <v>700000</v>
      </c>
      <c r="G125" s="943">
        <f>G126+G136+G141</f>
        <v>656000</v>
      </c>
      <c r="H125" s="944">
        <f>I125+J125+K125</f>
        <v>16644820</v>
      </c>
      <c r="I125" s="945">
        <f>I126+I139+I141+I136</f>
        <v>11861377</v>
      </c>
      <c r="J125" s="944">
        <f>J126+J136+J141</f>
        <v>4730000</v>
      </c>
      <c r="K125" s="944">
        <f>K126</f>
        <v>53443</v>
      </c>
      <c r="L125" s="946">
        <f aca="true" t="shared" si="25" ref="L125:L133">SUM(M125:O125)</f>
        <v>16128199.67</v>
      </c>
      <c r="M125" s="945">
        <f>M126+M136+M139+M141</f>
        <v>11844756.67</v>
      </c>
      <c r="N125" s="945">
        <f>N126+N136+N139+N141</f>
        <v>4230000</v>
      </c>
      <c r="O125" s="944">
        <f>O126</f>
        <v>53443</v>
      </c>
      <c r="P125" s="947">
        <f aca="true" t="shared" si="26" ref="P125:P144">L125/H125</f>
        <v>0.9689620957150633</v>
      </c>
      <c r="Q125" s="947">
        <f aca="true" t="shared" si="27" ref="Q125:Q144">M125/I125</f>
        <v>0.9985987857902164</v>
      </c>
    </row>
    <row r="126" spans="1:17" s="941" customFormat="1" ht="21" customHeight="1">
      <c r="A126" s="949"/>
      <c r="B126" s="1060">
        <v>90001</v>
      </c>
      <c r="C126" s="1025" t="s">
        <v>496</v>
      </c>
      <c r="D126" s="988">
        <f>SUM(D127:D132)</f>
        <v>782000</v>
      </c>
      <c r="E126" s="989">
        <f>SUM(E127:E130)</f>
        <v>268000</v>
      </c>
      <c r="F126" s="988">
        <f>SUM(F127:F129)</f>
        <v>0</v>
      </c>
      <c r="G126" s="987"/>
      <c r="H126" s="988">
        <f>I126+J126+K126</f>
        <v>4324000</v>
      </c>
      <c r="I126" s="989">
        <f>SUM(I127:I135)</f>
        <v>4170557</v>
      </c>
      <c r="J126" s="988">
        <f>SUM(J127:J131)</f>
        <v>100000</v>
      </c>
      <c r="K126" s="988">
        <f>K135</f>
        <v>53443</v>
      </c>
      <c r="L126" s="990">
        <f t="shared" si="25"/>
        <v>4313762</v>
      </c>
      <c r="M126" s="989">
        <f>SUM(M127:M135)</f>
        <v>4160319</v>
      </c>
      <c r="N126" s="989">
        <f>SUM(N127:N131)</f>
        <v>100000</v>
      </c>
      <c r="O126" s="988">
        <f>O135</f>
        <v>53443</v>
      </c>
      <c r="P126" s="991">
        <f t="shared" si="26"/>
        <v>0.9976322849213691</v>
      </c>
      <c r="Q126" s="991">
        <f t="shared" si="27"/>
        <v>0.9975451720237848</v>
      </c>
    </row>
    <row r="127" spans="1:17" s="948" customFormat="1" ht="21" customHeight="1">
      <c r="A127" s="957"/>
      <c r="B127" s="957"/>
      <c r="C127" s="1061" t="s">
        <v>243</v>
      </c>
      <c r="D127" s="977">
        <v>112000</v>
      </c>
      <c r="E127" s="979">
        <v>100000</v>
      </c>
      <c r="F127" s="960"/>
      <c r="G127" s="980"/>
      <c r="H127" s="977">
        <f>I127+J127</f>
        <v>178000</v>
      </c>
      <c r="I127" s="979">
        <v>178000</v>
      </c>
      <c r="J127" s="960"/>
      <c r="K127" s="960"/>
      <c r="L127" s="964">
        <f t="shared" si="25"/>
        <v>177486</v>
      </c>
      <c r="M127" s="979">
        <v>177486</v>
      </c>
      <c r="N127" s="960"/>
      <c r="O127" s="960"/>
      <c r="P127" s="1047">
        <f t="shared" si="26"/>
        <v>0.9971123595505618</v>
      </c>
      <c r="Q127" s="1047">
        <f t="shared" si="27"/>
        <v>0.9971123595505618</v>
      </c>
    </row>
    <row r="128" spans="1:17" s="948" customFormat="1" ht="21" customHeight="1">
      <c r="A128" s="957"/>
      <c r="B128" s="957"/>
      <c r="C128" s="974" t="s">
        <v>244</v>
      </c>
      <c r="D128" s="972">
        <v>18000</v>
      </c>
      <c r="E128" s="971">
        <v>50000</v>
      </c>
      <c r="F128" s="972"/>
      <c r="G128" s="970"/>
      <c r="H128" s="972">
        <f>I128+J128</f>
        <v>53000</v>
      </c>
      <c r="I128" s="971">
        <v>53000</v>
      </c>
      <c r="J128" s="972"/>
      <c r="K128" s="972"/>
      <c r="L128" s="1007">
        <f t="shared" si="25"/>
        <v>51205</v>
      </c>
      <c r="M128" s="971">
        <v>51205</v>
      </c>
      <c r="N128" s="972"/>
      <c r="O128" s="972"/>
      <c r="P128" s="973">
        <f t="shared" si="26"/>
        <v>0.9661320754716981</v>
      </c>
      <c r="Q128" s="973">
        <f t="shared" si="27"/>
        <v>0.9661320754716981</v>
      </c>
    </row>
    <row r="129" spans="1:256" s="1053" customFormat="1" ht="48" customHeight="1">
      <c r="A129" s="957"/>
      <c r="B129" s="957"/>
      <c r="C129" s="1061" t="s">
        <v>245</v>
      </c>
      <c r="D129" s="977">
        <v>400000</v>
      </c>
      <c r="E129" s="979">
        <v>50000</v>
      </c>
      <c r="F129" s="960"/>
      <c r="G129" s="980"/>
      <c r="H129" s="977">
        <f>I129+J129</f>
        <v>173000</v>
      </c>
      <c r="I129" s="979">
        <v>173000</v>
      </c>
      <c r="J129" s="960"/>
      <c r="K129" s="960"/>
      <c r="L129" s="1007">
        <f t="shared" si="25"/>
        <v>172980</v>
      </c>
      <c r="M129" s="979">
        <v>172980</v>
      </c>
      <c r="N129" s="960"/>
      <c r="O129" s="960"/>
      <c r="P129" s="1047">
        <f t="shared" si="26"/>
        <v>0.9998843930635838</v>
      </c>
      <c r="Q129" s="1047">
        <f t="shared" si="27"/>
        <v>0.9998843930635838</v>
      </c>
      <c r="R129" s="934"/>
      <c r="S129" s="934"/>
      <c r="T129" s="934"/>
      <c r="U129" s="934"/>
      <c r="V129" s="934"/>
      <c r="W129" s="934"/>
      <c r="X129" s="934"/>
      <c r="Y129" s="934"/>
      <c r="Z129" s="934"/>
      <c r="AA129" s="934"/>
      <c r="AB129" s="934"/>
      <c r="AC129" s="934"/>
      <c r="AD129" s="934"/>
      <c r="AE129" s="934"/>
      <c r="AF129" s="934"/>
      <c r="AG129" s="934"/>
      <c r="AH129" s="934"/>
      <c r="AI129" s="934"/>
      <c r="AJ129" s="934"/>
      <c r="AK129" s="934"/>
      <c r="AL129" s="934"/>
      <c r="AM129" s="934"/>
      <c r="AN129" s="934"/>
      <c r="AO129" s="934"/>
      <c r="AP129" s="934"/>
      <c r="AQ129" s="934"/>
      <c r="AR129" s="934"/>
      <c r="AS129" s="934"/>
      <c r="AT129" s="934"/>
      <c r="AU129" s="934"/>
      <c r="AV129" s="934"/>
      <c r="AW129" s="934"/>
      <c r="AX129" s="934"/>
      <c r="AY129" s="934"/>
      <c r="AZ129" s="934"/>
      <c r="BA129" s="934"/>
      <c r="BB129" s="934"/>
      <c r="BC129" s="934"/>
      <c r="BD129" s="934"/>
      <c r="BE129" s="934"/>
      <c r="BF129" s="934"/>
      <c r="BG129" s="934"/>
      <c r="BH129" s="934"/>
      <c r="BI129" s="934"/>
      <c r="BJ129" s="934"/>
      <c r="BK129" s="934"/>
      <c r="BL129" s="934"/>
      <c r="BM129" s="934"/>
      <c r="BN129" s="934"/>
      <c r="BO129" s="934"/>
      <c r="BP129" s="934"/>
      <c r="BQ129" s="934"/>
      <c r="BR129" s="934"/>
      <c r="BS129" s="934"/>
      <c r="BT129" s="934"/>
      <c r="BU129" s="934"/>
      <c r="BV129" s="934"/>
      <c r="BW129" s="934"/>
      <c r="BX129" s="934"/>
      <c r="BY129" s="934"/>
      <c r="BZ129" s="934"/>
      <c r="CA129" s="934"/>
      <c r="CB129" s="934"/>
      <c r="CC129" s="934"/>
      <c r="CD129" s="934"/>
      <c r="CE129" s="934"/>
      <c r="CF129" s="934"/>
      <c r="CG129" s="934"/>
      <c r="CH129" s="934"/>
      <c r="CI129" s="934"/>
      <c r="CJ129" s="934"/>
      <c r="CK129" s="934"/>
      <c r="CL129" s="934"/>
      <c r="CM129" s="934"/>
      <c r="CN129" s="934"/>
      <c r="CO129" s="934"/>
      <c r="CP129" s="934"/>
      <c r="CQ129" s="934"/>
      <c r="CR129" s="934"/>
      <c r="CS129" s="934"/>
      <c r="CT129" s="934"/>
      <c r="CU129" s="934"/>
      <c r="CV129" s="934"/>
      <c r="CW129" s="934"/>
      <c r="CX129" s="934"/>
      <c r="CY129" s="934"/>
      <c r="CZ129" s="934"/>
      <c r="DA129" s="934"/>
      <c r="DB129" s="934"/>
      <c r="DC129" s="934"/>
      <c r="DD129" s="934"/>
      <c r="DE129" s="934"/>
      <c r="DF129" s="934"/>
      <c r="DG129" s="934"/>
      <c r="DH129" s="934"/>
      <c r="DI129" s="934"/>
      <c r="DJ129" s="934"/>
      <c r="DK129" s="934"/>
      <c r="DL129" s="934"/>
      <c r="DM129" s="934"/>
      <c r="DN129" s="934"/>
      <c r="DO129" s="934"/>
      <c r="DP129" s="934"/>
      <c r="DQ129" s="934"/>
      <c r="DR129" s="934"/>
      <c r="DS129" s="934"/>
      <c r="DT129" s="934"/>
      <c r="DU129" s="934"/>
      <c r="DV129" s="934"/>
      <c r="DW129" s="934"/>
      <c r="DX129" s="934"/>
      <c r="DY129" s="934"/>
      <c r="DZ129" s="934"/>
      <c r="EA129" s="934"/>
      <c r="EB129" s="934"/>
      <c r="EC129" s="934"/>
      <c r="ED129" s="934"/>
      <c r="EE129" s="934"/>
      <c r="EF129" s="934"/>
      <c r="EG129" s="934"/>
      <c r="EH129" s="934"/>
      <c r="EI129" s="934"/>
      <c r="EJ129" s="934"/>
      <c r="EK129" s="934"/>
      <c r="EL129" s="934"/>
      <c r="EM129" s="934"/>
      <c r="EN129" s="934"/>
      <c r="EO129" s="934"/>
      <c r="EP129" s="934"/>
      <c r="EQ129" s="934"/>
      <c r="ER129" s="934"/>
      <c r="ES129" s="934"/>
      <c r="ET129" s="934"/>
      <c r="EU129" s="934"/>
      <c r="EV129" s="934"/>
      <c r="EW129" s="934"/>
      <c r="EX129" s="934"/>
      <c r="EY129" s="934"/>
      <c r="EZ129" s="934"/>
      <c r="FA129" s="934"/>
      <c r="FB129" s="934"/>
      <c r="FC129" s="934"/>
      <c r="FD129" s="934"/>
      <c r="FE129" s="934"/>
      <c r="FF129" s="934"/>
      <c r="FG129" s="934"/>
      <c r="FH129" s="934"/>
      <c r="FI129" s="934"/>
      <c r="FJ129" s="934"/>
      <c r="FK129" s="934"/>
      <c r="FL129" s="934"/>
      <c r="FM129" s="934"/>
      <c r="FN129" s="934"/>
      <c r="FO129" s="934"/>
      <c r="FP129" s="934"/>
      <c r="FQ129" s="934"/>
      <c r="FR129" s="934"/>
      <c r="FS129" s="934"/>
      <c r="FT129" s="934"/>
      <c r="FU129" s="934"/>
      <c r="FV129" s="934"/>
      <c r="FW129" s="934"/>
      <c r="FX129" s="934"/>
      <c r="FY129" s="934"/>
      <c r="FZ129" s="934"/>
      <c r="GA129" s="934"/>
      <c r="GB129" s="934"/>
      <c r="GC129" s="934"/>
      <c r="GD129" s="934"/>
      <c r="GE129" s="934"/>
      <c r="GF129" s="934"/>
      <c r="GG129" s="934"/>
      <c r="GH129" s="934"/>
      <c r="GI129" s="934"/>
      <c r="GJ129" s="934"/>
      <c r="GK129" s="934"/>
      <c r="GL129" s="934"/>
      <c r="GM129" s="934"/>
      <c r="GN129" s="934"/>
      <c r="GO129" s="934"/>
      <c r="GP129" s="934"/>
      <c r="GQ129" s="934"/>
      <c r="GR129" s="934"/>
      <c r="GS129" s="934"/>
      <c r="GT129" s="934"/>
      <c r="GU129" s="934"/>
      <c r="GV129" s="934"/>
      <c r="GW129" s="934"/>
      <c r="GX129" s="934"/>
      <c r="GY129" s="934"/>
      <c r="GZ129" s="934"/>
      <c r="HA129" s="934"/>
      <c r="HB129" s="934"/>
      <c r="HC129" s="934"/>
      <c r="HD129" s="934"/>
      <c r="HE129" s="934"/>
      <c r="HF129" s="934"/>
      <c r="HG129" s="934"/>
      <c r="HH129" s="934"/>
      <c r="HI129" s="934"/>
      <c r="HJ129" s="934"/>
      <c r="HK129" s="934"/>
      <c r="HL129" s="934"/>
      <c r="HM129" s="934"/>
      <c r="HN129" s="934"/>
      <c r="HO129" s="934"/>
      <c r="HP129" s="934"/>
      <c r="HQ129" s="934"/>
      <c r="HR129" s="934"/>
      <c r="HS129" s="934"/>
      <c r="HT129" s="934"/>
      <c r="HU129" s="934"/>
      <c r="HV129" s="934"/>
      <c r="HW129" s="934"/>
      <c r="HX129" s="934"/>
      <c r="HY129" s="934"/>
      <c r="HZ129" s="934"/>
      <c r="IA129" s="934"/>
      <c r="IB129" s="934"/>
      <c r="IC129" s="934"/>
      <c r="ID129" s="934"/>
      <c r="IE129" s="934"/>
      <c r="IF129" s="934"/>
      <c r="IG129" s="934"/>
      <c r="IH129" s="934"/>
      <c r="II129" s="934"/>
      <c r="IJ129" s="934"/>
      <c r="IK129" s="934"/>
      <c r="IL129" s="934"/>
      <c r="IM129" s="934"/>
      <c r="IN129" s="934"/>
      <c r="IO129" s="934"/>
      <c r="IP129" s="934"/>
      <c r="IQ129" s="934"/>
      <c r="IR129" s="934"/>
      <c r="IS129" s="934"/>
      <c r="IT129" s="934"/>
      <c r="IU129" s="934"/>
      <c r="IV129" s="934"/>
    </row>
    <row r="130" spans="1:18" s="934" customFormat="1" ht="31.5" customHeight="1">
      <c r="A130" s="957"/>
      <c r="B130" s="957"/>
      <c r="C130" s="974" t="s">
        <v>246</v>
      </c>
      <c r="D130" s="972">
        <v>117000</v>
      </c>
      <c r="E130" s="971">
        <v>68000</v>
      </c>
      <c r="F130" s="972"/>
      <c r="G130" s="970"/>
      <c r="H130" s="972">
        <f>I130+J130+K130</f>
        <v>167000</v>
      </c>
      <c r="I130" s="971">
        <v>167000</v>
      </c>
      <c r="J130" s="972"/>
      <c r="K130" s="972"/>
      <c r="L130" s="1007">
        <f t="shared" si="25"/>
        <v>166792</v>
      </c>
      <c r="M130" s="971">
        <v>166792</v>
      </c>
      <c r="N130" s="972"/>
      <c r="O130" s="972"/>
      <c r="P130" s="973">
        <f t="shared" si="26"/>
        <v>0.9987544910179641</v>
      </c>
      <c r="Q130" s="973">
        <f t="shared" si="27"/>
        <v>0.9987544910179641</v>
      </c>
      <c r="R130" s="1054"/>
    </row>
    <row r="131" spans="1:18" s="934" customFormat="1" ht="31.5" customHeight="1">
      <c r="A131" s="957"/>
      <c r="B131" s="957"/>
      <c r="C131" s="1048" t="s">
        <v>247</v>
      </c>
      <c r="D131" s="972">
        <v>103000</v>
      </c>
      <c r="E131" s="971"/>
      <c r="F131" s="972"/>
      <c r="G131" s="970"/>
      <c r="H131" s="972">
        <f>I131+J131+K131</f>
        <v>103000</v>
      </c>
      <c r="I131" s="1049">
        <v>3000</v>
      </c>
      <c r="J131" s="977">
        <v>100000</v>
      </c>
      <c r="K131" s="977"/>
      <c r="L131" s="1007">
        <f t="shared" si="25"/>
        <v>101468</v>
      </c>
      <c r="M131" s="1049">
        <v>1468</v>
      </c>
      <c r="N131" s="977">
        <v>100000</v>
      </c>
      <c r="O131" s="977"/>
      <c r="P131" s="973">
        <f t="shared" si="26"/>
        <v>0.985126213592233</v>
      </c>
      <c r="Q131" s="973">
        <f t="shared" si="27"/>
        <v>0.48933333333333334</v>
      </c>
      <c r="R131" s="1054"/>
    </row>
    <row r="132" spans="1:18" s="934" customFormat="1" ht="21.75" customHeight="1">
      <c r="A132" s="957"/>
      <c r="B132" s="957"/>
      <c r="C132" s="974" t="s">
        <v>248</v>
      </c>
      <c r="D132" s="972">
        <v>32000</v>
      </c>
      <c r="E132" s="971">
        <v>50000</v>
      </c>
      <c r="F132" s="972"/>
      <c r="G132" s="970"/>
      <c r="H132" s="972">
        <f>I132+J132</f>
        <v>37000</v>
      </c>
      <c r="I132" s="971">
        <v>37000</v>
      </c>
      <c r="J132" s="972"/>
      <c r="K132" s="972"/>
      <c r="L132" s="1007">
        <f t="shared" si="25"/>
        <v>36208</v>
      </c>
      <c r="M132" s="971">
        <v>36208</v>
      </c>
      <c r="N132" s="972"/>
      <c r="O132" s="972"/>
      <c r="P132" s="973">
        <f t="shared" si="26"/>
        <v>0.9785945945945946</v>
      </c>
      <c r="Q132" s="973">
        <f t="shared" si="27"/>
        <v>0.9785945945945946</v>
      </c>
      <c r="R132" s="1054"/>
    </row>
    <row r="133" spans="1:17" s="934" customFormat="1" ht="31.5" customHeight="1">
      <c r="A133" s="957"/>
      <c r="B133" s="957"/>
      <c r="C133" s="976" t="s">
        <v>249</v>
      </c>
      <c r="D133" s="968"/>
      <c r="E133" s="967">
        <v>68000</v>
      </c>
      <c r="F133" s="968"/>
      <c r="G133" s="966"/>
      <c r="H133" s="968">
        <f aca="true" t="shared" si="28" ref="H133:H138">I133+J133+K133</f>
        <v>3211000</v>
      </c>
      <c r="I133" s="967">
        <v>3211000</v>
      </c>
      <c r="J133" s="968"/>
      <c r="K133" s="968"/>
      <c r="L133" s="1002">
        <f t="shared" si="25"/>
        <v>3210501</v>
      </c>
      <c r="M133" s="967">
        <v>3210501</v>
      </c>
      <c r="N133" s="968"/>
      <c r="O133" s="968"/>
      <c r="P133" s="969">
        <f t="shared" si="26"/>
        <v>0.9998445966988477</v>
      </c>
      <c r="Q133" s="969">
        <f t="shared" si="27"/>
        <v>0.9998445966988477</v>
      </c>
    </row>
    <row r="134" spans="1:17" s="934" customFormat="1" ht="21.75" customHeight="1">
      <c r="A134" s="957"/>
      <c r="B134" s="957"/>
      <c r="C134" s="1061" t="s">
        <v>250</v>
      </c>
      <c r="D134" s="977"/>
      <c r="E134" s="1049"/>
      <c r="F134" s="977"/>
      <c r="G134" s="926"/>
      <c r="H134" s="977">
        <f t="shared" si="28"/>
        <v>330000</v>
      </c>
      <c r="I134" s="1049">
        <v>330000</v>
      </c>
      <c r="J134" s="977"/>
      <c r="K134" s="977"/>
      <c r="L134" s="1014">
        <f>M134</f>
        <v>325122</v>
      </c>
      <c r="M134" s="1049">
        <v>325122</v>
      </c>
      <c r="N134" s="977"/>
      <c r="O134" s="977"/>
      <c r="P134" s="1047">
        <f t="shared" si="26"/>
        <v>0.9852181818181818</v>
      </c>
      <c r="Q134" s="1047">
        <f t="shared" si="27"/>
        <v>0.9852181818181818</v>
      </c>
    </row>
    <row r="135" spans="1:17" s="934" customFormat="1" ht="21.75" customHeight="1">
      <c r="A135" s="957"/>
      <c r="B135" s="957"/>
      <c r="C135" s="1051" t="s">
        <v>251</v>
      </c>
      <c r="D135" s="983"/>
      <c r="E135" s="984"/>
      <c r="F135" s="983"/>
      <c r="G135" s="982"/>
      <c r="H135" s="983">
        <f t="shared" si="28"/>
        <v>72000</v>
      </c>
      <c r="I135" s="984">
        <v>18557</v>
      </c>
      <c r="J135" s="983"/>
      <c r="K135" s="983">
        <v>53443</v>
      </c>
      <c r="L135" s="985">
        <f>M135+O135</f>
        <v>72000</v>
      </c>
      <c r="M135" s="984">
        <v>18557</v>
      </c>
      <c r="N135" s="983"/>
      <c r="O135" s="983">
        <v>53443</v>
      </c>
      <c r="P135" s="986">
        <f t="shared" si="26"/>
        <v>1</v>
      </c>
      <c r="Q135" s="986">
        <f t="shared" si="27"/>
        <v>1</v>
      </c>
    </row>
    <row r="136" spans="1:17" s="941" customFormat="1" ht="22.5" customHeight="1">
      <c r="A136" s="949"/>
      <c r="B136" s="1020">
        <v>90002</v>
      </c>
      <c r="C136" s="954" t="s">
        <v>894</v>
      </c>
      <c r="D136" s="952">
        <f>D137+D138</f>
        <v>900000</v>
      </c>
      <c r="E136" s="953"/>
      <c r="F136" s="952">
        <f>SUM(F137:F137)</f>
        <v>500000</v>
      </c>
      <c r="G136" s="954">
        <f>SUM(G137:G137)</f>
        <v>656000</v>
      </c>
      <c r="H136" s="952">
        <f t="shared" si="28"/>
        <v>712000</v>
      </c>
      <c r="I136" s="953">
        <f>I137+I138</f>
        <v>212000</v>
      </c>
      <c r="J136" s="952">
        <f>SUM(J137:J137)</f>
        <v>500000</v>
      </c>
      <c r="K136" s="952"/>
      <c r="L136" s="955">
        <f>M136</f>
        <v>211429</v>
      </c>
      <c r="M136" s="953">
        <f>M137+M138</f>
        <v>211429</v>
      </c>
      <c r="N136" s="952"/>
      <c r="O136" s="952"/>
      <c r="P136" s="956">
        <f t="shared" si="26"/>
        <v>0.2969508426966292</v>
      </c>
      <c r="Q136" s="956">
        <f t="shared" si="27"/>
        <v>0.9973066037735849</v>
      </c>
    </row>
    <row r="137" spans="1:18" s="934" customFormat="1" ht="21.75" customHeight="1">
      <c r="A137" s="957"/>
      <c r="B137" s="958"/>
      <c r="C137" s="1062" t="s">
        <v>252</v>
      </c>
      <c r="D137" s="1044">
        <v>500000</v>
      </c>
      <c r="E137" s="1045"/>
      <c r="F137" s="1044">
        <v>500000</v>
      </c>
      <c r="G137" s="1043">
        <v>656000</v>
      </c>
      <c r="H137" s="1044">
        <f t="shared" si="28"/>
        <v>614000</v>
      </c>
      <c r="I137" s="1045">
        <v>114000</v>
      </c>
      <c r="J137" s="1044">
        <v>500000</v>
      </c>
      <c r="K137" s="1044"/>
      <c r="L137" s="1046">
        <f>M137</f>
        <v>113429</v>
      </c>
      <c r="M137" s="1045">
        <v>113429</v>
      </c>
      <c r="N137" s="1044"/>
      <c r="O137" s="1044"/>
      <c r="P137" s="969">
        <f t="shared" si="26"/>
        <v>0.18473778501628665</v>
      </c>
      <c r="Q137" s="969">
        <f t="shared" si="27"/>
        <v>0.9949912280701755</v>
      </c>
      <c r="R137" s="1054"/>
    </row>
    <row r="138" spans="1:17" s="934" customFormat="1" ht="30.75" customHeight="1">
      <c r="A138" s="981"/>
      <c r="B138" s="981"/>
      <c r="C138" s="1051" t="s">
        <v>253</v>
      </c>
      <c r="D138" s="983">
        <v>400000</v>
      </c>
      <c r="E138" s="984"/>
      <c r="F138" s="983">
        <v>500000</v>
      </c>
      <c r="G138" s="982">
        <v>656000</v>
      </c>
      <c r="H138" s="983">
        <f t="shared" si="28"/>
        <v>98000</v>
      </c>
      <c r="I138" s="984">
        <v>98000</v>
      </c>
      <c r="J138" s="983"/>
      <c r="K138" s="983"/>
      <c r="L138" s="985">
        <f>M138</f>
        <v>98000</v>
      </c>
      <c r="M138" s="984">
        <v>98000</v>
      </c>
      <c r="N138" s="983"/>
      <c r="O138" s="983"/>
      <c r="P138" s="1036">
        <f t="shared" si="26"/>
        <v>1</v>
      </c>
      <c r="Q138" s="1036">
        <f t="shared" si="27"/>
        <v>1</v>
      </c>
    </row>
    <row r="139" spans="1:17" s="934" customFormat="1" ht="25.5" customHeight="1">
      <c r="A139" s="957"/>
      <c r="B139" s="935">
        <v>90015</v>
      </c>
      <c r="C139" s="1063" t="s">
        <v>386</v>
      </c>
      <c r="D139" s="988">
        <f>D140</f>
        <v>120000</v>
      </c>
      <c r="E139" s="1031"/>
      <c r="F139" s="1030"/>
      <c r="G139" s="1029"/>
      <c r="H139" s="988">
        <f>H140</f>
        <v>235100</v>
      </c>
      <c r="I139" s="989">
        <f>I140</f>
        <v>235100</v>
      </c>
      <c r="J139" s="1030"/>
      <c r="K139" s="1030"/>
      <c r="L139" s="990">
        <f aca="true" t="shared" si="29" ref="L139:L144">SUM(M139:O139)</f>
        <v>235087</v>
      </c>
      <c r="M139" s="989">
        <f>M140</f>
        <v>235087</v>
      </c>
      <c r="N139" s="988"/>
      <c r="O139" s="988"/>
      <c r="P139" s="991">
        <f t="shared" si="26"/>
        <v>0.9999447043811144</v>
      </c>
      <c r="Q139" s="991">
        <f t="shared" si="27"/>
        <v>0.9999447043811144</v>
      </c>
    </row>
    <row r="140" spans="1:17" s="934" customFormat="1" ht="24.75" customHeight="1">
      <c r="A140" s="957"/>
      <c r="B140" s="981"/>
      <c r="C140" s="1064" t="s">
        <v>254</v>
      </c>
      <c r="D140" s="1030">
        <v>120000</v>
      </c>
      <c r="E140" s="1031"/>
      <c r="F140" s="1030"/>
      <c r="G140" s="1029"/>
      <c r="H140" s="1030">
        <f>I140+J140+K140</f>
        <v>235100</v>
      </c>
      <c r="I140" s="1031">
        <v>235100</v>
      </c>
      <c r="J140" s="1030"/>
      <c r="K140" s="1030"/>
      <c r="L140" s="997">
        <f t="shared" si="29"/>
        <v>235087</v>
      </c>
      <c r="M140" s="1031">
        <v>235087</v>
      </c>
      <c r="N140" s="1030"/>
      <c r="O140" s="1030"/>
      <c r="P140" s="1022">
        <f t="shared" si="26"/>
        <v>0.9999447043811144</v>
      </c>
      <c r="Q140" s="1022">
        <f t="shared" si="27"/>
        <v>0.9999447043811144</v>
      </c>
    </row>
    <row r="141" spans="1:17" s="941" customFormat="1" ht="24.75" customHeight="1">
      <c r="A141" s="949"/>
      <c r="B141" s="1020">
        <v>90095</v>
      </c>
      <c r="C141" s="954" t="s">
        <v>966</v>
      </c>
      <c r="D141" s="952">
        <f>SUM(D142:D146)</f>
        <v>8540000</v>
      </c>
      <c r="E141" s="953">
        <f>SUM(E142:E146)</f>
        <v>4700000</v>
      </c>
      <c r="F141" s="952">
        <f>SUM(F142:F146)</f>
        <v>200000</v>
      </c>
      <c r="G141" s="954"/>
      <c r="H141" s="952">
        <f>I141+J141+K141</f>
        <v>11373720</v>
      </c>
      <c r="I141" s="953">
        <f>SUM(I142:I146)</f>
        <v>7243720</v>
      </c>
      <c r="J141" s="952">
        <f>SUM(J142:J146)</f>
        <v>4130000</v>
      </c>
      <c r="K141" s="952"/>
      <c r="L141" s="955">
        <f t="shared" si="29"/>
        <v>11367921.67</v>
      </c>
      <c r="M141" s="953">
        <f>SUM(M142:M146)</f>
        <v>7237921.67</v>
      </c>
      <c r="N141" s="952">
        <f>N143+N144</f>
        <v>4130000</v>
      </c>
      <c r="O141" s="952"/>
      <c r="P141" s="956">
        <f t="shared" si="26"/>
        <v>0.9994901993367166</v>
      </c>
      <c r="Q141" s="956">
        <f t="shared" si="27"/>
        <v>0.9991995369782377</v>
      </c>
    </row>
    <row r="142" spans="1:17" s="948" customFormat="1" ht="23.25" customHeight="1">
      <c r="A142" s="957"/>
      <c r="B142" s="958"/>
      <c r="C142" s="963" t="s">
        <v>255</v>
      </c>
      <c r="D142" s="962">
        <v>2000000</v>
      </c>
      <c r="E142" s="961">
        <v>1500000</v>
      </c>
      <c r="F142" s="962"/>
      <c r="G142" s="963"/>
      <c r="H142" s="962">
        <f>I142+J142+K142</f>
        <v>2030000</v>
      </c>
      <c r="I142" s="961">
        <v>2030000</v>
      </c>
      <c r="J142" s="962"/>
      <c r="K142" s="962"/>
      <c r="L142" s="1027">
        <f t="shared" si="29"/>
        <v>2029078</v>
      </c>
      <c r="M142" s="961">
        <v>2029078</v>
      </c>
      <c r="N142" s="962"/>
      <c r="O142" s="962"/>
      <c r="P142" s="965">
        <f t="shared" si="26"/>
        <v>0.9995458128078818</v>
      </c>
      <c r="Q142" s="965">
        <f t="shared" si="27"/>
        <v>0.9995458128078818</v>
      </c>
    </row>
    <row r="143" spans="1:17" s="948" customFormat="1" ht="36.75" customHeight="1">
      <c r="A143" s="957"/>
      <c r="B143" s="957"/>
      <c r="C143" s="976" t="s">
        <v>256</v>
      </c>
      <c r="D143" s="968">
        <v>4500000</v>
      </c>
      <c r="E143" s="967">
        <v>1000000</v>
      </c>
      <c r="F143" s="968">
        <v>200000</v>
      </c>
      <c r="G143" s="966"/>
      <c r="H143" s="968">
        <f>I143+J143+K143</f>
        <v>5104277</v>
      </c>
      <c r="I143" s="967">
        <v>1704277</v>
      </c>
      <c r="J143" s="968">
        <v>3400000</v>
      </c>
      <c r="K143" s="968"/>
      <c r="L143" s="1002">
        <f t="shared" si="29"/>
        <v>5099586.67</v>
      </c>
      <c r="M143" s="967">
        <f>1694948.85+4637.82</f>
        <v>1699586.6700000002</v>
      </c>
      <c r="N143" s="968">
        <v>3400000</v>
      </c>
      <c r="O143" s="968"/>
      <c r="P143" s="969">
        <f t="shared" si="26"/>
        <v>0.9990810980673659</v>
      </c>
      <c r="Q143" s="969">
        <f t="shared" si="27"/>
        <v>0.9972479062969225</v>
      </c>
    </row>
    <row r="144" spans="1:17" s="948" customFormat="1" ht="37.5" customHeight="1">
      <c r="A144" s="957"/>
      <c r="B144" s="957"/>
      <c r="C144" s="974" t="s">
        <v>257</v>
      </c>
      <c r="D144" s="972">
        <f>E144+F144+G144</f>
        <v>1000000</v>
      </c>
      <c r="E144" s="971">
        <v>1000000</v>
      </c>
      <c r="F144" s="972"/>
      <c r="G144" s="970"/>
      <c r="H144" s="972">
        <f>I144+J144+K144</f>
        <v>3886443</v>
      </c>
      <c r="I144" s="971">
        <v>3156443</v>
      </c>
      <c r="J144" s="972">
        <v>730000</v>
      </c>
      <c r="K144" s="972"/>
      <c r="L144" s="1007">
        <f t="shared" si="29"/>
        <v>3886443</v>
      </c>
      <c r="M144" s="971">
        <v>3156443</v>
      </c>
      <c r="N144" s="972">
        <v>730000</v>
      </c>
      <c r="O144" s="972"/>
      <c r="P144" s="973">
        <f t="shared" si="26"/>
        <v>1</v>
      </c>
      <c r="Q144" s="973">
        <f t="shared" si="27"/>
        <v>1</v>
      </c>
    </row>
    <row r="145" spans="1:17" s="948" customFormat="1" ht="24" customHeight="1">
      <c r="A145" s="957"/>
      <c r="B145" s="957"/>
      <c r="C145" s="974" t="s">
        <v>258</v>
      </c>
      <c r="D145" s="972">
        <v>40000</v>
      </c>
      <c r="E145" s="971">
        <v>1000000</v>
      </c>
      <c r="F145" s="972"/>
      <c r="G145" s="970"/>
      <c r="H145" s="972"/>
      <c r="I145" s="971"/>
      <c r="J145" s="972"/>
      <c r="K145" s="972"/>
      <c r="L145" s="1007"/>
      <c r="M145" s="971"/>
      <c r="N145" s="972"/>
      <c r="O145" s="972"/>
      <c r="P145" s="973"/>
      <c r="Q145" s="973"/>
    </row>
    <row r="146" spans="1:17" s="948" customFormat="1" ht="24" customHeight="1">
      <c r="A146" s="957"/>
      <c r="B146" s="957"/>
      <c r="C146" s="966" t="s">
        <v>259</v>
      </c>
      <c r="D146" s="968">
        <v>1000000</v>
      </c>
      <c r="E146" s="967">
        <v>200000</v>
      </c>
      <c r="F146" s="968"/>
      <c r="G146" s="966"/>
      <c r="H146" s="968">
        <f>I146+J146+K146</f>
        <v>353000</v>
      </c>
      <c r="I146" s="967">
        <v>353000</v>
      </c>
      <c r="J146" s="968"/>
      <c r="K146" s="968"/>
      <c r="L146" s="1007">
        <f>SUM(M146:O146)</f>
        <v>352814</v>
      </c>
      <c r="M146" s="967">
        <v>352814</v>
      </c>
      <c r="N146" s="968"/>
      <c r="O146" s="968"/>
      <c r="P146" s="969">
        <f>L146/H146</f>
        <v>0.9994730878186969</v>
      </c>
      <c r="Q146" s="969">
        <f>M146/I146</f>
        <v>0.9994730878186969</v>
      </c>
    </row>
    <row r="147" spans="1:17" s="948" customFormat="1" ht="37.5" customHeight="1">
      <c r="A147" s="1059">
        <v>921</v>
      </c>
      <c r="B147" s="942"/>
      <c r="C147" s="1058" t="s">
        <v>512</v>
      </c>
      <c r="D147" s="1016">
        <f>D150+D154</f>
        <v>635000</v>
      </c>
      <c r="E147" s="1017" t="e">
        <f>#REF!+#REF!+E154+E150</f>
        <v>#REF!</v>
      </c>
      <c r="F147" s="1016"/>
      <c r="G147" s="1015"/>
      <c r="H147" s="1016">
        <f>I147+J147+K147</f>
        <v>788600</v>
      </c>
      <c r="I147" s="1017">
        <f>I150+I152+I154+I148</f>
        <v>788600</v>
      </c>
      <c r="J147" s="1016"/>
      <c r="K147" s="1016"/>
      <c r="L147" s="1018">
        <f>SUM(M147:O147)</f>
        <v>231297</v>
      </c>
      <c r="M147" s="1017">
        <f>M150+M154+M152</f>
        <v>231297</v>
      </c>
      <c r="N147" s="1017"/>
      <c r="O147" s="1016"/>
      <c r="P147" s="1019">
        <f>L147/H147</f>
        <v>0.29330078620339844</v>
      </c>
      <c r="Q147" s="1019">
        <f>M147/I147</f>
        <v>0.29330078620339844</v>
      </c>
    </row>
    <row r="148" spans="1:17" s="941" customFormat="1" ht="24.75" customHeight="1">
      <c r="A148" s="949"/>
      <c r="B148" s="1060">
        <v>92105</v>
      </c>
      <c r="C148" s="1025" t="s">
        <v>498</v>
      </c>
      <c r="D148" s="988"/>
      <c r="E148" s="989">
        <f>E149</f>
        <v>130000</v>
      </c>
      <c r="F148" s="989"/>
      <c r="G148" s="987"/>
      <c r="H148" s="988">
        <f>H149</f>
        <v>3600</v>
      </c>
      <c r="I148" s="989">
        <f>I149</f>
        <v>3600</v>
      </c>
      <c r="J148" s="989"/>
      <c r="K148" s="988"/>
      <c r="L148" s="990"/>
      <c r="M148" s="989"/>
      <c r="N148" s="989"/>
      <c r="O148" s="988"/>
      <c r="P148" s="1065"/>
      <c r="Q148" s="1065"/>
    </row>
    <row r="149" spans="1:17" s="948" customFormat="1" ht="69.75" customHeight="1">
      <c r="A149" s="957"/>
      <c r="B149" s="992"/>
      <c r="C149" s="1066" t="s">
        <v>260</v>
      </c>
      <c r="D149" s="994"/>
      <c r="E149" s="995">
        <v>130000</v>
      </c>
      <c r="F149" s="994"/>
      <c r="G149" s="996"/>
      <c r="H149" s="994">
        <f>I149+J149+K149</f>
        <v>3600</v>
      </c>
      <c r="I149" s="995">
        <v>3600</v>
      </c>
      <c r="J149" s="994"/>
      <c r="K149" s="994"/>
      <c r="L149" s="1021"/>
      <c r="M149" s="995"/>
      <c r="N149" s="994"/>
      <c r="O149" s="994"/>
      <c r="P149" s="1067"/>
      <c r="Q149" s="1067"/>
    </row>
    <row r="150" spans="1:17" s="941" customFormat="1" ht="25.5" customHeight="1">
      <c r="A150" s="949"/>
      <c r="B150" s="1060">
        <v>92113</v>
      </c>
      <c r="C150" s="1025" t="s">
        <v>89</v>
      </c>
      <c r="D150" s="988">
        <f>D151</f>
        <v>500000</v>
      </c>
      <c r="E150" s="989">
        <f>E151</f>
        <v>130000</v>
      </c>
      <c r="F150" s="989"/>
      <c r="G150" s="987"/>
      <c r="H150" s="988">
        <f>H151</f>
        <v>450000</v>
      </c>
      <c r="I150" s="989">
        <f>I151</f>
        <v>450000</v>
      </c>
      <c r="J150" s="989"/>
      <c r="K150" s="988"/>
      <c r="L150" s="990">
        <f>M150</f>
        <v>46342</v>
      </c>
      <c r="M150" s="989">
        <f>M151</f>
        <v>46342</v>
      </c>
      <c r="N150" s="989"/>
      <c r="O150" s="988"/>
      <c r="P150" s="1065">
        <f aca="true" t="shared" si="30" ref="P150:P160">L150/H150</f>
        <v>0.10298222222222222</v>
      </c>
      <c r="Q150" s="1065">
        <f aca="true" t="shared" si="31" ref="Q150:Q160">M150/I150</f>
        <v>0.10298222222222222</v>
      </c>
    </row>
    <row r="151" spans="1:17" s="948" customFormat="1" ht="36.75" customHeight="1">
      <c r="A151" s="957"/>
      <c r="B151" s="992"/>
      <c r="C151" s="1066" t="s">
        <v>261</v>
      </c>
      <c r="D151" s="994">
        <v>500000</v>
      </c>
      <c r="E151" s="995">
        <v>130000</v>
      </c>
      <c r="F151" s="994"/>
      <c r="G151" s="996"/>
      <c r="H151" s="994">
        <f>I151+J151+K151</f>
        <v>450000</v>
      </c>
      <c r="I151" s="995">
        <v>450000</v>
      </c>
      <c r="J151" s="994"/>
      <c r="K151" s="994"/>
      <c r="L151" s="1021">
        <f>M151</f>
        <v>46342</v>
      </c>
      <c r="M151" s="995">
        <v>46342</v>
      </c>
      <c r="N151" s="994"/>
      <c r="O151" s="994"/>
      <c r="P151" s="1067">
        <f t="shared" si="30"/>
        <v>0.10298222222222222</v>
      </c>
      <c r="Q151" s="1067">
        <f t="shared" si="31"/>
        <v>0.10298222222222222</v>
      </c>
    </row>
    <row r="152" spans="1:17" s="941" customFormat="1" ht="24" customHeight="1">
      <c r="A152" s="949"/>
      <c r="B152" s="1060">
        <v>92116</v>
      </c>
      <c r="C152" s="1025" t="s">
        <v>877</v>
      </c>
      <c r="D152" s="988"/>
      <c r="E152" s="989">
        <f>E153</f>
        <v>130000</v>
      </c>
      <c r="F152" s="989"/>
      <c r="G152" s="987"/>
      <c r="H152" s="988">
        <f>H153</f>
        <v>175000</v>
      </c>
      <c r="I152" s="989">
        <f>I153</f>
        <v>175000</v>
      </c>
      <c r="J152" s="989"/>
      <c r="K152" s="988"/>
      <c r="L152" s="990">
        <f>M152</f>
        <v>43572</v>
      </c>
      <c r="M152" s="989">
        <f>M153</f>
        <v>43572</v>
      </c>
      <c r="N152" s="989"/>
      <c r="O152" s="988"/>
      <c r="P152" s="1065">
        <f t="shared" si="30"/>
        <v>0.24898285714285714</v>
      </c>
      <c r="Q152" s="1065">
        <f t="shared" si="31"/>
        <v>0.24898285714285714</v>
      </c>
    </row>
    <row r="153" spans="1:17" s="948" customFormat="1" ht="42" customHeight="1">
      <c r="A153" s="957"/>
      <c r="B153" s="992"/>
      <c r="C153" s="1066" t="s">
        <v>262</v>
      </c>
      <c r="D153" s="994"/>
      <c r="E153" s="995">
        <v>130000</v>
      </c>
      <c r="F153" s="994"/>
      <c r="G153" s="996"/>
      <c r="H153" s="994">
        <f aca="true" t="shared" si="32" ref="H153:H160">I153+J153+K153</f>
        <v>175000</v>
      </c>
      <c r="I153" s="995">
        <v>175000</v>
      </c>
      <c r="J153" s="994"/>
      <c r="K153" s="994"/>
      <c r="L153" s="1021">
        <f>M153</f>
        <v>43572</v>
      </c>
      <c r="M153" s="995">
        <v>43572</v>
      </c>
      <c r="N153" s="994"/>
      <c r="O153" s="994"/>
      <c r="P153" s="1067">
        <f t="shared" si="30"/>
        <v>0.24898285714285714</v>
      </c>
      <c r="Q153" s="1067">
        <f t="shared" si="31"/>
        <v>0.24898285714285714</v>
      </c>
    </row>
    <row r="154" spans="1:17" s="941" customFormat="1" ht="24.75" customHeight="1">
      <c r="A154" s="949"/>
      <c r="B154" s="1060">
        <v>92120</v>
      </c>
      <c r="C154" s="1025" t="s">
        <v>92</v>
      </c>
      <c r="D154" s="988">
        <f>SUM(D155:D157)</f>
        <v>135000</v>
      </c>
      <c r="E154" s="989">
        <f>SUM(E155:E157)</f>
        <v>591000</v>
      </c>
      <c r="F154" s="989"/>
      <c r="G154" s="987"/>
      <c r="H154" s="988">
        <f t="shared" si="32"/>
        <v>160000</v>
      </c>
      <c r="I154" s="989">
        <f>I155+I157+I156</f>
        <v>160000</v>
      </c>
      <c r="J154" s="989"/>
      <c r="K154" s="988"/>
      <c r="L154" s="990">
        <f>SUM(M154:O154)</f>
        <v>141383</v>
      </c>
      <c r="M154" s="989">
        <f>SUM(M155:M157)</f>
        <v>141383</v>
      </c>
      <c r="N154" s="989"/>
      <c r="O154" s="988"/>
      <c r="P154" s="991">
        <f t="shared" si="30"/>
        <v>0.88364375</v>
      </c>
      <c r="Q154" s="991">
        <f t="shared" si="31"/>
        <v>0.88364375</v>
      </c>
    </row>
    <row r="155" spans="1:17" s="948" customFormat="1" ht="24.75" customHeight="1">
      <c r="A155" s="957"/>
      <c r="B155" s="957"/>
      <c r="C155" s="926" t="s">
        <v>263</v>
      </c>
      <c r="D155" s="977">
        <v>50000</v>
      </c>
      <c r="E155" s="1049">
        <v>491000</v>
      </c>
      <c r="F155" s="977"/>
      <c r="G155" s="926"/>
      <c r="H155" s="977">
        <f t="shared" si="32"/>
        <v>40000</v>
      </c>
      <c r="I155" s="1049">
        <v>40000</v>
      </c>
      <c r="J155" s="977"/>
      <c r="K155" s="977"/>
      <c r="L155" s="1014">
        <f>SUM(M155:O155)</f>
        <v>25794</v>
      </c>
      <c r="M155" s="1049">
        <v>25794</v>
      </c>
      <c r="N155" s="977"/>
      <c r="O155" s="977"/>
      <c r="P155" s="1028">
        <f t="shared" si="30"/>
        <v>0.64485</v>
      </c>
      <c r="Q155" s="1028">
        <f t="shared" si="31"/>
        <v>0.64485</v>
      </c>
    </row>
    <row r="156" spans="1:17" s="948" customFormat="1" ht="24.75" customHeight="1">
      <c r="A156" s="957"/>
      <c r="B156" s="957"/>
      <c r="C156" s="974" t="s">
        <v>264</v>
      </c>
      <c r="D156" s="972">
        <v>85000</v>
      </c>
      <c r="E156" s="971">
        <v>50000</v>
      </c>
      <c r="F156" s="972"/>
      <c r="G156" s="970"/>
      <c r="H156" s="972">
        <f t="shared" si="32"/>
        <v>95000</v>
      </c>
      <c r="I156" s="971">
        <v>95000</v>
      </c>
      <c r="J156" s="972"/>
      <c r="K156" s="972"/>
      <c r="L156" s="1007">
        <f>M156</f>
        <v>94093</v>
      </c>
      <c r="M156" s="971">
        <v>94093</v>
      </c>
      <c r="N156" s="972"/>
      <c r="O156" s="972"/>
      <c r="P156" s="973">
        <f t="shared" si="30"/>
        <v>0.9904526315789474</v>
      </c>
      <c r="Q156" s="973">
        <f t="shared" si="31"/>
        <v>0.9904526315789474</v>
      </c>
    </row>
    <row r="157" spans="1:17" s="948" customFormat="1" ht="24.75" customHeight="1">
      <c r="A157" s="957"/>
      <c r="B157" s="957"/>
      <c r="C157" s="976" t="s">
        <v>265</v>
      </c>
      <c r="D157" s="968"/>
      <c r="E157" s="967">
        <v>50000</v>
      </c>
      <c r="F157" s="968"/>
      <c r="G157" s="966"/>
      <c r="H157" s="968">
        <f t="shared" si="32"/>
        <v>25000</v>
      </c>
      <c r="I157" s="967">
        <v>25000</v>
      </c>
      <c r="J157" s="968"/>
      <c r="K157" s="968"/>
      <c r="L157" s="1002">
        <f>M157</f>
        <v>21496</v>
      </c>
      <c r="M157" s="967">
        <v>21496</v>
      </c>
      <c r="N157" s="968"/>
      <c r="O157" s="968"/>
      <c r="P157" s="1028">
        <f t="shared" si="30"/>
        <v>0.85984</v>
      </c>
      <c r="Q157" s="1028">
        <f t="shared" si="31"/>
        <v>0.85984</v>
      </c>
    </row>
    <row r="158" spans="1:17" s="948" customFormat="1" ht="25.5" customHeight="1">
      <c r="A158" s="942">
        <v>926</v>
      </c>
      <c r="B158" s="942"/>
      <c r="C158" s="1015" t="s">
        <v>411</v>
      </c>
      <c r="D158" s="1016">
        <f>D159+D162+D166</f>
        <v>5955000</v>
      </c>
      <c r="E158" s="1017"/>
      <c r="F158" s="1016">
        <f>F159+F162+F166</f>
        <v>6800000</v>
      </c>
      <c r="G158" s="1015"/>
      <c r="H158" s="1016">
        <f t="shared" si="32"/>
        <v>6465000</v>
      </c>
      <c r="I158" s="1016">
        <f>I159+I162+I166</f>
        <v>5882000</v>
      </c>
      <c r="J158" s="1016">
        <f>J159+J162+J166</f>
        <v>583000</v>
      </c>
      <c r="K158" s="1016"/>
      <c r="L158" s="1018">
        <f>SUM(M158:O158)</f>
        <v>6363581</v>
      </c>
      <c r="M158" s="1016">
        <f>M159+M162+M166</f>
        <v>4391045</v>
      </c>
      <c r="N158" s="1016">
        <f>N159+N162+N166</f>
        <v>1972536</v>
      </c>
      <c r="O158" s="1016"/>
      <c r="P158" s="1019">
        <f t="shared" si="30"/>
        <v>0.9843126063418407</v>
      </c>
      <c r="Q158" s="1019">
        <f t="shared" si="31"/>
        <v>0.7465224413464808</v>
      </c>
    </row>
    <row r="159" spans="1:17" s="941" customFormat="1" ht="25.5" customHeight="1">
      <c r="A159" s="949"/>
      <c r="B159" s="935">
        <v>92601</v>
      </c>
      <c r="C159" s="987" t="s">
        <v>412</v>
      </c>
      <c r="D159" s="988">
        <f>D160</f>
        <v>120000</v>
      </c>
      <c r="E159" s="989"/>
      <c r="F159" s="988">
        <f>F160</f>
        <v>150000</v>
      </c>
      <c r="G159" s="987"/>
      <c r="H159" s="988">
        <f t="shared" si="32"/>
        <v>120000</v>
      </c>
      <c r="I159" s="988">
        <f>I160</f>
        <v>120000</v>
      </c>
      <c r="J159" s="988"/>
      <c r="K159" s="988"/>
      <c r="L159" s="990">
        <f>SUM(M159:O159)</f>
        <v>119334</v>
      </c>
      <c r="M159" s="989">
        <f>M160</f>
        <v>119334</v>
      </c>
      <c r="N159" s="988"/>
      <c r="O159" s="988"/>
      <c r="P159" s="991">
        <f t="shared" si="30"/>
        <v>0.99445</v>
      </c>
      <c r="Q159" s="991">
        <f t="shared" si="31"/>
        <v>0.99445</v>
      </c>
    </row>
    <row r="160" spans="1:17" s="948" customFormat="1" ht="24.75" customHeight="1">
      <c r="A160" s="981"/>
      <c r="B160" s="981"/>
      <c r="C160" s="982" t="s">
        <v>266</v>
      </c>
      <c r="D160" s="983">
        <v>120000</v>
      </c>
      <c r="E160" s="984"/>
      <c r="F160" s="983">
        <v>150000</v>
      </c>
      <c r="G160" s="982"/>
      <c r="H160" s="983">
        <f t="shared" si="32"/>
        <v>120000</v>
      </c>
      <c r="I160" s="984">
        <v>120000</v>
      </c>
      <c r="J160" s="983"/>
      <c r="K160" s="983"/>
      <c r="L160" s="985">
        <f>SUM(M160:O160)</f>
        <v>119334</v>
      </c>
      <c r="M160" s="984">
        <v>119334</v>
      </c>
      <c r="N160" s="983"/>
      <c r="O160" s="983"/>
      <c r="P160" s="986">
        <f t="shared" si="30"/>
        <v>0.99445</v>
      </c>
      <c r="Q160" s="986">
        <f t="shared" si="31"/>
        <v>0.99445</v>
      </c>
    </row>
    <row r="161" spans="1:2" ht="24.75" customHeight="1">
      <c r="A161"/>
      <c r="B161"/>
    </row>
    <row r="162" spans="1:17" s="941" customFormat="1" ht="25.5" customHeight="1">
      <c r="A162" s="949"/>
      <c r="B162" s="935">
        <v>92604</v>
      </c>
      <c r="C162" s="987" t="s">
        <v>97</v>
      </c>
      <c r="D162" s="988">
        <f>SUM(D163:D165)</f>
        <v>5685000</v>
      </c>
      <c r="E162" s="989"/>
      <c r="F162" s="988">
        <f>F165</f>
        <v>6530000</v>
      </c>
      <c r="G162" s="987"/>
      <c r="H162" s="988">
        <f aca="true" t="shared" si="33" ref="H162:H168">I162+J162+K162</f>
        <v>6335000</v>
      </c>
      <c r="I162" s="988">
        <f>I165+I163+I164</f>
        <v>5752000</v>
      </c>
      <c r="J162" s="988">
        <f>J165+J163+J164</f>
        <v>583000</v>
      </c>
      <c r="K162" s="988"/>
      <c r="L162" s="990">
        <f>SUM(M162:O162)</f>
        <v>6234247</v>
      </c>
      <c r="M162" s="989">
        <f>SUM(M163:M165)</f>
        <v>4261711</v>
      </c>
      <c r="N162" s="989">
        <f>SUM(N163:N165)</f>
        <v>1972536</v>
      </c>
      <c r="O162" s="988"/>
      <c r="P162" s="991">
        <f>L162/H162</f>
        <v>0.984095816890292</v>
      </c>
      <c r="Q162" s="991">
        <f>M162/I162</f>
        <v>0.7409094228094576</v>
      </c>
    </row>
    <row r="163" spans="1:17" s="948" customFormat="1" ht="31.5" customHeight="1">
      <c r="A163" s="957"/>
      <c r="B163" s="958"/>
      <c r="C163" s="1068" t="s">
        <v>267</v>
      </c>
      <c r="D163" s="1044">
        <v>480000</v>
      </c>
      <c r="E163" s="1045"/>
      <c r="F163" s="1044">
        <f>6430000+100000</f>
        <v>6530000</v>
      </c>
      <c r="G163" s="1043"/>
      <c r="H163" s="1044">
        <f t="shared" si="33"/>
        <v>480000</v>
      </c>
      <c r="I163" s="1045">
        <v>102000</v>
      </c>
      <c r="J163" s="1044">
        <v>378000</v>
      </c>
      <c r="K163" s="1044"/>
      <c r="L163" s="1046">
        <f>SUM(M163:O163)</f>
        <v>479247</v>
      </c>
      <c r="M163" s="1045">
        <v>102000</v>
      </c>
      <c r="N163" s="1044">
        <v>377247</v>
      </c>
      <c r="O163" s="1044"/>
      <c r="P163" s="1039">
        <f>L163/H163</f>
        <v>0.99843125</v>
      </c>
      <c r="Q163" s="1039">
        <f>M163/I163</f>
        <v>1</v>
      </c>
    </row>
    <row r="164" spans="1:17" s="948" customFormat="1" ht="31.5" customHeight="1">
      <c r="A164" s="957"/>
      <c r="B164" s="957"/>
      <c r="C164" s="974" t="s">
        <v>268</v>
      </c>
      <c r="D164" s="972">
        <v>105000</v>
      </c>
      <c r="E164" s="971"/>
      <c r="F164" s="972">
        <f>6430000+100000</f>
        <v>6530000</v>
      </c>
      <c r="G164" s="970"/>
      <c r="H164" s="972">
        <f t="shared" si="33"/>
        <v>105000</v>
      </c>
      <c r="I164" s="971"/>
      <c r="J164" s="972">
        <v>105000</v>
      </c>
      <c r="K164" s="972"/>
      <c r="L164" s="1007">
        <f>SUM(M164:O164)</f>
        <v>105000</v>
      </c>
      <c r="M164" s="971"/>
      <c r="N164" s="972">
        <v>105000</v>
      </c>
      <c r="O164" s="972"/>
      <c r="P164" s="973">
        <f>L164/H164</f>
        <v>1</v>
      </c>
      <c r="Q164" s="973"/>
    </row>
    <row r="165" spans="1:17" s="948" customFormat="1" ht="50.25" customHeight="1">
      <c r="A165" s="957"/>
      <c r="B165" s="981"/>
      <c r="C165" s="1040" t="s">
        <v>269</v>
      </c>
      <c r="D165" s="1030">
        <v>5100000</v>
      </c>
      <c r="E165" s="1031"/>
      <c r="F165" s="1030">
        <f>6430000+100000</f>
        <v>6530000</v>
      </c>
      <c r="G165" s="1029"/>
      <c r="H165" s="1030">
        <f t="shared" si="33"/>
        <v>5750000</v>
      </c>
      <c r="I165" s="1031">
        <v>5650000</v>
      </c>
      <c r="J165" s="1030">
        <v>100000</v>
      </c>
      <c r="K165" s="1030"/>
      <c r="L165" s="997">
        <f>SUM(M165:O165)</f>
        <v>5650000</v>
      </c>
      <c r="M165" s="1031">
        <f>5650000-1490289</f>
        <v>4159711</v>
      </c>
      <c r="N165" s="1030">
        <v>1490289</v>
      </c>
      <c r="O165" s="1030"/>
      <c r="P165" s="1036">
        <f>L165/H165</f>
        <v>0.9826086956521739</v>
      </c>
      <c r="Q165" s="1036">
        <f>M165/I165</f>
        <v>0.7362320353982301</v>
      </c>
    </row>
    <row r="166" spans="1:17" s="941" customFormat="1" ht="32.25" customHeight="1">
      <c r="A166" s="949"/>
      <c r="B166" s="1060">
        <v>92605</v>
      </c>
      <c r="C166" s="1025" t="s">
        <v>270</v>
      </c>
      <c r="D166" s="988">
        <f>D167</f>
        <v>150000</v>
      </c>
      <c r="E166" s="989"/>
      <c r="F166" s="988">
        <f>F167</f>
        <v>120000</v>
      </c>
      <c r="G166" s="987"/>
      <c r="H166" s="988">
        <f t="shared" si="33"/>
        <v>10000</v>
      </c>
      <c r="I166" s="989">
        <f>I167</f>
        <v>10000</v>
      </c>
      <c r="J166" s="988"/>
      <c r="K166" s="988"/>
      <c r="L166" s="990">
        <f>M166</f>
        <v>10000</v>
      </c>
      <c r="M166" s="989">
        <f>M167</f>
        <v>10000</v>
      </c>
      <c r="N166" s="988"/>
      <c r="O166" s="988"/>
      <c r="P166" s="991">
        <f>L166/H166</f>
        <v>1</v>
      </c>
      <c r="Q166" s="991">
        <f>M166/I166</f>
        <v>1</v>
      </c>
    </row>
    <row r="167" spans="1:17" s="948" customFormat="1" ht="23.25" customHeight="1">
      <c r="A167" s="957"/>
      <c r="B167" s="958"/>
      <c r="C167" s="993" t="s">
        <v>271</v>
      </c>
      <c r="D167" s="994">
        <v>150000</v>
      </c>
      <c r="E167" s="995"/>
      <c r="F167" s="994">
        <v>120000</v>
      </c>
      <c r="G167" s="996"/>
      <c r="H167" s="994">
        <f t="shared" si="33"/>
        <v>10000</v>
      </c>
      <c r="I167" s="995">
        <v>10000</v>
      </c>
      <c r="J167" s="994"/>
      <c r="K167" s="994"/>
      <c r="L167" s="1021">
        <f>M167</f>
        <v>10000</v>
      </c>
      <c r="M167" s="995">
        <v>10000</v>
      </c>
      <c r="N167" s="994"/>
      <c r="O167" s="994"/>
      <c r="P167" s="1036">
        <f>L167/H167</f>
        <v>1</v>
      </c>
      <c r="Q167" s="1036">
        <f>M167/I167</f>
        <v>1</v>
      </c>
    </row>
    <row r="168" spans="1:17" s="941" customFormat="1" ht="21.75" customHeight="1" thickBot="1">
      <c r="A168" s="949"/>
      <c r="B168" s="949"/>
      <c r="C168" s="936" t="s">
        <v>113</v>
      </c>
      <c r="D168" s="937">
        <f>D170+D179</f>
        <v>16000</v>
      </c>
      <c r="E168" s="938"/>
      <c r="F168" s="937"/>
      <c r="G168" s="936" t="e">
        <f>G170+G179</f>
        <v>#REF!</v>
      </c>
      <c r="H168" s="937">
        <f t="shared" si="33"/>
        <v>314490</v>
      </c>
      <c r="I168" s="938"/>
      <c r="J168" s="937"/>
      <c r="K168" s="937">
        <f>K170+K179</f>
        <v>314490</v>
      </c>
      <c r="L168" s="939">
        <f>SUM(M168:O168)</f>
        <v>314238</v>
      </c>
      <c r="M168" s="938"/>
      <c r="N168" s="937"/>
      <c r="O168" s="937">
        <f>O170+O179</f>
        <v>314238</v>
      </c>
      <c r="P168" s="940">
        <f>L168/H168</f>
        <v>0.9991987026614518</v>
      </c>
      <c r="Q168" s="940"/>
    </row>
    <row r="169" spans="1:17" s="934" customFormat="1" ht="15" customHeight="1" thickTop="1">
      <c r="A169" s="957"/>
      <c r="B169" s="957"/>
      <c r="C169" s="926" t="s">
        <v>965</v>
      </c>
      <c r="D169" s="977"/>
      <c r="E169" s="1049"/>
      <c r="F169" s="977"/>
      <c r="G169" s="926"/>
      <c r="H169" s="977"/>
      <c r="I169" s="1049"/>
      <c r="J169" s="977"/>
      <c r="K169" s="977"/>
      <c r="L169" s="1014"/>
      <c r="M169" s="1049"/>
      <c r="N169" s="977"/>
      <c r="O169" s="977"/>
      <c r="P169" s="1028"/>
      <c r="Q169" s="1028"/>
    </row>
    <row r="170" spans="1:17" s="1076" customFormat="1" ht="33.75" customHeight="1">
      <c r="A170" s="1069"/>
      <c r="B170" s="1069"/>
      <c r="C170" s="1070" t="s">
        <v>114</v>
      </c>
      <c r="D170" s="1071">
        <f>D171</f>
        <v>8000</v>
      </c>
      <c r="E170" s="1072"/>
      <c r="F170" s="1071"/>
      <c r="G170" s="1073" t="e">
        <f>G171+#REF!</f>
        <v>#REF!</v>
      </c>
      <c r="H170" s="1071">
        <f aca="true" t="shared" si="34" ref="H170:H185">I170+J170+K170</f>
        <v>256490</v>
      </c>
      <c r="I170" s="1072"/>
      <c r="J170" s="1071"/>
      <c r="K170" s="1071">
        <f>K171</f>
        <v>256490</v>
      </c>
      <c r="L170" s="1074">
        <f aca="true" t="shared" si="35" ref="L170:L176">SUM(M170:O170)</f>
        <v>256490</v>
      </c>
      <c r="M170" s="1072"/>
      <c r="N170" s="1071"/>
      <c r="O170" s="1071">
        <f>O171</f>
        <v>256490</v>
      </c>
      <c r="P170" s="1075">
        <f aca="true" t="shared" si="36" ref="P170:P185">L170/H170</f>
        <v>1</v>
      </c>
      <c r="Q170" s="1075"/>
    </row>
    <row r="171" spans="1:17" s="1078" customFormat="1" ht="21" customHeight="1">
      <c r="A171" s="942">
        <v>852</v>
      </c>
      <c r="B171" s="942"/>
      <c r="C171" s="1077" t="s">
        <v>463</v>
      </c>
      <c r="D171" s="1016">
        <f>D177</f>
        <v>8000</v>
      </c>
      <c r="E171" s="1017"/>
      <c r="F171" s="1016"/>
      <c r="G171" s="1015">
        <f>G175</f>
        <v>6000</v>
      </c>
      <c r="H171" s="1016">
        <f t="shared" si="34"/>
        <v>256490</v>
      </c>
      <c r="I171" s="1017"/>
      <c r="J171" s="1016"/>
      <c r="K171" s="1016">
        <f>K175+K177+K172</f>
        <v>256490</v>
      </c>
      <c r="L171" s="1018">
        <f t="shared" si="35"/>
        <v>256490</v>
      </c>
      <c r="M171" s="1017"/>
      <c r="N171" s="1016"/>
      <c r="O171" s="1016">
        <f>O175+O172+O177</f>
        <v>256490</v>
      </c>
      <c r="P171" s="1019">
        <f t="shared" si="36"/>
        <v>1</v>
      </c>
      <c r="Q171" s="1019"/>
    </row>
    <row r="172" spans="1:17" s="1078" customFormat="1" ht="21" customHeight="1">
      <c r="A172" s="949"/>
      <c r="B172" s="1020">
        <v>85203</v>
      </c>
      <c r="C172" s="951" t="s">
        <v>433</v>
      </c>
      <c r="D172" s="952"/>
      <c r="E172" s="953"/>
      <c r="F172" s="952"/>
      <c r="G172" s="954">
        <f>G173</f>
        <v>6000</v>
      </c>
      <c r="H172" s="952">
        <f t="shared" si="34"/>
        <v>75000</v>
      </c>
      <c r="I172" s="953"/>
      <c r="J172" s="952"/>
      <c r="K172" s="952">
        <f>K173+K174</f>
        <v>75000</v>
      </c>
      <c r="L172" s="955">
        <f t="shared" si="35"/>
        <v>75000</v>
      </c>
      <c r="M172" s="953"/>
      <c r="N172" s="952"/>
      <c r="O172" s="952">
        <f>O173+O174</f>
        <v>75000</v>
      </c>
      <c r="P172" s="956">
        <f t="shared" si="36"/>
        <v>1</v>
      </c>
      <c r="Q172" s="956"/>
    </row>
    <row r="173" spans="1:17" s="1078" customFormat="1" ht="21" customHeight="1">
      <c r="A173" s="949"/>
      <c r="B173" s="949"/>
      <c r="C173" s="1048" t="s">
        <v>236</v>
      </c>
      <c r="D173" s="977"/>
      <c r="E173" s="1049"/>
      <c r="F173" s="977"/>
      <c r="G173" s="926">
        <v>6000</v>
      </c>
      <c r="H173" s="977">
        <f t="shared" si="34"/>
        <v>33000</v>
      </c>
      <c r="I173" s="1049"/>
      <c r="J173" s="977"/>
      <c r="K173" s="977">
        <v>33000</v>
      </c>
      <c r="L173" s="1014">
        <f t="shared" si="35"/>
        <v>33000</v>
      </c>
      <c r="M173" s="1049"/>
      <c r="N173" s="977"/>
      <c r="O173" s="977">
        <v>33000</v>
      </c>
      <c r="P173" s="1028">
        <f t="shared" si="36"/>
        <v>1</v>
      </c>
      <c r="Q173" s="1028"/>
    </row>
    <row r="174" spans="1:17" s="1078" customFormat="1" ht="21" customHeight="1">
      <c r="A174" s="949"/>
      <c r="B174" s="935"/>
      <c r="C174" s="1051" t="s">
        <v>206</v>
      </c>
      <c r="D174" s="983"/>
      <c r="E174" s="984"/>
      <c r="F174" s="983"/>
      <c r="G174" s="982">
        <v>6000</v>
      </c>
      <c r="H174" s="983">
        <f t="shared" si="34"/>
        <v>42000</v>
      </c>
      <c r="I174" s="984"/>
      <c r="J174" s="983"/>
      <c r="K174" s="983">
        <v>42000</v>
      </c>
      <c r="L174" s="985">
        <f t="shared" si="35"/>
        <v>42000</v>
      </c>
      <c r="M174" s="984"/>
      <c r="N174" s="983"/>
      <c r="O174" s="983">
        <v>42000</v>
      </c>
      <c r="P174" s="986">
        <f t="shared" si="36"/>
        <v>1</v>
      </c>
      <c r="Q174" s="986"/>
    </row>
    <row r="175" spans="1:17" s="1078" customFormat="1" ht="51" customHeight="1">
      <c r="A175" s="949"/>
      <c r="B175" s="1020">
        <v>85212</v>
      </c>
      <c r="C175" s="951" t="s">
        <v>272</v>
      </c>
      <c r="D175" s="952"/>
      <c r="E175" s="953"/>
      <c r="F175" s="952"/>
      <c r="G175" s="954">
        <f>G176</f>
        <v>6000</v>
      </c>
      <c r="H175" s="952">
        <f t="shared" si="34"/>
        <v>173490</v>
      </c>
      <c r="I175" s="953"/>
      <c r="J175" s="952"/>
      <c r="K175" s="952">
        <f>K176</f>
        <v>173490</v>
      </c>
      <c r="L175" s="955">
        <f t="shared" si="35"/>
        <v>173490</v>
      </c>
      <c r="M175" s="953"/>
      <c r="N175" s="952"/>
      <c r="O175" s="952">
        <f>O176</f>
        <v>173490</v>
      </c>
      <c r="P175" s="956">
        <f t="shared" si="36"/>
        <v>1</v>
      </c>
      <c r="Q175" s="956"/>
    </row>
    <row r="176" spans="1:17" s="1078" customFormat="1" ht="21" customHeight="1">
      <c r="A176" s="949"/>
      <c r="B176" s="935"/>
      <c r="C176" s="1040" t="s">
        <v>206</v>
      </c>
      <c r="D176" s="1030"/>
      <c r="E176" s="1031"/>
      <c r="F176" s="1030"/>
      <c r="G176" s="1029">
        <v>6000</v>
      </c>
      <c r="H176" s="1030">
        <f t="shared" si="34"/>
        <v>173490</v>
      </c>
      <c r="I176" s="1031"/>
      <c r="J176" s="1030"/>
      <c r="K176" s="1030">
        <v>173490</v>
      </c>
      <c r="L176" s="997">
        <f t="shared" si="35"/>
        <v>173490</v>
      </c>
      <c r="M176" s="1031"/>
      <c r="N176" s="1030"/>
      <c r="O176" s="1030">
        <v>173490</v>
      </c>
      <c r="P176" s="1036">
        <f t="shared" si="36"/>
        <v>1</v>
      </c>
      <c r="Q176" s="1036"/>
    </row>
    <row r="177" spans="1:17" s="1078" customFormat="1" ht="21" customHeight="1">
      <c r="A177" s="949"/>
      <c r="B177" s="1020">
        <v>85219</v>
      </c>
      <c r="C177" s="951" t="s">
        <v>416</v>
      </c>
      <c r="D177" s="952">
        <f>D178</f>
        <v>8000</v>
      </c>
      <c r="E177" s="953"/>
      <c r="F177" s="952"/>
      <c r="G177" s="954">
        <f>G178</f>
        <v>6000</v>
      </c>
      <c r="H177" s="952">
        <f t="shared" si="34"/>
        <v>8000</v>
      </c>
      <c r="I177" s="953"/>
      <c r="J177" s="952"/>
      <c r="K177" s="952">
        <f>K178</f>
        <v>8000</v>
      </c>
      <c r="L177" s="955">
        <f aca="true" t="shared" si="37" ref="L177:L185">O177</f>
        <v>8000</v>
      </c>
      <c r="M177" s="953"/>
      <c r="N177" s="952"/>
      <c r="O177" s="952">
        <f>O178</f>
        <v>8000</v>
      </c>
      <c r="P177" s="991">
        <f t="shared" si="36"/>
        <v>1</v>
      </c>
      <c r="Q177" s="956"/>
    </row>
    <row r="178" spans="1:17" s="1078" customFormat="1" ht="21" customHeight="1">
      <c r="A178" s="949"/>
      <c r="B178" s="949"/>
      <c r="C178" s="1048" t="s">
        <v>206</v>
      </c>
      <c r="D178" s="977">
        <v>8000</v>
      </c>
      <c r="E178" s="1049"/>
      <c r="F178" s="977"/>
      <c r="G178" s="926">
        <v>6000</v>
      </c>
      <c r="H178" s="977">
        <f t="shared" si="34"/>
        <v>8000</v>
      </c>
      <c r="I178" s="1049"/>
      <c r="J178" s="977"/>
      <c r="K178" s="977">
        <v>8000</v>
      </c>
      <c r="L178" s="1014">
        <f t="shared" si="37"/>
        <v>8000</v>
      </c>
      <c r="M178" s="1049"/>
      <c r="N178" s="977"/>
      <c r="O178" s="977">
        <v>8000</v>
      </c>
      <c r="P178" s="1036">
        <f t="shared" si="36"/>
        <v>1</v>
      </c>
      <c r="Q178" s="1028"/>
    </row>
    <row r="179" spans="1:17" s="1076" customFormat="1" ht="49.5" customHeight="1">
      <c r="A179" s="1069"/>
      <c r="B179" s="1069"/>
      <c r="C179" s="1079" t="s">
        <v>273</v>
      </c>
      <c r="D179" s="1080">
        <f>D183</f>
        <v>8000</v>
      </c>
      <c r="E179" s="1081"/>
      <c r="F179" s="1080"/>
      <c r="G179" s="1082">
        <f>G183</f>
        <v>10000</v>
      </c>
      <c r="H179" s="1080">
        <f t="shared" si="34"/>
        <v>58000</v>
      </c>
      <c r="I179" s="1081"/>
      <c r="J179" s="1080"/>
      <c r="K179" s="1080">
        <f>K183+K180</f>
        <v>58000</v>
      </c>
      <c r="L179" s="1083">
        <f t="shared" si="37"/>
        <v>57748</v>
      </c>
      <c r="M179" s="1081"/>
      <c r="N179" s="1080"/>
      <c r="O179" s="1080">
        <f>O180+O183</f>
        <v>57748</v>
      </c>
      <c r="P179" s="1084">
        <f t="shared" si="36"/>
        <v>0.9956551724137931</v>
      </c>
      <c r="Q179" s="1085"/>
    </row>
    <row r="180" spans="1:17" s="948" customFormat="1" ht="21" customHeight="1">
      <c r="A180" s="1059">
        <v>852</v>
      </c>
      <c r="B180" s="942"/>
      <c r="C180" s="1058" t="s">
        <v>463</v>
      </c>
      <c r="D180" s="1016"/>
      <c r="E180" s="1017"/>
      <c r="F180" s="1016"/>
      <c r="G180" s="1015">
        <f>G181</f>
        <v>10000</v>
      </c>
      <c r="H180" s="1016">
        <f t="shared" si="34"/>
        <v>50000</v>
      </c>
      <c r="I180" s="1017"/>
      <c r="J180" s="1016"/>
      <c r="K180" s="1016">
        <f>K181</f>
        <v>50000</v>
      </c>
      <c r="L180" s="1018">
        <f t="shared" si="37"/>
        <v>50000</v>
      </c>
      <c r="M180" s="1017"/>
      <c r="N180" s="1016"/>
      <c r="O180" s="1016">
        <f>O181</f>
        <v>50000</v>
      </c>
      <c r="P180" s="947">
        <f t="shared" si="36"/>
        <v>1</v>
      </c>
      <c r="Q180" s="1019"/>
    </row>
    <row r="181" spans="1:17" s="941" customFormat="1" ht="21" customHeight="1">
      <c r="A181" s="949"/>
      <c r="B181" s="1060">
        <v>85203</v>
      </c>
      <c r="C181" s="1025" t="s">
        <v>433</v>
      </c>
      <c r="D181" s="988"/>
      <c r="E181" s="989"/>
      <c r="F181" s="988"/>
      <c r="G181" s="987">
        <f>G182</f>
        <v>10000</v>
      </c>
      <c r="H181" s="988">
        <f t="shared" si="34"/>
        <v>50000</v>
      </c>
      <c r="I181" s="989"/>
      <c r="J181" s="988"/>
      <c r="K181" s="988">
        <f>K182</f>
        <v>50000</v>
      </c>
      <c r="L181" s="990">
        <f t="shared" si="37"/>
        <v>50000</v>
      </c>
      <c r="M181" s="989"/>
      <c r="N181" s="988"/>
      <c r="O181" s="988">
        <f>O182</f>
        <v>50000</v>
      </c>
      <c r="P181" s="991">
        <f t="shared" si="36"/>
        <v>1</v>
      </c>
      <c r="Q181" s="991"/>
    </row>
    <row r="182" spans="1:17" s="948" customFormat="1" ht="34.5" customHeight="1">
      <c r="A182" s="981"/>
      <c r="B182" s="981"/>
      <c r="C182" s="1040" t="s">
        <v>274</v>
      </c>
      <c r="D182" s="994"/>
      <c r="E182" s="995"/>
      <c r="F182" s="994"/>
      <c r="G182" s="996">
        <v>10000</v>
      </c>
      <c r="H182" s="994">
        <f t="shared" si="34"/>
        <v>50000</v>
      </c>
      <c r="I182" s="1031"/>
      <c r="J182" s="1030"/>
      <c r="K182" s="1030">
        <v>50000</v>
      </c>
      <c r="L182" s="997">
        <f t="shared" si="37"/>
        <v>50000</v>
      </c>
      <c r="M182" s="1031"/>
      <c r="N182" s="1030"/>
      <c r="O182" s="1030">
        <v>50000</v>
      </c>
      <c r="P182" s="1036">
        <f t="shared" si="36"/>
        <v>1</v>
      </c>
      <c r="Q182" s="1036"/>
    </row>
    <row r="183" spans="1:17" s="948" customFormat="1" ht="33.75" customHeight="1">
      <c r="A183" s="1059">
        <v>853</v>
      </c>
      <c r="B183" s="942"/>
      <c r="C183" s="1058" t="s">
        <v>464</v>
      </c>
      <c r="D183" s="1016">
        <f>D184</f>
        <v>8000</v>
      </c>
      <c r="E183" s="1017"/>
      <c r="F183" s="1016"/>
      <c r="G183" s="1015">
        <f>G184</f>
        <v>10000</v>
      </c>
      <c r="H183" s="1016">
        <f t="shared" si="34"/>
        <v>8000</v>
      </c>
      <c r="I183" s="1017"/>
      <c r="J183" s="1016"/>
      <c r="K183" s="1016">
        <f>K184</f>
        <v>8000</v>
      </c>
      <c r="L183" s="1018">
        <f t="shared" si="37"/>
        <v>7748</v>
      </c>
      <c r="M183" s="1017"/>
      <c r="N183" s="1016"/>
      <c r="O183" s="1016">
        <f>O184</f>
        <v>7748</v>
      </c>
      <c r="P183" s="947">
        <f t="shared" si="36"/>
        <v>0.9685</v>
      </c>
      <c r="Q183" s="1019"/>
    </row>
    <row r="184" spans="1:17" s="941" customFormat="1" ht="33.75" customHeight="1">
      <c r="A184" s="949"/>
      <c r="B184" s="1060">
        <v>85321</v>
      </c>
      <c r="C184" s="1025" t="s">
        <v>889</v>
      </c>
      <c r="D184" s="988">
        <f>D185</f>
        <v>8000</v>
      </c>
      <c r="E184" s="989"/>
      <c r="F184" s="988"/>
      <c r="G184" s="987">
        <f>G185</f>
        <v>10000</v>
      </c>
      <c r="H184" s="988">
        <f t="shared" si="34"/>
        <v>8000</v>
      </c>
      <c r="I184" s="989"/>
      <c r="J184" s="988"/>
      <c r="K184" s="988">
        <f>K185</f>
        <v>8000</v>
      </c>
      <c r="L184" s="990">
        <f t="shared" si="37"/>
        <v>7748</v>
      </c>
      <c r="M184" s="989"/>
      <c r="N184" s="988"/>
      <c r="O184" s="988">
        <f>O185</f>
        <v>7748</v>
      </c>
      <c r="P184" s="991">
        <f t="shared" si="36"/>
        <v>0.9685</v>
      </c>
      <c r="Q184" s="991"/>
    </row>
    <row r="185" spans="1:17" s="948" customFormat="1" ht="21" customHeight="1">
      <c r="A185" s="981"/>
      <c r="B185" s="981"/>
      <c r="C185" s="1040" t="s">
        <v>206</v>
      </c>
      <c r="D185" s="994">
        <v>8000</v>
      </c>
      <c r="E185" s="995"/>
      <c r="F185" s="994"/>
      <c r="G185" s="996">
        <v>10000</v>
      </c>
      <c r="H185" s="994">
        <f t="shared" si="34"/>
        <v>8000</v>
      </c>
      <c r="I185" s="1031"/>
      <c r="J185" s="1030"/>
      <c r="K185" s="1030">
        <v>8000</v>
      </c>
      <c r="L185" s="997">
        <f t="shared" si="37"/>
        <v>7748</v>
      </c>
      <c r="M185" s="1031"/>
      <c r="N185" s="1030"/>
      <c r="O185" s="1030">
        <v>7748</v>
      </c>
      <c r="P185" s="1036">
        <f t="shared" si="36"/>
        <v>0.9685</v>
      </c>
      <c r="Q185" s="1036"/>
    </row>
    <row r="188" ht="14.25">
      <c r="N188" s="375" t="s">
        <v>330</v>
      </c>
    </row>
    <row r="189" ht="14.25">
      <c r="N189" s="694" t="s">
        <v>331</v>
      </c>
    </row>
  </sheetData>
  <mergeCells count="11">
    <mergeCell ref="N8:N10"/>
    <mergeCell ref="O8:O10"/>
    <mergeCell ref="P8:P10"/>
    <mergeCell ref="Q8:Q10"/>
    <mergeCell ref="M8:M10"/>
    <mergeCell ref="H7:H10"/>
    <mergeCell ref="D7:D10"/>
    <mergeCell ref="L7:L10"/>
    <mergeCell ref="I8:I10"/>
    <mergeCell ref="J8:J10"/>
    <mergeCell ref="K8:K10"/>
  </mergeCells>
  <printOptions horizontalCentered="1"/>
  <pageMargins left="0.5118110236220472" right="0.5118110236220472" top="0.6692913385826772" bottom="0.6692913385826772" header="0.5118110236220472" footer="0.5118110236220472"/>
  <pageSetup firstPageNumber="50" useFirstPageNumber="1" horizontalDpi="300" verticalDpi="300" orientation="landscape" paperSize="9" scale="6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zoomScaleSheetLayoutView="75" workbookViewId="0" topLeftCell="A1">
      <selection activeCell="A2" sqref="A2"/>
    </sheetView>
  </sheetViews>
  <sheetFormatPr defaultColWidth="9.00390625" defaultRowHeight="12.75"/>
  <cols>
    <col min="1" max="1" width="6.00390625" style="709" customWidth="1"/>
    <col min="2" max="2" width="8.625" style="709" customWidth="1"/>
    <col min="3" max="3" width="55.125" style="709" customWidth="1"/>
    <col min="4" max="6" width="19.625" style="709" customWidth="1"/>
    <col min="7" max="7" width="16.75390625" style="709" customWidth="1"/>
    <col min="8" max="16384" width="7.875" style="709" customWidth="1"/>
  </cols>
  <sheetData>
    <row r="1" ht="13.5" customHeight="1">
      <c r="F1" s="855" t="s">
        <v>275</v>
      </c>
    </row>
    <row r="2" spans="3:6" ht="15" customHeight="1">
      <c r="C2" s="699" t="s">
        <v>276</v>
      </c>
      <c r="F2" s="855" t="s">
        <v>873</v>
      </c>
    </row>
    <row r="3" ht="13.5" customHeight="1">
      <c r="F3" s="855" t="s">
        <v>884</v>
      </c>
    </row>
    <row r="4" ht="13.5" customHeight="1">
      <c r="F4" s="855" t="s">
        <v>874</v>
      </c>
    </row>
    <row r="5" ht="13.5" customHeight="1" thickBot="1">
      <c r="G5" s="1086" t="s">
        <v>450</v>
      </c>
    </row>
    <row r="6" spans="1:7" ht="46.5" customHeight="1" thickBot="1" thickTop="1">
      <c r="A6" s="1087" t="s">
        <v>964</v>
      </c>
      <c r="B6" s="1087" t="s">
        <v>529</v>
      </c>
      <c r="C6" s="1088" t="s">
        <v>277</v>
      </c>
      <c r="D6" s="1089" t="s">
        <v>278</v>
      </c>
      <c r="E6" s="1089" t="s">
        <v>279</v>
      </c>
      <c r="F6" s="1089" t="s">
        <v>280</v>
      </c>
      <c r="G6" s="1089" t="s">
        <v>281</v>
      </c>
    </row>
    <row r="7" spans="1:7" ht="14.25" customHeight="1" thickBot="1" thickTop="1">
      <c r="A7" s="1090">
        <v>1</v>
      </c>
      <c r="B7" s="1090">
        <v>2</v>
      </c>
      <c r="C7" s="1090">
        <v>3</v>
      </c>
      <c r="D7" s="1091">
        <v>4</v>
      </c>
      <c r="E7" s="1091">
        <v>5</v>
      </c>
      <c r="F7" s="1091">
        <v>6</v>
      </c>
      <c r="G7" s="1091">
        <v>7</v>
      </c>
    </row>
    <row r="8" spans="1:7" ht="22.5" customHeight="1" thickBot="1" thickTop="1">
      <c r="A8" s="866"/>
      <c r="B8" s="866"/>
      <c r="C8" s="473" t="s">
        <v>282</v>
      </c>
      <c r="D8" s="1092">
        <f>D10+D89</f>
        <v>10886000</v>
      </c>
      <c r="E8" s="1092">
        <f>E10+E89</f>
        <v>10713301</v>
      </c>
      <c r="F8" s="1092">
        <f>F10+F89</f>
        <v>10298008</v>
      </c>
      <c r="G8" s="1093">
        <f>F8/E8</f>
        <v>0.9612357573076683</v>
      </c>
    </row>
    <row r="9" spans="1:7" ht="12" customHeight="1">
      <c r="A9" s="737"/>
      <c r="B9" s="737"/>
      <c r="C9" s="1094" t="s">
        <v>965</v>
      </c>
      <c r="D9" s="628"/>
      <c r="E9" s="628"/>
      <c r="F9" s="628"/>
      <c r="G9" s="629"/>
    </row>
    <row r="10" spans="1:7" s="729" customFormat="1" ht="21.75" customHeight="1" thickBot="1">
      <c r="A10" s="1095"/>
      <c r="B10" s="1095"/>
      <c r="C10" s="1096" t="s">
        <v>283</v>
      </c>
      <c r="D10" s="1097">
        <f>D11+D16+D27+D32+D35+D50+D59+D62+D73+D76+D86</f>
        <v>10716000</v>
      </c>
      <c r="E10" s="1097">
        <f>E11+E16+E27+E32+E35+E50+E59+E62+E73+E76+E86</f>
        <v>10443061</v>
      </c>
      <c r="F10" s="1097">
        <f>F11+F16+F27+F32+F35+F50+F59+F62+F73+F76+F86</f>
        <v>10027768</v>
      </c>
      <c r="G10" s="1098">
        <f aca="true" t="shared" si="0" ref="G10:G25">F10/E10</f>
        <v>0.9602326367719196</v>
      </c>
    </row>
    <row r="11" spans="1:7" ht="19.5" customHeight="1" thickTop="1">
      <c r="A11" s="720">
        <v>600</v>
      </c>
      <c r="B11" s="720"/>
      <c r="C11" s="720" t="s">
        <v>522</v>
      </c>
      <c r="D11" s="601">
        <f>D12+D14</f>
        <v>2900000</v>
      </c>
      <c r="E11" s="601">
        <f>E12+E14</f>
        <v>2053700</v>
      </c>
      <c r="F11" s="601">
        <f>F12+F14</f>
        <v>1801217</v>
      </c>
      <c r="G11" s="572">
        <f t="shared" si="0"/>
        <v>0.8770594536689876</v>
      </c>
    </row>
    <row r="12" spans="1:7" ht="19.5" customHeight="1">
      <c r="A12" s="737"/>
      <c r="B12" s="232">
        <v>60015</v>
      </c>
      <c r="C12" s="232" t="s">
        <v>523</v>
      </c>
      <c r="D12" s="744">
        <f>D13</f>
        <v>2200000</v>
      </c>
      <c r="E12" s="744">
        <f>E13</f>
        <v>1473700</v>
      </c>
      <c r="F12" s="744">
        <f>F13</f>
        <v>1426524</v>
      </c>
      <c r="G12" s="745">
        <f t="shared" si="0"/>
        <v>0.9679880572708149</v>
      </c>
    </row>
    <row r="13" spans="1:7" ht="19.5" customHeight="1">
      <c r="A13" s="23"/>
      <c r="B13" s="79"/>
      <c r="C13" s="433" t="s">
        <v>1001</v>
      </c>
      <c r="D13" s="1099">
        <v>2200000</v>
      </c>
      <c r="E13" s="1099">
        <v>1473700</v>
      </c>
      <c r="F13" s="1099">
        <v>1426524</v>
      </c>
      <c r="G13" s="1100">
        <f t="shared" si="0"/>
        <v>0.9679880572708149</v>
      </c>
    </row>
    <row r="14" spans="1:7" ht="19.5" customHeight="1">
      <c r="A14" s="23"/>
      <c r="B14" s="78">
        <v>60016</v>
      </c>
      <c r="C14" s="78" t="s">
        <v>524</v>
      </c>
      <c r="D14" s="169">
        <f>D15</f>
        <v>700000</v>
      </c>
      <c r="E14" s="169">
        <f>E15</f>
        <v>580000</v>
      </c>
      <c r="F14" s="169">
        <f>F15</f>
        <v>374693</v>
      </c>
      <c r="G14" s="745">
        <f t="shared" si="0"/>
        <v>0.6460224137931034</v>
      </c>
    </row>
    <row r="15" spans="1:7" ht="19.5" customHeight="1">
      <c r="A15" s="20"/>
      <c r="B15" s="20"/>
      <c r="C15" s="433" t="s">
        <v>1001</v>
      </c>
      <c r="D15" s="1099">
        <v>700000</v>
      </c>
      <c r="E15" s="1099">
        <v>580000</v>
      </c>
      <c r="F15" s="1099">
        <v>374693</v>
      </c>
      <c r="G15" s="1100">
        <f t="shared" si="0"/>
        <v>0.6460224137931034</v>
      </c>
    </row>
    <row r="16" spans="1:7" ht="19.5" customHeight="1">
      <c r="A16" s="96">
        <v>700</v>
      </c>
      <c r="B16" s="96"/>
      <c r="C16" s="419" t="s">
        <v>406</v>
      </c>
      <c r="D16" s="209">
        <f>D17+D24</f>
        <v>4180000</v>
      </c>
      <c r="E16" s="209">
        <f>E17+E24</f>
        <v>4304000</v>
      </c>
      <c r="F16" s="209">
        <f>SUM(F17+F24)</f>
        <v>4279089</v>
      </c>
      <c r="G16" s="1101">
        <f t="shared" si="0"/>
        <v>0.9942121282527882</v>
      </c>
    </row>
    <row r="17" spans="1:7" ht="19.5" customHeight="1">
      <c r="A17" s="239"/>
      <c r="B17" s="47">
        <v>70001</v>
      </c>
      <c r="C17" s="1102" t="s">
        <v>448</v>
      </c>
      <c r="D17" s="744">
        <f>SUM(D18:D23)</f>
        <v>4000000</v>
      </c>
      <c r="E17" s="744">
        <f>SUM(E18:E23)</f>
        <v>4000000</v>
      </c>
      <c r="F17" s="744">
        <f>SUM(F18:F23)</f>
        <v>4000000</v>
      </c>
      <c r="G17" s="1103">
        <f t="shared" si="0"/>
        <v>1</v>
      </c>
    </row>
    <row r="18" spans="1:7" ht="32.25" customHeight="1">
      <c r="A18" s="23"/>
      <c r="B18" s="563"/>
      <c r="C18" s="494" t="s">
        <v>284</v>
      </c>
      <c r="D18" s="586">
        <v>30000</v>
      </c>
      <c r="E18" s="586">
        <v>24500</v>
      </c>
      <c r="F18" s="586">
        <v>24500</v>
      </c>
      <c r="G18" s="1104">
        <f t="shared" si="0"/>
        <v>1</v>
      </c>
    </row>
    <row r="19" spans="1:7" ht="19.5" customHeight="1">
      <c r="A19" s="23"/>
      <c r="B19" s="563"/>
      <c r="C19" s="510" t="s">
        <v>285</v>
      </c>
      <c r="D19" s="764">
        <v>70000</v>
      </c>
      <c r="E19" s="764">
        <v>75500</v>
      </c>
      <c r="F19" s="764">
        <v>75500</v>
      </c>
      <c r="G19" s="1105">
        <f t="shared" si="0"/>
        <v>1</v>
      </c>
    </row>
    <row r="20" spans="1:7" ht="19.5" customHeight="1">
      <c r="A20" s="737"/>
      <c r="B20" s="737"/>
      <c r="C20" s="1106" t="s">
        <v>286</v>
      </c>
      <c r="D20" s="1107">
        <v>1740000</v>
      </c>
      <c r="E20" s="1107">
        <v>1204563</v>
      </c>
      <c r="F20" s="1107">
        <v>1204563</v>
      </c>
      <c r="G20" s="1108">
        <f t="shared" si="0"/>
        <v>1</v>
      </c>
    </row>
    <row r="21" spans="1:7" ht="19.5" customHeight="1">
      <c r="A21" s="737"/>
      <c r="B21" s="737"/>
      <c r="C21" s="1109" t="s">
        <v>287</v>
      </c>
      <c r="D21" s="1107">
        <v>1540000</v>
      </c>
      <c r="E21" s="1107">
        <v>1562382</v>
      </c>
      <c r="F21" s="1107">
        <v>1562382</v>
      </c>
      <c r="G21" s="1108">
        <f t="shared" si="0"/>
        <v>1</v>
      </c>
    </row>
    <row r="22" spans="1:7" ht="19.5" customHeight="1">
      <c r="A22" s="737"/>
      <c r="B22" s="737"/>
      <c r="C22" s="1109" t="s">
        <v>288</v>
      </c>
      <c r="D22" s="610">
        <v>120000</v>
      </c>
      <c r="E22" s="610">
        <v>152141</v>
      </c>
      <c r="F22" s="610">
        <v>152141</v>
      </c>
      <c r="G22" s="1108">
        <f t="shared" si="0"/>
        <v>1</v>
      </c>
    </row>
    <row r="23" spans="1:7" ht="19.5" customHeight="1">
      <c r="A23" s="737"/>
      <c r="B23" s="737"/>
      <c r="C23" s="509" t="s">
        <v>289</v>
      </c>
      <c r="D23" s="742">
        <v>500000</v>
      </c>
      <c r="E23" s="742">
        <v>980914</v>
      </c>
      <c r="F23" s="742">
        <v>980914</v>
      </c>
      <c r="G23" s="1110">
        <f t="shared" si="0"/>
        <v>1</v>
      </c>
    </row>
    <row r="24" spans="1:7" ht="19.5" customHeight="1">
      <c r="A24" s="737"/>
      <c r="B24" s="722">
        <v>70005</v>
      </c>
      <c r="C24" s="506" t="s">
        <v>425</v>
      </c>
      <c r="D24" s="744">
        <f>D25</f>
        <v>180000</v>
      </c>
      <c r="E24" s="744">
        <f>E25</f>
        <v>304000</v>
      </c>
      <c r="F24" s="744">
        <f>F25</f>
        <v>279089</v>
      </c>
      <c r="G24" s="745">
        <f t="shared" si="0"/>
        <v>0.9180559210526316</v>
      </c>
    </row>
    <row r="25" spans="1:7" ht="19.5" customHeight="1">
      <c r="A25" s="741"/>
      <c r="B25" s="741"/>
      <c r="C25" s="495" t="s">
        <v>290</v>
      </c>
      <c r="D25" s="742">
        <v>180000</v>
      </c>
      <c r="E25" s="742">
        <v>304000</v>
      </c>
      <c r="F25" s="742">
        <v>279089</v>
      </c>
      <c r="G25" s="743">
        <f t="shared" si="0"/>
        <v>0.9180559210526316</v>
      </c>
    </row>
    <row r="26" spans="1:7" ht="41.25" customHeight="1">
      <c r="A26" s="767"/>
      <c r="B26" s="767"/>
      <c r="C26" s="660"/>
      <c r="D26" s="768"/>
      <c r="E26" s="768"/>
      <c r="F26" s="768"/>
      <c r="G26" s="769"/>
    </row>
    <row r="27" spans="1:7" ht="19.5" customHeight="1">
      <c r="A27" s="96">
        <v>750</v>
      </c>
      <c r="B27" s="96"/>
      <c r="C27" s="419" t="s">
        <v>391</v>
      </c>
      <c r="D27" s="601">
        <f>D30+D28</f>
        <v>510000</v>
      </c>
      <c r="E27" s="601">
        <f>E30+E28</f>
        <v>591900</v>
      </c>
      <c r="F27" s="601">
        <f>F30+F28</f>
        <v>466282</v>
      </c>
      <c r="G27" s="572">
        <f>F27/E27</f>
        <v>0.7877715830376752</v>
      </c>
    </row>
    <row r="28" spans="1:7" ht="19.5" customHeight="1">
      <c r="A28" s="23"/>
      <c r="B28" s="78">
        <v>75022</v>
      </c>
      <c r="C28" s="78" t="s">
        <v>1029</v>
      </c>
      <c r="D28" s="744">
        <f>D29</f>
        <v>10000</v>
      </c>
      <c r="E28" s="744">
        <f>E29</f>
        <v>3900</v>
      </c>
      <c r="F28" s="1111"/>
      <c r="G28" s="584"/>
    </row>
    <row r="29" spans="1:7" ht="19.5" customHeight="1">
      <c r="A29" s="23"/>
      <c r="B29" s="20"/>
      <c r="C29" s="1112" t="s">
        <v>291</v>
      </c>
      <c r="D29" s="742">
        <v>10000</v>
      </c>
      <c r="E29" s="742">
        <v>3900</v>
      </c>
      <c r="F29" s="1113"/>
      <c r="G29" s="585"/>
    </row>
    <row r="30" spans="1:7" ht="19.5" customHeight="1">
      <c r="A30" s="23"/>
      <c r="B30" s="78">
        <v>75023</v>
      </c>
      <c r="C30" s="78" t="s">
        <v>449</v>
      </c>
      <c r="D30" s="744">
        <f>D31</f>
        <v>500000</v>
      </c>
      <c r="E30" s="744">
        <f>E31</f>
        <v>588000</v>
      </c>
      <c r="F30" s="744">
        <f>F31</f>
        <v>466282</v>
      </c>
      <c r="G30" s="745">
        <f aca="true" t="shared" si="1" ref="G30:G56">F30/E30</f>
        <v>0.7929965986394558</v>
      </c>
    </row>
    <row r="31" spans="1:7" ht="19.5" customHeight="1">
      <c r="A31" s="20"/>
      <c r="B31" s="20"/>
      <c r="C31" s="1112" t="s">
        <v>292</v>
      </c>
      <c r="D31" s="742">
        <v>500000</v>
      </c>
      <c r="E31" s="742">
        <v>588000</v>
      </c>
      <c r="F31" s="742">
        <v>466282</v>
      </c>
      <c r="G31" s="743">
        <f t="shared" si="1"/>
        <v>0.7929965986394558</v>
      </c>
    </row>
    <row r="32" spans="1:7" ht="19.5" customHeight="1">
      <c r="A32" s="96">
        <v>754</v>
      </c>
      <c r="B32" s="96"/>
      <c r="C32" s="1114" t="s">
        <v>394</v>
      </c>
      <c r="D32" s="601"/>
      <c r="E32" s="601">
        <f>E33</f>
        <v>20000</v>
      </c>
      <c r="F32" s="601">
        <f>F33</f>
        <v>19886</v>
      </c>
      <c r="G32" s="572">
        <f t="shared" si="1"/>
        <v>0.9943</v>
      </c>
    </row>
    <row r="33" spans="1:7" ht="19.5" customHeight="1">
      <c r="A33" s="239"/>
      <c r="B33" s="78">
        <v>75416</v>
      </c>
      <c r="C33" s="1115" t="s">
        <v>443</v>
      </c>
      <c r="D33" s="744"/>
      <c r="E33" s="744">
        <f>E34</f>
        <v>20000</v>
      </c>
      <c r="F33" s="744">
        <f>F34</f>
        <v>19886</v>
      </c>
      <c r="G33" s="745">
        <f t="shared" si="1"/>
        <v>0.9943</v>
      </c>
    </row>
    <row r="34" spans="1:7" ht="19.5" customHeight="1">
      <c r="A34" s="20"/>
      <c r="B34" s="20"/>
      <c r="C34" s="1112" t="s">
        <v>293</v>
      </c>
      <c r="D34" s="742"/>
      <c r="E34" s="742">
        <v>20000</v>
      </c>
      <c r="F34" s="742">
        <v>19886</v>
      </c>
      <c r="G34" s="743">
        <f t="shared" si="1"/>
        <v>0.9943</v>
      </c>
    </row>
    <row r="35" spans="1:7" ht="19.5" customHeight="1">
      <c r="A35" s="96">
        <v>801</v>
      </c>
      <c r="B35" s="96"/>
      <c r="C35" s="419" t="s">
        <v>347</v>
      </c>
      <c r="D35" s="601">
        <f>D36+D40+D42+D44+D38</f>
        <v>2113000</v>
      </c>
      <c r="E35" s="601">
        <f>E36+E40+E42+E44+E38+E46+E48</f>
        <v>1942468</v>
      </c>
      <c r="F35" s="601">
        <f>F36+F38+F40+F42+F44+F46+F48</f>
        <v>1940374</v>
      </c>
      <c r="G35" s="572">
        <f t="shared" si="1"/>
        <v>0.9989219899632839</v>
      </c>
    </row>
    <row r="36" spans="1:7" ht="19.5" customHeight="1">
      <c r="A36" s="30"/>
      <c r="B36" s="32">
        <v>80101</v>
      </c>
      <c r="C36" s="477" t="s">
        <v>348</v>
      </c>
      <c r="D36" s="583">
        <f>D37</f>
        <v>790000</v>
      </c>
      <c r="E36" s="583">
        <f>E37</f>
        <v>713859</v>
      </c>
      <c r="F36" s="583">
        <f>F37</f>
        <v>713121</v>
      </c>
      <c r="G36" s="584">
        <f t="shared" si="1"/>
        <v>0.9989661823973642</v>
      </c>
    </row>
    <row r="37" spans="1:7" ht="19.5" customHeight="1">
      <c r="A37" s="30"/>
      <c r="B37" s="32"/>
      <c r="C37" s="434" t="s">
        <v>294</v>
      </c>
      <c r="D37" s="580">
        <v>790000</v>
      </c>
      <c r="E37" s="580">
        <v>713859</v>
      </c>
      <c r="F37" s="580">
        <v>713121</v>
      </c>
      <c r="G37" s="585">
        <f t="shared" si="1"/>
        <v>0.9989661823973642</v>
      </c>
    </row>
    <row r="38" spans="1:7" ht="19.5" customHeight="1">
      <c r="A38" s="30"/>
      <c r="B38" s="32">
        <v>80104</v>
      </c>
      <c r="C38" s="477" t="s">
        <v>311</v>
      </c>
      <c r="D38" s="583"/>
      <c r="E38" s="583">
        <f>E39</f>
        <v>215877</v>
      </c>
      <c r="F38" s="583">
        <f>F39</f>
        <v>214907</v>
      </c>
      <c r="G38" s="584">
        <f t="shared" si="1"/>
        <v>0.9955067005748643</v>
      </c>
    </row>
    <row r="39" spans="1:7" ht="19.5" customHeight="1">
      <c r="A39" s="30"/>
      <c r="B39" s="6"/>
      <c r="C39" s="434" t="s">
        <v>295</v>
      </c>
      <c r="D39" s="580"/>
      <c r="E39" s="580">
        <v>215877</v>
      </c>
      <c r="F39" s="580">
        <v>214907</v>
      </c>
      <c r="G39" s="585">
        <f t="shared" si="1"/>
        <v>0.9955067005748643</v>
      </c>
    </row>
    <row r="40" spans="1:7" ht="19.5" customHeight="1">
      <c r="A40" s="23"/>
      <c r="B40" s="78">
        <v>80110</v>
      </c>
      <c r="C40" s="78" t="s">
        <v>349</v>
      </c>
      <c r="D40" s="169">
        <f>D41</f>
        <v>923000</v>
      </c>
      <c r="E40" s="169">
        <f>E41</f>
        <v>529996</v>
      </c>
      <c r="F40" s="169">
        <f>F41</f>
        <v>529853</v>
      </c>
      <c r="G40" s="170">
        <f t="shared" si="1"/>
        <v>0.999730186642918</v>
      </c>
    </row>
    <row r="41" spans="1:7" ht="19.5" customHeight="1">
      <c r="A41" s="23"/>
      <c r="B41" s="20"/>
      <c r="C41" s="1112" t="s">
        <v>294</v>
      </c>
      <c r="D41" s="530">
        <v>923000</v>
      </c>
      <c r="E41" s="530">
        <v>529996</v>
      </c>
      <c r="F41" s="530">
        <v>529853</v>
      </c>
      <c r="G41" s="1116">
        <f t="shared" si="1"/>
        <v>0.999730186642918</v>
      </c>
    </row>
    <row r="42" spans="1:7" ht="19.5" customHeight="1">
      <c r="A42" s="23"/>
      <c r="B42" s="78">
        <v>80120</v>
      </c>
      <c r="C42" s="1115" t="s">
        <v>359</v>
      </c>
      <c r="D42" s="169">
        <f>D43</f>
        <v>400000</v>
      </c>
      <c r="E42" s="169">
        <f>E43</f>
        <v>355103</v>
      </c>
      <c r="F42" s="169">
        <f>F43</f>
        <v>355063</v>
      </c>
      <c r="G42" s="170">
        <f t="shared" si="1"/>
        <v>0.9998873566261056</v>
      </c>
    </row>
    <row r="43" spans="1:7" ht="19.5" customHeight="1">
      <c r="A43" s="23"/>
      <c r="B43" s="20"/>
      <c r="C43" s="1112" t="s">
        <v>294</v>
      </c>
      <c r="D43" s="530">
        <v>400000</v>
      </c>
      <c r="E43" s="530">
        <v>355103</v>
      </c>
      <c r="F43" s="530">
        <v>355063</v>
      </c>
      <c r="G43" s="1116">
        <f t="shared" si="1"/>
        <v>0.9998873566261056</v>
      </c>
    </row>
    <row r="44" spans="1:7" ht="19.5" customHeight="1">
      <c r="A44" s="23"/>
      <c r="B44" s="78">
        <v>80130</v>
      </c>
      <c r="C44" s="1115" t="s">
        <v>360</v>
      </c>
      <c r="D44" s="169"/>
      <c r="E44" s="169">
        <f>E45</f>
        <v>110973</v>
      </c>
      <c r="F44" s="169">
        <f>F45</f>
        <v>110773</v>
      </c>
      <c r="G44" s="170">
        <f t="shared" si="1"/>
        <v>0.9981977598154506</v>
      </c>
    </row>
    <row r="45" spans="1:7" ht="19.5" customHeight="1">
      <c r="A45" s="23"/>
      <c r="B45" s="20"/>
      <c r="C45" s="1112" t="s">
        <v>294</v>
      </c>
      <c r="D45" s="530"/>
      <c r="E45" s="530">
        <v>110973</v>
      </c>
      <c r="F45" s="530">
        <v>110773</v>
      </c>
      <c r="G45" s="1116">
        <f t="shared" si="1"/>
        <v>0.9981977598154506</v>
      </c>
    </row>
    <row r="46" spans="1:7" ht="19.5" customHeight="1">
      <c r="A46" s="23"/>
      <c r="B46" s="78">
        <v>80132</v>
      </c>
      <c r="C46" s="1115" t="s">
        <v>363</v>
      </c>
      <c r="D46" s="169"/>
      <c r="E46" s="169">
        <f>E47</f>
        <v>660</v>
      </c>
      <c r="F46" s="169">
        <f>F47</f>
        <v>657</v>
      </c>
      <c r="G46" s="170">
        <f t="shared" si="1"/>
        <v>0.9954545454545455</v>
      </c>
    </row>
    <row r="47" spans="1:7" ht="19.5" customHeight="1">
      <c r="A47" s="23"/>
      <c r="B47" s="20"/>
      <c r="C47" s="1112" t="s">
        <v>296</v>
      </c>
      <c r="D47" s="530"/>
      <c r="E47" s="530">
        <v>660</v>
      </c>
      <c r="F47" s="530">
        <v>657</v>
      </c>
      <c r="G47" s="1116">
        <f t="shared" si="1"/>
        <v>0.9954545454545455</v>
      </c>
    </row>
    <row r="48" spans="1:7" ht="25.5" customHeight="1">
      <c r="A48" s="23"/>
      <c r="B48" s="78">
        <v>80140</v>
      </c>
      <c r="C48" s="1102" t="s">
        <v>297</v>
      </c>
      <c r="D48" s="169"/>
      <c r="E48" s="169">
        <f>E49</f>
        <v>16000</v>
      </c>
      <c r="F48" s="169">
        <f>F49</f>
        <v>16000</v>
      </c>
      <c r="G48" s="170">
        <f t="shared" si="1"/>
        <v>1</v>
      </c>
    </row>
    <row r="49" spans="1:7" ht="19.5" customHeight="1">
      <c r="A49" s="20"/>
      <c r="B49" s="20"/>
      <c r="C49" s="1112" t="s">
        <v>294</v>
      </c>
      <c r="D49" s="530"/>
      <c r="E49" s="530">
        <v>16000</v>
      </c>
      <c r="F49" s="530">
        <v>16000</v>
      </c>
      <c r="G49" s="1116">
        <f t="shared" si="1"/>
        <v>1</v>
      </c>
    </row>
    <row r="50" spans="1:7" ht="19.5" customHeight="1">
      <c r="A50" s="134">
        <v>852</v>
      </c>
      <c r="B50" s="134"/>
      <c r="C50" s="1117" t="s">
        <v>463</v>
      </c>
      <c r="D50" s="431">
        <f>D51+D53+D55+D57</f>
        <v>73000</v>
      </c>
      <c r="E50" s="431">
        <f>E51+E53+E55+E57</f>
        <v>219317</v>
      </c>
      <c r="F50" s="431">
        <f>F51+F53+F55+F57</f>
        <v>218893</v>
      </c>
      <c r="G50" s="572">
        <f t="shared" si="1"/>
        <v>0.9980667253336495</v>
      </c>
    </row>
    <row r="51" spans="1:7" ht="19.5" customHeight="1">
      <c r="A51" s="23"/>
      <c r="B51" s="78">
        <v>85201</v>
      </c>
      <c r="C51" s="1115" t="s">
        <v>392</v>
      </c>
      <c r="D51" s="169"/>
      <c r="E51" s="169">
        <f>SUM(E52)</f>
        <v>14892</v>
      </c>
      <c r="F51" s="169">
        <f>1434+13034</f>
        <v>14468</v>
      </c>
      <c r="G51" s="170">
        <f t="shared" si="1"/>
        <v>0.9715283373623422</v>
      </c>
    </row>
    <row r="52" spans="1:7" ht="19.5" customHeight="1">
      <c r="A52" s="20"/>
      <c r="B52" s="20"/>
      <c r="C52" s="1112" t="s">
        <v>298</v>
      </c>
      <c r="D52" s="530"/>
      <c r="E52" s="530">
        <v>14892</v>
      </c>
      <c r="F52" s="530">
        <v>14468</v>
      </c>
      <c r="G52" s="1116">
        <f t="shared" si="1"/>
        <v>0.9715283373623422</v>
      </c>
    </row>
    <row r="53" spans="1:7" ht="19.5" customHeight="1">
      <c r="A53" s="23"/>
      <c r="B53" s="78">
        <v>85202</v>
      </c>
      <c r="C53" s="1115" t="s">
        <v>352</v>
      </c>
      <c r="D53" s="530"/>
      <c r="E53" s="169">
        <f>SUM(E54)</f>
        <v>116425</v>
      </c>
      <c r="F53" s="169">
        <f>F54</f>
        <v>116425</v>
      </c>
      <c r="G53" s="170">
        <f t="shared" si="1"/>
        <v>1</v>
      </c>
    </row>
    <row r="54" spans="1:7" ht="19.5" customHeight="1">
      <c r="A54" s="23"/>
      <c r="B54" s="20"/>
      <c r="C54" s="1112" t="s">
        <v>299</v>
      </c>
      <c r="D54" s="530"/>
      <c r="E54" s="530">
        <v>116425</v>
      </c>
      <c r="F54" s="530">
        <v>116425</v>
      </c>
      <c r="G54" s="1116">
        <f t="shared" si="1"/>
        <v>1</v>
      </c>
    </row>
    <row r="55" spans="1:7" ht="19.5" customHeight="1">
      <c r="A55" s="23"/>
      <c r="B55" s="78">
        <v>85219</v>
      </c>
      <c r="C55" s="1115" t="s">
        <v>416</v>
      </c>
      <c r="D55" s="169">
        <f>D56</f>
        <v>73000</v>
      </c>
      <c r="E55" s="169">
        <f>SUM(E56)</f>
        <v>73000</v>
      </c>
      <c r="F55" s="169">
        <f>F56</f>
        <v>73000</v>
      </c>
      <c r="G55" s="170">
        <f t="shared" si="1"/>
        <v>1</v>
      </c>
    </row>
    <row r="56" spans="1:7" ht="19.5" customHeight="1">
      <c r="A56" s="23"/>
      <c r="B56" s="23"/>
      <c r="C56" s="1118" t="s">
        <v>300</v>
      </c>
      <c r="D56" s="1119">
        <v>73000</v>
      </c>
      <c r="E56" s="1119">
        <v>73000</v>
      </c>
      <c r="F56" s="1119">
        <v>73000</v>
      </c>
      <c r="G56" s="1120">
        <f t="shared" si="1"/>
        <v>1</v>
      </c>
    </row>
    <row r="57" spans="1:7" ht="25.5" customHeight="1">
      <c r="A57" s="23"/>
      <c r="B57" s="47">
        <v>85220</v>
      </c>
      <c r="C57" s="1121" t="s">
        <v>301</v>
      </c>
      <c r="D57" s="229"/>
      <c r="E57" s="229">
        <f>SUM(E58)</f>
        <v>15000</v>
      </c>
      <c r="F57" s="229">
        <f>F58</f>
        <v>15000</v>
      </c>
      <c r="G57" s="230">
        <v>1</v>
      </c>
    </row>
    <row r="58" spans="1:7" ht="19.5" customHeight="1">
      <c r="A58" s="20" t="s">
        <v>302</v>
      </c>
      <c r="B58" s="20"/>
      <c r="C58" s="1112" t="s">
        <v>293</v>
      </c>
      <c r="D58" s="530"/>
      <c r="E58" s="530">
        <v>15000</v>
      </c>
      <c r="F58" s="530">
        <v>15000</v>
      </c>
      <c r="G58" s="1116">
        <v>1</v>
      </c>
    </row>
    <row r="59" spans="1:7" ht="19.5" customHeight="1">
      <c r="A59" s="134">
        <v>853</v>
      </c>
      <c r="B59" s="134"/>
      <c r="C59" s="1117" t="s">
        <v>464</v>
      </c>
      <c r="D59" s="431">
        <f aca="true" t="shared" si="2" ref="D59:F60">D60</f>
        <v>60000</v>
      </c>
      <c r="E59" s="431">
        <f t="shared" si="2"/>
        <v>60000</v>
      </c>
      <c r="F59" s="431">
        <f t="shared" si="2"/>
        <v>59975</v>
      </c>
      <c r="G59" s="156">
        <f aca="true" t="shared" si="3" ref="G59:G100">F59/E59</f>
        <v>0.9995833333333334</v>
      </c>
    </row>
    <row r="60" spans="1:7" ht="19.5" customHeight="1">
      <c r="A60" s="23"/>
      <c r="B60" s="78">
        <v>85305</v>
      </c>
      <c r="C60" s="1115" t="s">
        <v>351</v>
      </c>
      <c r="D60" s="169">
        <f t="shared" si="2"/>
        <v>60000</v>
      </c>
      <c r="E60" s="169">
        <f t="shared" si="2"/>
        <v>60000</v>
      </c>
      <c r="F60" s="169">
        <f t="shared" si="2"/>
        <v>59975</v>
      </c>
      <c r="G60" s="170">
        <f t="shared" si="3"/>
        <v>0.9995833333333334</v>
      </c>
    </row>
    <row r="61" spans="1:7" ht="19.5" customHeight="1">
      <c r="A61" s="20"/>
      <c r="B61" s="20"/>
      <c r="C61" s="1112" t="s">
        <v>303</v>
      </c>
      <c r="D61" s="530">
        <v>60000</v>
      </c>
      <c r="E61" s="530">
        <v>60000</v>
      </c>
      <c r="F61" s="530">
        <v>59975</v>
      </c>
      <c r="G61" s="1116">
        <f t="shared" si="3"/>
        <v>0.9995833333333334</v>
      </c>
    </row>
    <row r="62" spans="1:7" ht="19.5" customHeight="1">
      <c r="A62" s="134">
        <v>854</v>
      </c>
      <c r="B62" s="96"/>
      <c r="C62" s="419" t="s">
        <v>396</v>
      </c>
      <c r="D62" s="601"/>
      <c r="E62" s="601">
        <f>E63+E65+E67+E71+E69</f>
        <v>95076</v>
      </c>
      <c r="F62" s="601">
        <f>F63+F65+F67+F71+F69</f>
        <v>91543</v>
      </c>
      <c r="G62" s="572">
        <f t="shared" si="3"/>
        <v>0.9628402541124995</v>
      </c>
    </row>
    <row r="63" spans="1:7" ht="19.5" customHeight="1">
      <c r="A63" s="239"/>
      <c r="B63" s="78">
        <v>85403</v>
      </c>
      <c r="C63" s="1115" t="s">
        <v>404</v>
      </c>
      <c r="D63" s="169"/>
      <c r="E63" s="169">
        <f>E64</f>
        <v>43000</v>
      </c>
      <c r="F63" s="169">
        <f>F64</f>
        <v>42901</v>
      </c>
      <c r="G63" s="170">
        <f t="shared" si="3"/>
        <v>0.9976976744186047</v>
      </c>
    </row>
    <row r="64" spans="1:7" ht="19.5" customHeight="1">
      <c r="A64" s="23"/>
      <c r="B64" s="20"/>
      <c r="C64" s="1112" t="s">
        <v>304</v>
      </c>
      <c r="D64" s="530"/>
      <c r="E64" s="530">
        <v>43000</v>
      </c>
      <c r="F64" s="530">
        <v>42901</v>
      </c>
      <c r="G64" s="1116">
        <f t="shared" si="3"/>
        <v>0.9976976744186047</v>
      </c>
    </row>
    <row r="65" spans="1:7" ht="19.5" customHeight="1">
      <c r="A65" s="23"/>
      <c r="B65" s="78">
        <v>85407</v>
      </c>
      <c r="C65" s="1115" t="s">
        <v>364</v>
      </c>
      <c r="D65" s="169"/>
      <c r="E65" s="169">
        <f>E66</f>
        <v>5000</v>
      </c>
      <c r="F65" s="169">
        <f>F66</f>
        <v>5000</v>
      </c>
      <c r="G65" s="170">
        <f t="shared" si="3"/>
        <v>1</v>
      </c>
    </row>
    <row r="66" spans="1:7" ht="19.5" customHeight="1">
      <c r="A66" s="23"/>
      <c r="B66" s="20"/>
      <c r="C66" s="1112" t="s">
        <v>293</v>
      </c>
      <c r="D66" s="530"/>
      <c r="E66" s="530">
        <v>5000</v>
      </c>
      <c r="F66" s="530">
        <v>5000</v>
      </c>
      <c r="G66" s="1116">
        <f t="shared" si="3"/>
        <v>1</v>
      </c>
    </row>
    <row r="67" spans="1:7" ht="19.5" customHeight="1">
      <c r="A67" s="23"/>
      <c r="B67" s="78">
        <v>85410</v>
      </c>
      <c r="C67" s="1115" t="s">
        <v>405</v>
      </c>
      <c r="D67" s="169"/>
      <c r="E67" s="169">
        <f>E68</f>
        <v>36927</v>
      </c>
      <c r="F67" s="169">
        <f>F68</f>
        <v>33493</v>
      </c>
      <c r="G67" s="170">
        <f t="shared" si="3"/>
        <v>0.9070057139762233</v>
      </c>
    </row>
    <row r="68" spans="1:7" ht="19.5" customHeight="1">
      <c r="A68" s="23"/>
      <c r="B68" s="20"/>
      <c r="C68" s="1112" t="s">
        <v>295</v>
      </c>
      <c r="D68" s="530"/>
      <c r="E68" s="530">
        <v>36927</v>
      </c>
      <c r="F68" s="530">
        <v>33493</v>
      </c>
      <c r="G68" s="1116">
        <f t="shared" si="3"/>
        <v>0.9070057139762233</v>
      </c>
    </row>
    <row r="69" spans="1:7" ht="19.5" customHeight="1">
      <c r="A69" s="23"/>
      <c r="B69" s="78">
        <v>85417</v>
      </c>
      <c r="C69" s="1115" t="s">
        <v>366</v>
      </c>
      <c r="D69" s="169"/>
      <c r="E69" s="169">
        <f>E70</f>
        <v>4500</v>
      </c>
      <c r="F69" s="169">
        <f>F70</f>
        <v>4500</v>
      </c>
      <c r="G69" s="170">
        <f t="shared" si="3"/>
        <v>1</v>
      </c>
    </row>
    <row r="70" spans="1:7" ht="19.5" customHeight="1">
      <c r="A70" s="23"/>
      <c r="B70" s="20"/>
      <c r="C70" s="1112" t="s">
        <v>305</v>
      </c>
      <c r="D70" s="530"/>
      <c r="E70" s="530">
        <v>4500</v>
      </c>
      <c r="F70" s="530">
        <v>4500</v>
      </c>
      <c r="G70" s="1116">
        <f t="shared" si="3"/>
        <v>1</v>
      </c>
    </row>
    <row r="71" spans="1:7" ht="19.5" customHeight="1">
      <c r="A71" s="23"/>
      <c r="B71" s="78">
        <v>85495</v>
      </c>
      <c r="C71" s="1115" t="s">
        <v>966</v>
      </c>
      <c r="D71" s="169"/>
      <c r="E71" s="169">
        <f>E72</f>
        <v>5649</v>
      </c>
      <c r="F71" s="169">
        <f>F72</f>
        <v>5649</v>
      </c>
      <c r="G71" s="170">
        <f t="shared" si="3"/>
        <v>1</v>
      </c>
    </row>
    <row r="72" spans="1:7" ht="19.5" customHeight="1">
      <c r="A72" s="20"/>
      <c r="B72" s="20"/>
      <c r="C72" s="1112" t="s">
        <v>306</v>
      </c>
      <c r="D72" s="530"/>
      <c r="E72" s="530">
        <v>5649</v>
      </c>
      <c r="F72" s="530">
        <v>5649</v>
      </c>
      <c r="G72" s="1116">
        <f t="shared" si="3"/>
        <v>1</v>
      </c>
    </row>
    <row r="73" spans="1:7" ht="19.5" customHeight="1">
      <c r="A73" s="134">
        <v>900</v>
      </c>
      <c r="B73" s="96"/>
      <c r="C73" s="419" t="s">
        <v>384</v>
      </c>
      <c r="D73" s="601">
        <f aca="true" t="shared" si="4" ref="D73:F74">D74</f>
        <v>50000</v>
      </c>
      <c r="E73" s="601">
        <f t="shared" si="4"/>
        <v>186600</v>
      </c>
      <c r="F73" s="601">
        <f t="shared" si="4"/>
        <v>180509</v>
      </c>
      <c r="G73" s="572">
        <f t="shared" si="3"/>
        <v>0.967357984994641</v>
      </c>
    </row>
    <row r="74" spans="1:7" ht="19.5" customHeight="1">
      <c r="A74" s="23"/>
      <c r="B74" s="78">
        <v>90015</v>
      </c>
      <c r="C74" s="1115" t="s">
        <v>386</v>
      </c>
      <c r="D74" s="169">
        <f t="shared" si="4"/>
        <v>50000</v>
      </c>
      <c r="E74" s="169">
        <f t="shared" si="4"/>
        <v>186600</v>
      </c>
      <c r="F74" s="169">
        <f t="shared" si="4"/>
        <v>180509</v>
      </c>
      <c r="G74" s="170">
        <f t="shared" si="3"/>
        <v>0.967357984994641</v>
      </c>
    </row>
    <row r="75" spans="1:7" ht="19.5" customHeight="1">
      <c r="A75" s="20"/>
      <c r="B75" s="20"/>
      <c r="C75" s="1112" t="s">
        <v>75</v>
      </c>
      <c r="D75" s="530">
        <v>50000</v>
      </c>
      <c r="E75" s="530">
        <v>186600</v>
      </c>
      <c r="F75" s="530">
        <v>180509</v>
      </c>
      <c r="G75" s="1116">
        <f t="shared" si="3"/>
        <v>0.967357984994641</v>
      </c>
    </row>
    <row r="76" spans="1:7" ht="19.5" customHeight="1">
      <c r="A76" s="719">
        <v>921</v>
      </c>
      <c r="B76" s="719"/>
      <c r="C76" s="124" t="s">
        <v>512</v>
      </c>
      <c r="D76" s="735">
        <f>D81+D77+D79</f>
        <v>830000</v>
      </c>
      <c r="E76" s="735">
        <f>E81+E77+E79</f>
        <v>930000</v>
      </c>
      <c r="F76" s="735">
        <f>F81+F77+F79</f>
        <v>930000</v>
      </c>
      <c r="G76" s="736">
        <f t="shared" si="3"/>
        <v>1</v>
      </c>
    </row>
    <row r="77" spans="1:7" ht="19.5" customHeight="1">
      <c r="A77" s="23"/>
      <c r="B77" s="78">
        <v>92109</v>
      </c>
      <c r="C77" s="1115" t="s">
        <v>83</v>
      </c>
      <c r="D77" s="169">
        <f>D78</f>
        <v>30000</v>
      </c>
      <c r="E77" s="169">
        <f>E78</f>
        <v>30000</v>
      </c>
      <c r="F77" s="169">
        <f>F78</f>
        <v>30000</v>
      </c>
      <c r="G77" s="170">
        <f t="shared" si="3"/>
        <v>1</v>
      </c>
    </row>
    <row r="78" spans="1:7" ht="19.5" customHeight="1">
      <c r="A78" s="741"/>
      <c r="B78" s="747"/>
      <c r="C78" s="433" t="s">
        <v>307</v>
      </c>
      <c r="D78" s="727">
        <v>30000</v>
      </c>
      <c r="E78" s="727">
        <v>30000</v>
      </c>
      <c r="F78" s="727">
        <v>30000</v>
      </c>
      <c r="G78" s="1116">
        <f t="shared" si="3"/>
        <v>1</v>
      </c>
    </row>
    <row r="79" spans="1:7" ht="19.5" customHeight="1">
      <c r="A79" s="23"/>
      <c r="B79" s="78">
        <v>92116</v>
      </c>
      <c r="C79" s="1115" t="s">
        <v>877</v>
      </c>
      <c r="D79" s="169">
        <f>D80</f>
        <v>100000</v>
      </c>
      <c r="E79" s="169">
        <f>E80</f>
        <v>100000</v>
      </c>
      <c r="F79" s="169">
        <f>F80</f>
        <v>100000</v>
      </c>
      <c r="G79" s="170">
        <f t="shared" si="3"/>
        <v>1</v>
      </c>
    </row>
    <row r="80" spans="1:7" ht="19.5" customHeight="1">
      <c r="A80" s="737"/>
      <c r="B80" s="741"/>
      <c r="C80" s="509" t="s">
        <v>308</v>
      </c>
      <c r="D80" s="742">
        <v>100000</v>
      </c>
      <c r="E80" s="742">
        <v>100000</v>
      </c>
      <c r="F80" s="742">
        <v>100000</v>
      </c>
      <c r="G80" s="1116">
        <f t="shared" si="3"/>
        <v>1</v>
      </c>
    </row>
    <row r="81" spans="1:7" ht="19.5" customHeight="1">
      <c r="A81" s="23"/>
      <c r="B81" s="78">
        <v>92120</v>
      </c>
      <c r="C81" s="1115" t="s">
        <v>92</v>
      </c>
      <c r="D81" s="169">
        <f>D85+D82</f>
        <v>700000</v>
      </c>
      <c r="E81" s="169">
        <f>E85+E82</f>
        <v>800000</v>
      </c>
      <c r="F81" s="169">
        <f>F85+F82</f>
        <v>800000</v>
      </c>
      <c r="G81" s="170">
        <f t="shared" si="3"/>
        <v>1</v>
      </c>
    </row>
    <row r="82" spans="1:7" ht="19.5" customHeight="1">
      <c r="A82" s="737"/>
      <c r="B82" s="737"/>
      <c r="C82" s="1122" t="s">
        <v>94</v>
      </c>
      <c r="D82" s="1123">
        <f>SUM(D83:D84)</f>
        <v>550000</v>
      </c>
      <c r="E82" s="1123">
        <f>SUM(E83:E84)</f>
        <v>550000</v>
      </c>
      <c r="F82" s="1123">
        <f>SUM(F83:F84)</f>
        <v>550000</v>
      </c>
      <c r="G82" s="1124">
        <f t="shared" si="3"/>
        <v>1</v>
      </c>
    </row>
    <row r="83" spans="1:7" s="1130" customFormat="1" ht="19.5" customHeight="1">
      <c r="A83" s="1125"/>
      <c r="B83" s="1125"/>
      <c r="C83" s="1126" t="s">
        <v>309</v>
      </c>
      <c r="D83" s="1127">
        <v>50000</v>
      </c>
      <c r="E83" s="1127">
        <v>50000</v>
      </c>
      <c r="F83" s="1128">
        <v>50000</v>
      </c>
      <c r="G83" s="1129">
        <f t="shared" si="3"/>
        <v>1</v>
      </c>
    </row>
    <row r="84" spans="1:7" s="729" customFormat="1" ht="19.5" customHeight="1">
      <c r="A84" s="726"/>
      <c r="B84" s="726"/>
      <c r="C84" s="1126" t="s">
        <v>310</v>
      </c>
      <c r="D84" s="1127">
        <v>500000</v>
      </c>
      <c r="E84" s="1127">
        <v>500000</v>
      </c>
      <c r="F84" s="1128">
        <v>500000</v>
      </c>
      <c r="G84" s="1129">
        <f t="shared" si="3"/>
        <v>1</v>
      </c>
    </row>
    <row r="85" spans="1:7" ht="19.5" customHeight="1">
      <c r="A85" s="737"/>
      <c r="B85" s="737"/>
      <c r="C85" s="1131" t="s">
        <v>531</v>
      </c>
      <c r="D85" s="626">
        <v>150000</v>
      </c>
      <c r="E85" s="626">
        <v>250000</v>
      </c>
      <c r="F85" s="1132">
        <v>250000</v>
      </c>
      <c r="G85" s="627">
        <f t="shared" si="3"/>
        <v>1</v>
      </c>
    </row>
    <row r="86" spans="1:7" ht="19.5" customHeight="1">
      <c r="A86" s="719">
        <v>926</v>
      </c>
      <c r="B86" s="1133"/>
      <c r="C86" s="124" t="s">
        <v>411</v>
      </c>
      <c r="D86" s="735"/>
      <c r="E86" s="735">
        <f>E87</f>
        <v>40000</v>
      </c>
      <c r="F86" s="735">
        <f>F87</f>
        <v>40000</v>
      </c>
      <c r="G86" s="736">
        <f t="shared" si="3"/>
        <v>1</v>
      </c>
    </row>
    <row r="87" spans="1:7" ht="19.5" customHeight="1">
      <c r="A87" s="737"/>
      <c r="B87" s="722">
        <v>92604</v>
      </c>
      <c r="C87" s="1121" t="s">
        <v>97</v>
      </c>
      <c r="D87" s="723"/>
      <c r="E87" s="723">
        <f>E88</f>
        <v>40000</v>
      </c>
      <c r="F87" s="723">
        <f>F88</f>
        <v>40000</v>
      </c>
      <c r="G87" s="724">
        <f t="shared" si="3"/>
        <v>1</v>
      </c>
    </row>
    <row r="88" spans="1:7" ht="19.5" customHeight="1">
      <c r="A88" s="737"/>
      <c r="B88" s="737"/>
      <c r="C88" s="433" t="s">
        <v>532</v>
      </c>
      <c r="D88" s="727"/>
      <c r="E88" s="727">
        <v>40000</v>
      </c>
      <c r="F88" s="1134">
        <v>40000</v>
      </c>
      <c r="G88" s="728">
        <f t="shared" si="3"/>
        <v>1</v>
      </c>
    </row>
    <row r="89" spans="1:7" ht="19.5" customHeight="1" thickBot="1">
      <c r="A89" s="737"/>
      <c r="B89" s="737"/>
      <c r="C89" s="1135" t="s">
        <v>536</v>
      </c>
      <c r="D89" s="1136">
        <f>D90+D94</f>
        <v>170000</v>
      </c>
      <c r="E89" s="1136">
        <f>E90+E94</f>
        <v>270240</v>
      </c>
      <c r="F89" s="1136">
        <f>F90+F94</f>
        <v>270240</v>
      </c>
      <c r="G89" s="1137">
        <f t="shared" si="3"/>
        <v>1</v>
      </c>
    </row>
    <row r="90" spans="1:7" ht="19.5" customHeight="1" thickBot="1">
      <c r="A90" s="741"/>
      <c r="B90" s="741"/>
      <c r="C90" s="1138" t="s">
        <v>533</v>
      </c>
      <c r="D90" s="1139">
        <f aca="true" t="shared" si="5" ref="D90:F92">D91</f>
        <v>20000</v>
      </c>
      <c r="E90" s="1139">
        <f t="shared" si="5"/>
        <v>38120</v>
      </c>
      <c r="F90" s="1139">
        <f t="shared" si="5"/>
        <v>38120</v>
      </c>
      <c r="G90" s="1140">
        <f t="shared" si="3"/>
        <v>1</v>
      </c>
    </row>
    <row r="91" spans="1:7" ht="19.5" customHeight="1" thickTop="1">
      <c r="A91" s="719">
        <v>852</v>
      </c>
      <c r="B91" s="719"/>
      <c r="C91" s="419" t="s">
        <v>463</v>
      </c>
      <c r="D91" s="155">
        <f t="shared" si="5"/>
        <v>20000</v>
      </c>
      <c r="E91" s="155">
        <f t="shared" si="5"/>
        <v>38120</v>
      </c>
      <c r="F91" s="155">
        <f t="shared" si="5"/>
        <v>38120</v>
      </c>
      <c r="G91" s="125">
        <f t="shared" si="3"/>
        <v>1</v>
      </c>
    </row>
    <row r="92" spans="1:7" ht="19.5" customHeight="1">
      <c r="A92" s="231"/>
      <c r="B92" s="722">
        <v>85203</v>
      </c>
      <c r="C92" s="1121" t="s">
        <v>433</v>
      </c>
      <c r="D92" s="723">
        <f t="shared" si="5"/>
        <v>20000</v>
      </c>
      <c r="E92" s="723">
        <f t="shared" si="5"/>
        <v>38120</v>
      </c>
      <c r="F92" s="723">
        <f t="shared" si="5"/>
        <v>38120</v>
      </c>
      <c r="G92" s="724">
        <f t="shared" si="3"/>
        <v>1</v>
      </c>
    </row>
    <row r="93" spans="1:7" ht="19.5" customHeight="1">
      <c r="A93" s="737"/>
      <c r="B93" s="737"/>
      <c r="C93" s="433" t="s">
        <v>305</v>
      </c>
      <c r="D93" s="727">
        <v>20000</v>
      </c>
      <c r="E93" s="727">
        <v>38120</v>
      </c>
      <c r="F93" s="727">
        <v>38120</v>
      </c>
      <c r="G93" s="728">
        <f t="shared" si="3"/>
        <v>1</v>
      </c>
    </row>
    <row r="94" spans="1:7" s="564" customFormat="1" ht="31.5" customHeight="1" thickBot="1">
      <c r="A94" s="737"/>
      <c r="B94" s="737"/>
      <c r="C94" s="1141" t="s">
        <v>534</v>
      </c>
      <c r="D94" s="1142">
        <f>D95+D98</f>
        <v>150000</v>
      </c>
      <c r="E94" s="1142">
        <f>E95+E98</f>
        <v>232120</v>
      </c>
      <c r="F94" s="1142">
        <f>F95+F98</f>
        <v>232120</v>
      </c>
      <c r="G94" s="1143">
        <f t="shared" si="3"/>
        <v>1</v>
      </c>
    </row>
    <row r="95" spans="1:7" s="564" customFormat="1" ht="20.25" customHeight="1" thickTop="1">
      <c r="A95" s="719">
        <v>754</v>
      </c>
      <c r="B95" s="719"/>
      <c r="C95" s="720" t="s">
        <v>394</v>
      </c>
      <c r="D95" s="209">
        <f aca="true" t="shared" si="6" ref="D95:F96">D96</f>
        <v>150000</v>
      </c>
      <c r="E95" s="209">
        <f t="shared" si="6"/>
        <v>228000</v>
      </c>
      <c r="F95" s="209">
        <f t="shared" si="6"/>
        <v>228000</v>
      </c>
      <c r="G95" s="1101">
        <f t="shared" si="3"/>
        <v>1</v>
      </c>
    </row>
    <row r="96" spans="1:7" s="564" customFormat="1" ht="21.75" customHeight="1">
      <c r="A96" s="737"/>
      <c r="B96" s="232">
        <v>75411</v>
      </c>
      <c r="C96" s="78" t="s">
        <v>432</v>
      </c>
      <c r="D96" s="229">
        <f t="shared" si="6"/>
        <v>150000</v>
      </c>
      <c r="E96" s="229">
        <f t="shared" si="6"/>
        <v>228000</v>
      </c>
      <c r="F96" s="229">
        <f t="shared" si="6"/>
        <v>228000</v>
      </c>
      <c r="G96" s="230">
        <f t="shared" si="3"/>
        <v>1</v>
      </c>
    </row>
    <row r="97" spans="1:7" s="564" customFormat="1" ht="21" customHeight="1">
      <c r="A97" s="741"/>
      <c r="B97" s="741"/>
      <c r="C97" s="79" t="s">
        <v>1013</v>
      </c>
      <c r="D97" s="1099">
        <v>150000</v>
      </c>
      <c r="E97" s="1099">
        <v>228000</v>
      </c>
      <c r="F97" s="1099">
        <f>77632+150368</f>
        <v>228000</v>
      </c>
      <c r="G97" s="1100">
        <f t="shared" si="3"/>
        <v>1</v>
      </c>
    </row>
    <row r="98" spans="1:7" s="564" customFormat="1" ht="20.25" customHeight="1">
      <c r="A98" s="719">
        <v>853</v>
      </c>
      <c r="B98" s="719"/>
      <c r="C98" s="719" t="s">
        <v>464</v>
      </c>
      <c r="D98" s="431"/>
      <c r="E98" s="431">
        <f>E99</f>
        <v>4120</v>
      </c>
      <c r="F98" s="431">
        <f>F99</f>
        <v>4120</v>
      </c>
      <c r="G98" s="156">
        <f t="shared" si="3"/>
        <v>1</v>
      </c>
    </row>
    <row r="99" spans="1:7" s="564" customFormat="1" ht="19.5" customHeight="1">
      <c r="A99" s="737"/>
      <c r="B99" s="232">
        <v>85334</v>
      </c>
      <c r="C99" s="78" t="s">
        <v>898</v>
      </c>
      <c r="D99" s="169"/>
      <c r="E99" s="169">
        <f>E100</f>
        <v>4120</v>
      </c>
      <c r="F99" s="169">
        <f>F100</f>
        <v>4120</v>
      </c>
      <c r="G99" s="170">
        <f t="shared" si="3"/>
        <v>1</v>
      </c>
    </row>
    <row r="100" spans="1:7" s="564" customFormat="1" ht="21" customHeight="1">
      <c r="A100" s="741"/>
      <c r="B100" s="741"/>
      <c r="C100" s="79" t="s">
        <v>535</v>
      </c>
      <c r="D100" s="1099"/>
      <c r="E100" s="1099">
        <v>4120</v>
      </c>
      <c r="F100" s="1099">
        <v>4120</v>
      </c>
      <c r="G100" s="1100">
        <f t="shared" si="3"/>
        <v>1</v>
      </c>
    </row>
    <row r="101" ht="12.75"/>
    <row r="102" ht="12.75"/>
    <row r="103" ht="18" customHeight="1">
      <c r="E103" s="375" t="s">
        <v>330</v>
      </c>
    </row>
    <row r="104" ht="18" customHeight="1">
      <c r="E104" s="694" t="s">
        <v>331</v>
      </c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2.75"/>
    <row r="114" ht="12.75"/>
    <row r="115" ht="12.75"/>
    <row r="116" ht="12.75"/>
    <row r="117" ht="12.75"/>
    <row r="118" ht="12.75"/>
    <row r="119" ht="12.75"/>
    <row r="120" ht="12.75"/>
    <row r="121" ht="10.5" customHeight="1"/>
    <row r="122" ht="10.5" customHeight="1"/>
    <row r="123" ht="12.75"/>
    <row r="124" ht="12.75"/>
    <row r="125" ht="12.75"/>
    <row r="126" ht="12.75"/>
    <row r="127" ht="14.25" customHeight="1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</sheetData>
  <printOptions horizontalCentered="1"/>
  <pageMargins left="0.5905511811023623" right="0.5905511811023623" top="0.6692913385826772" bottom="0.6692913385826772" header="0.5118110236220472" footer="0.5118110236220472"/>
  <pageSetup firstPageNumber="57" useFirstPageNumber="1" horizontalDpi="300" verticalDpi="3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6.625" style="1144" customWidth="1"/>
    <col min="3" max="3" width="35.125" style="0" customWidth="1"/>
    <col min="4" max="4" width="12.25390625" style="888" customWidth="1"/>
    <col min="5" max="5" width="12.625" style="888" customWidth="1"/>
    <col min="6" max="6" width="12.75390625" style="888" customWidth="1"/>
    <col min="7" max="7" width="11.875" style="888" customWidth="1"/>
    <col min="8" max="8" width="9.00390625" style="1145" customWidth="1"/>
    <col min="9" max="9" width="13.125" style="888" customWidth="1"/>
    <col min="10" max="10" width="12.75390625" style="888" customWidth="1"/>
    <col min="11" max="11" width="13.125" style="888" customWidth="1"/>
    <col min="12" max="12" width="13.00390625" style="888" customWidth="1"/>
    <col min="13" max="13" width="8.125" style="0" customWidth="1"/>
    <col min="14" max="14" width="7.625" style="0" customWidth="1"/>
  </cols>
  <sheetData>
    <row r="1" spans="10:11" ht="12" customHeight="1">
      <c r="J1" s="697"/>
      <c r="K1" s="697" t="s">
        <v>537</v>
      </c>
    </row>
    <row r="2" spans="10:11" ht="12" customHeight="1">
      <c r="J2" s="697"/>
      <c r="K2" s="697" t="s">
        <v>873</v>
      </c>
    </row>
    <row r="3" spans="4:11" ht="13.5" customHeight="1">
      <c r="D3" s="1146"/>
      <c r="E3" s="1146"/>
      <c r="F3" s="1147"/>
      <c r="G3" s="1147"/>
      <c r="H3" s="1148"/>
      <c r="I3" s="1147"/>
      <c r="J3" s="697"/>
      <c r="K3" s="697" t="s">
        <v>884</v>
      </c>
    </row>
    <row r="4" spans="2:11" s="890" customFormat="1" ht="13.5" customHeight="1">
      <c r="B4" s="1149"/>
      <c r="C4" s="1150" t="s">
        <v>538</v>
      </c>
      <c r="D4" s="1151"/>
      <c r="E4" s="1152"/>
      <c r="F4" s="1151"/>
      <c r="G4" s="1151"/>
      <c r="H4" s="1153"/>
      <c r="I4" s="1151"/>
      <c r="J4" s="697"/>
      <c r="K4" s="697" t="s">
        <v>874</v>
      </c>
    </row>
    <row r="5" spans="3:5" ht="8.25" customHeight="1">
      <c r="C5" s="853"/>
      <c r="E5" s="1154"/>
    </row>
    <row r="6" ht="12.75" customHeight="1" thickBot="1">
      <c r="M6" s="1155" t="s">
        <v>539</v>
      </c>
    </row>
    <row r="7" spans="1:13" s="1163" customFormat="1" ht="15.75" customHeight="1" thickBot="1" thickTop="1">
      <c r="A7" s="1156"/>
      <c r="B7" s="1156"/>
      <c r="C7" s="1157"/>
      <c r="D7" s="1158"/>
      <c r="E7" s="1158"/>
      <c r="F7" s="1158" t="s">
        <v>540</v>
      </c>
      <c r="G7" s="1159"/>
      <c r="H7" s="1160"/>
      <c r="I7" s="1158"/>
      <c r="J7" s="1158" t="s">
        <v>541</v>
      </c>
      <c r="K7" s="1161"/>
      <c r="L7" s="1161"/>
      <c r="M7" s="1162"/>
    </row>
    <row r="8" spans="1:13" s="1169" customFormat="1" ht="27" customHeight="1" thickBot="1" thickTop="1">
      <c r="A8" s="1164" t="s">
        <v>542</v>
      </c>
      <c r="B8" s="1164" t="s">
        <v>529</v>
      </c>
      <c r="C8" s="1165" t="s">
        <v>145</v>
      </c>
      <c r="D8" s="1166" t="s">
        <v>543</v>
      </c>
      <c r="E8" s="1166" t="s">
        <v>544</v>
      </c>
      <c r="F8" s="1816" t="s">
        <v>545</v>
      </c>
      <c r="G8" s="1817"/>
      <c r="H8" s="1167" t="s">
        <v>546</v>
      </c>
      <c r="I8" s="1166" t="s">
        <v>543</v>
      </c>
      <c r="J8" s="1166" t="s">
        <v>544</v>
      </c>
      <c r="K8" s="1816" t="s">
        <v>547</v>
      </c>
      <c r="L8" s="1817"/>
      <c r="M8" s="1168" t="s">
        <v>546</v>
      </c>
    </row>
    <row r="9" spans="1:13" s="1177" customFormat="1" ht="25.5" customHeight="1" thickBot="1" thickTop="1">
      <c r="A9" s="1170"/>
      <c r="B9" s="1170"/>
      <c r="C9" s="1171"/>
      <c r="D9" s="1172" t="s">
        <v>548</v>
      </c>
      <c r="E9" s="1172" t="s">
        <v>549</v>
      </c>
      <c r="F9" s="1173"/>
      <c r="G9" s="1174" t="s">
        <v>550</v>
      </c>
      <c r="H9" s="1175" t="s">
        <v>551</v>
      </c>
      <c r="I9" s="1172" t="s">
        <v>548</v>
      </c>
      <c r="J9" s="1172" t="s">
        <v>549</v>
      </c>
      <c r="K9" s="1173"/>
      <c r="L9" s="1174" t="s">
        <v>552</v>
      </c>
      <c r="M9" s="1176" t="s">
        <v>553</v>
      </c>
    </row>
    <row r="10" spans="1:13" ht="13.5" customHeight="1" thickBot="1" thickTop="1">
      <c r="A10" s="1178">
        <v>1</v>
      </c>
      <c r="B10" s="1178">
        <v>2</v>
      </c>
      <c r="C10" s="702">
        <v>3</v>
      </c>
      <c r="D10" s="703">
        <v>4</v>
      </c>
      <c r="E10" s="703">
        <v>5</v>
      </c>
      <c r="F10" s="703">
        <v>6</v>
      </c>
      <c r="G10" s="703">
        <v>7</v>
      </c>
      <c r="H10" s="1179">
        <v>8</v>
      </c>
      <c r="I10" s="703">
        <v>9</v>
      </c>
      <c r="J10" s="703">
        <v>10</v>
      </c>
      <c r="K10" s="703">
        <v>11</v>
      </c>
      <c r="L10" s="703">
        <v>12</v>
      </c>
      <c r="M10" s="702">
        <v>13</v>
      </c>
    </row>
    <row r="11" spans="1:13" s="709" customFormat="1" ht="25.5" customHeight="1" thickTop="1">
      <c r="A11" s="1180"/>
      <c r="B11" s="1180"/>
      <c r="C11" s="1181" t="s">
        <v>554</v>
      </c>
      <c r="D11" s="1182">
        <f>SUM(D12+D65)</f>
        <v>100042780</v>
      </c>
      <c r="E11" s="1182">
        <f>SUM(E12+E65)</f>
        <v>105122430</v>
      </c>
      <c r="F11" s="1182">
        <f>SUM(F12+F65)</f>
        <v>101241463</v>
      </c>
      <c r="G11" s="1182">
        <f>SUM(G12+G65)</f>
        <v>12509447</v>
      </c>
      <c r="H11" s="1183">
        <f>F11/E11</f>
        <v>0.9630814565454775</v>
      </c>
      <c r="I11" s="1182">
        <f>SUM(I12+I65)</f>
        <v>100059680</v>
      </c>
      <c r="J11" s="1182">
        <f>SUM(J12+J65)</f>
        <v>105149782</v>
      </c>
      <c r="K11" s="1182">
        <f>SUM(K12+K65)</f>
        <v>100619720</v>
      </c>
      <c r="L11" s="1182">
        <f>SUM(L12+L65)</f>
        <v>6251426</v>
      </c>
      <c r="M11" s="1183">
        <f>K11/J11</f>
        <v>0.9569180086364801</v>
      </c>
    </row>
    <row r="12" spans="1:13" ht="21" customHeight="1" thickBot="1">
      <c r="A12" s="1184"/>
      <c r="B12" s="1184"/>
      <c r="C12" s="1185" t="s">
        <v>555</v>
      </c>
      <c r="D12" s="94">
        <f>SUM(D13+D26+D37)</f>
        <v>99512780</v>
      </c>
      <c r="E12" s="94">
        <f>SUM(E13+E26+E37)</f>
        <v>104572265</v>
      </c>
      <c r="F12" s="94">
        <f>SUM(F13+F26+F37)</f>
        <v>100755218</v>
      </c>
      <c r="G12" s="94">
        <f>SUM(G13+G26+G37)</f>
        <v>12509447</v>
      </c>
      <c r="H12" s="165">
        <f>F12/E12</f>
        <v>0.9634984763885529</v>
      </c>
      <c r="I12" s="94">
        <f>SUM(I13+I26+I37)</f>
        <v>99529680</v>
      </c>
      <c r="J12" s="94">
        <f>SUM(J13+J26+J37)</f>
        <v>104599617</v>
      </c>
      <c r="K12" s="94">
        <f>SUM(K13+K26+K37)</f>
        <v>100115812</v>
      </c>
      <c r="L12" s="94">
        <f>SUM(L13+L26+L37)</f>
        <v>6251426</v>
      </c>
      <c r="M12" s="165">
        <f>K12/J12</f>
        <v>0.9571336384529974</v>
      </c>
    </row>
    <row r="13" spans="1:13" ht="21" customHeight="1" thickTop="1">
      <c r="A13" s="1186"/>
      <c r="B13" s="1186"/>
      <c r="C13" s="1187" t="s">
        <v>556</v>
      </c>
      <c r="D13" s="1188">
        <f>SUM(D14+D18+D22)</f>
        <v>82054380</v>
      </c>
      <c r="E13" s="1188">
        <f>SUM(E14+E18+E22)</f>
        <v>84086978</v>
      </c>
      <c r="F13" s="1188">
        <f>SUM(F14+F18+F22)</f>
        <v>81353593</v>
      </c>
      <c r="G13" s="1188">
        <f>SUM(G14+G18+G22)</f>
        <v>12369247</v>
      </c>
      <c r="H13" s="1189">
        <f>F13/E13</f>
        <v>0.9674933614572283</v>
      </c>
      <c r="I13" s="1188">
        <f>SUM(I14+I18+I22)</f>
        <v>81830380</v>
      </c>
      <c r="J13" s="1188">
        <f>SUM(J14+J18+J22)</f>
        <v>83398611</v>
      </c>
      <c r="K13" s="1188">
        <f>SUM(K14+K18+K22)</f>
        <v>80937005</v>
      </c>
      <c r="L13" s="1188">
        <f>SUM(L14+L18+L22)</f>
        <v>5464355</v>
      </c>
      <c r="M13" s="1189">
        <f>K13/J13</f>
        <v>0.9704838489456377</v>
      </c>
    </row>
    <row r="14" spans="1:13" s="1194" customFormat="1" ht="25.5" customHeight="1">
      <c r="A14" s="1190">
        <v>630</v>
      </c>
      <c r="B14" s="1190">
        <v>63001</v>
      </c>
      <c r="C14" s="643" t="s">
        <v>557</v>
      </c>
      <c r="D14" s="1191">
        <v>393180</v>
      </c>
      <c r="E14" s="1191">
        <v>393180</v>
      </c>
      <c r="F14" s="1191">
        <v>343291</v>
      </c>
      <c r="G14" s="1192">
        <f>SUM(G16:G17)</f>
        <v>160000</v>
      </c>
      <c r="H14" s="1193">
        <f>F14/E14</f>
        <v>0.8731140953252963</v>
      </c>
      <c r="I14" s="1191">
        <v>393180</v>
      </c>
      <c r="J14" s="1191">
        <v>393180</v>
      </c>
      <c r="K14" s="1191">
        <v>347416</v>
      </c>
      <c r="L14" s="1191">
        <v>158784</v>
      </c>
      <c r="M14" s="1193">
        <f>K14/J14</f>
        <v>0.8836054733201079</v>
      </c>
    </row>
    <row r="15" spans="1:13" s="1199" customFormat="1" ht="11.25" customHeight="1">
      <c r="A15" s="1195"/>
      <c r="B15" s="1196"/>
      <c r="C15" s="619" t="s">
        <v>1005</v>
      </c>
      <c r="D15" s="1197"/>
      <c r="E15" s="1192"/>
      <c r="F15" s="1192"/>
      <c r="G15" s="1192"/>
      <c r="H15" s="1198"/>
      <c r="I15" s="1192"/>
      <c r="J15" s="1192"/>
      <c r="K15" s="1192"/>
      <c r="L15" s="1192"/>
      <c r="M15" s="1198"/>
    </row>
    <row r="16" spans="1:13" s="1199" customFormat="1" ht="13.5" customHeight="1">
      <c r="A16" s="1195"/>
      <c r="B16" s="1196"/>
      <c r="C16" s="619" t="s">
        <v>558</v>
      </c>
      <c r="D16" s="1197">
        <v>148000</v>
      </c>
      <c r="E16" s="1192">
        <v>148000</v>
      </c>
      <c r="F16" s="1192">
        <v>148000</v>
      </c>
      <c r="G16" s="1192">
        <v>148000</v>
      </c>
      <c r="H16" s="1198">
        <f>F16/E16</f>
        <v>1</v>
      </c>
      <c r="I16" s="1192"/>
      <c r="J16" s="1192"/>
      <c r="K16" s="1192"/>
      <c r="L16" s="1192"/>
      <c r="M16" s="1198"/>
    </row>
    <row r="17" spans="1:13" s="1199" customFormat="1" ht="13.5" customHeight="1">
      <c r="A17" s="1200"/>
      <c r="B17" s="1201"/>
      <c r="C17" s="1202" t="s">
        <v>559</v>
      </c>
      <c r="D17" s="1203">
        <v>12000</v>
      </c>
      <c r="E17" s="1204">
        <v>12000</v>
      </c>
      <c r="F17" s="1204">
        <v>12000</v>
      </c>
      <c r="G17" s="1204">
        <v>12000</v>
      </c>
      <c r="H17" s="1205">
        <f>F17/E17</f>
        <v>1</v>
      </c>
      <c r="I17" s="1204"/>
      <c r="J17" s="1204"/>
      <c r="K17" s="1204"/>
      <c r="L17" s="1204"/>
      <c r="M17" s="1205"/>
    </row>
    <row r="18" spans="1:13" s="1199" customFormat="1" ht="18" customHeight="1">
      <c r="A18" s="1196">
        <v>700</v>
      </c>
      <c r="B18" s="1196">
        <v>70001</v>
      </c>
      <c r="C18" s="619" t="s">
        <v>560</v>
      </c>
      <c r="D18" s="1197">
        <v>70822000</v>
      </c>
      <c r="E18" s="1192">
        <v>70917000</v>
      </c>
      <c r="F18" s="1192">
        <v>68334352</v>
      </c>
      <c r="G18" s="1192">
        <f>SUM(G20:G21)</f>
        <v>4445000</v>
      </c>
      <c r="H18" s="1198">
        <f>F18/E18</f>
        <v>0.9635821030218424</v>
      </c>
      <c r="I18" s="1192">
        <v>70748000</v>
      </c>
      <c r="J18" s="1192">
        <v>70843000</v>
      </c>
      <c r="K18" s="1192">
        <v>68528005</v>
      </c>
      <c r="L18" s="1192">
        <v>3119992</v>
      </c>
      <c r="M18" s="1198">
        <f>K18/J18</f>
        <v>0.9673221772087574</v>
      </c>
    </row>
    <row r="19" spans="1:13" s="1199" customFormat="1" ht="11.25" customHeight="1">
      <c r="A19" s="1195"/>
      <c r="B19" s="1196"/>
      <c r="C19" s="619" t="s">
        <v>1005</v>
      </c>
      <c r="D19" s="1197"/>
      <c r="E19" s="1192"/>
      <c r="F19" s="1192"/>
      <c r="G19" s="1192"/>
      <c r="H19" s="1198"/>
      <c r="I19" s="1192"/>
      <c r="J19" s="1192"/>
      <c r="K19" s="1192"/>
      <c r="L19" s="1192"/>
      <c r="M19" s="1198"/>
    </row>
    <row r="20" spans="1:13" s="1199" customFormat="1" ht="13.5" customHeight="1">
      <c r="A20" s="1195"/>
      <c r="B20" s="1196"/>
      <c r="C20" s="619" t="s">
        <v>558</v>
      </c>
      <c r="D20" s="1197">
        <v>4000000</v>
      </c>
      <c r="E20" s="1192">
        <v>4000000</v>
      </c>
      <c r="F20" s="1192">
        <v>4000000</v>
      </c>
      <c r="G20" s="1192">
        <v>4000000</v>
      </c>
      <c r="H20" s="1198">
        <f>F20/E20</f>
        <v>1</v>
      </c>
      <c r="I20" s="1192"/>
      <c r="J20" s="1192"/>
      <c r="K20" s="1192"/>
      <c r="L20" s="1192"/>
      <c r="M20" s="1198"/>
    </row>
    <row r="21" spans="1:13" s="1199" customFormat="1" ht="13.5" customHeight="1">
      <c r="A21" s="1200"/>
      <c r="B21" s="1201"/>
      <c r="C21" s="1202" t="s">
        <v>559</v>
      </c>
      <c r="D21" s="1203">
        <v>350000</v>
      </c>
      <c r="E21" s="1204">
        <v>445000</v>
      </c>
      <c r="F21" s="1204">
        <v>445000</v>
      </c>
      <c r="G21" s="1204">
        <v>445000</v>
      </c>
      <c r="H21" s="1205">
        <f>F21/E21</f>
        <v>1</v>
      </c>
      <c r="I21" s="1204"/>
      <c r="J21" s="1204"/>
      <c r="K21" s="1204"/>
      <c r="L21" s="1204"/>
      <c r="M21" s="1205"/>
    </row>
    <row r="22" spans="1:13" s="1199" customFormat="1" ht="18" customHeight="1">
      <c r="A22" s="1196">
        <v>926</v>
      </c>
      <c r="B22" s="1196">
        <v>92604</v>
      </c>
      <c r="C22" s="619" t="s">
        <v>561</v>
      </c>
      <c r="D22" s="644">
        <v>10839200</v>
      </c>
      <c r="E22" s="1192">
        <v>12776798</v>
      </c>
      <c r="F22" s="1192">
        <v>12675950</v>
      </c>
      <c r="G22" s="1192">
        <f>SUM(G24:G25)</f>
        <v>7764247</v>
      </c>
      <c r="H22" s="1198">
        <f>F22/E22</f>
        <v>0.9921069426001726</v>
      </c>
      <c r="I22" s="1192">
        <v>10689200</v>
      </c>
      <c r="J22" s="1192">
        <v>12162431</v>
      </c>
      <c r="K22" s="1192">
        <v>12061584</v>
      </c>
      <c r="L22" s="1192">
        <v>2185579</v>
      </c>
      <c r="M22" s="1198">
        <f>K22/J22</f>
        <v>0.9917083188385611</v>
      </c>
    </row>
    <row r="23" spans="1:13" s="1199" customFormat="1" ht="10.5" customHeight="1">
      <c r="A23" s="1195"/>
      <c r="B23" s="1196"/>
      <c r="C23" s="619" t="s">
        <v>1005</v>
      </c>
      <c r="D23" s="1206"/>
      <c r="E23" s="1197"/>
      <c r="F23" s="1192"/>
      <c r="G23" s="1192"/>
      <c r="H23" s="1198"/>
      <c r="I23" s="1197"/>
      <c r="J23" s="1192"/>
      <c r="K23" s="1192"/>
      <c r="L23" s="1192"/>
      <c r="M23" s="1198"/>
    </row>
    <row r="24" spans="1:13" s="1199" customFormat="1" ht="13.5" customHeight="1">
      <c r="A24" s="1195"/>
      <c r="B24" s="1196"/>
      <c r="C24" s="619" t="s">
        <v>558</v>
      </c>
      <c r="D24" s="1206">
        <v>1250000</v>
      </c>
      <c r="E24" s="1197">
        <v>1530000</v>
      </c>
      <c r="F24" s="1192">
        <v>1530000</v>
      </c>
      <c r="G24" s="1192">
        <v>1530000</v>
      </c>
      <c r="H24" s="1198">
        <f aca="true" t="shared" si="0" ref="H24:H70">F24/E24</f>
        <v>1</v>
      </c>
      <c r="I24" s="1197"/>
      <c r="J24" s="1192"/>
      <c r="K24" s="1192"/>
      <c r="L24" s="1192"/>
      <c r="M24" s="1198"/>
    </row>
    <row r="25" spans="1:13" s="1199" customFormat="1" ht="13.5" customHeight="1">
      <c r="A25" s="1200"/>
      <c r="B25" s="1201"/>
      <c r="C25" s="1202" t="s">
        <v>559</v>
      </c>
      <c r="D25" s="1207">
        <v>5685000</v>
      </c>
      <c r="E25" s="1203">
        <v>6335000</v>
      </c>
      <c r="F25" s="1204">
        <v>6234247</v>
      </c>
      <c r="G25" s="1204">
        <v>6234247</v>
      </c>
      <c r="H25" s="1205">
        <f t="shared" si="0"/>
        <v>0.984095816890292</v>
      </c>
      <c r="I25" s="1203"/>
      <c r="J25" s="1204"/>
      <c r="K25" s="1204"/>
      <c r="L25" s="1204"/>
      <c r="M25" s="1205"/>
    </row>
    <row r="26" spans="1:13" ht="21.75" customHeight="1">
      <c r="A26" s="62"/>
      <c r="B26" s="1208"/>
      <c r="C26" s="1209" t="s">
        <v>562</v>
      </c>
      <c r="D26" s="1210">
        <f>D27+D35</f>
        <v>2659500</v>
      </c>
      <c r="E26" s="1210">
        <f>E27+E35</f>
        <v>2789444</v>
      </c>
      <c r="F26" s="1210">
        <f>F27+F35</f>
        <v>2417149</v>
      </c>
      <c r="G26" s="1210">
        <f>G27+G35</f>
        <v>140200</v>
      </c>
      <c r="H26" s="1189">
        <f t="shared" si="0"/>
        <v>0.8665343344408419</v>
      </c>
      <c r="I26" s="1210">
        <f>I27+I35</f>
        <v>2659500</v>
      </c>
      <c r="J26" s="1210">
        <f>J27+J35</f>
        <v>2789444</v>
      </c>
      <c r="K26" s="1210">
        <f>K27+K35</f>
        <v>2428366</v>
      </c>
      <c r="L26" s="1210">
        <f>L27+L35</f>
        <v>787071</v>
      </c>
      <c r="M26" s="1189">
        <f aca="true" t="shared" si="1" ref="M26:M66">K26/J26</f>
        <v>0.8705555659120598</v>
      </c>
    </row>
    <row r="27" spans="1:13" ht="19.5" customHeight="1">
      <c r="A27" s="1211">
        <v>801</v>
      </c>
      <c r="B27" s="1208"/>
      <c r="C27" s="1212" t="s">
        <v>347</v>
      </c>
      <c r="D27" s="1213">
        <f>SUM(D28:D34)</f>
        <v>2577100</v>
      </c>
      <c r="E27" s="1213">
        <f>SUM(E28:E34)</f>
        <v>2662882</v>
      </c>
      <c r="F27" s="1213">
        <f>SUM(F28:F34)</f>
        <v>2291578</v>
      </c>
      <c r="G27" s="1213">
        <f>SUM(G28:G34)</f>
        <v>107200</v>
      </c>
      <c r="H27" s="1214">
        <f t="shared" si="0"/>
        <v>0.8605631041856154</v>
      </c>
      <c r="I27" s="1213">
        <f>SUM(I28:I34)</f>
        <v>2577100</v>
      </c>
      <c r="J27" s="1213">
        <f>SUM(J28:J34)</f>
        <v>2662882</v>
      </c>
      <c r="K27" s="1213">
        <f>SUM(K28:K34)</f>
        <v>2302740</v>
      </c>
      <c r="L27" s="1213">
        <f>SUM(L28:L34)</f>
        <v>769402</v>
      </c>
      <c r="M27" s="1214">
        <f t="shared" si="1"/>
        <v>0.8647548032545189</v>
      </c>
    </row>
    <row r="28" spans="1:13" ht="25.5" customHeight="1">
      <c r="A28" s="1215"/>
      <c r="B28" s="1216" t="s">
        <v>563</v>
      </c>
      <c r="C28" s="510" t="s">
        <v>564</v>
      </c>
      <c r="D28" s="1217">
        <v>234600</v>
      </c>
      <c r="E28" s="1217">
        <v>234600</v>
      </c>
      <c r="F28" s="764">
        <v>129238</v>
      </c>
      <c r="G28" s="764">
        <v>16400</v>
      </c>
      <c r="H28" s="1218">
        <f t="shared" si="0"/>
        <v>0.5508866155157716</v>
      </c>
      <c r="I28" s="764">
        <v>234600</v>
      </c>
      <c r="J28" s="764">
        <v>234600</v>
      </c>
      <c r="K28" s="764">
        <v>137681</v>
      </c>
      <c r="L28" s="764">
        <v>54696</v>
      </c>
      <c r="M28" s="1218">
        <f t="shared" si="1"/>
        <v>0.5868755328218244</v>
      </c>
    </row>
    <row r="29" spans="1:13" ht="37.5" customHeight="1">
      <c r="A29" s="1215"/>
      <c r="B29" s="1219" t="s">
        <v>563</v>
      </c>
      <c r="C29" s="765" t="s">
        <v>565</v>
      </c>
      <c r="D29" s="610">
        <v>359100</v>
      </c>
      <c r="E29" s="610">
        <v>442782</v>
      </c>
      <c r="F29" s="610">
        <v>433093</v>
      </c>
      <c r="G29" s="610">
        <v>15400</v>
      </c>
      <c r="H29" s="1218">
        <f t="shared" si="0"/>
        <v>0.9781179000049686</v>
      </c>
      <c r="I29" s="610">
        <v>359100</v>
      </c>
      <c r="J29" s="610">
        <v>442782</v>
      </c>
      <c r="K29" s="610">
        <v>433125</v>
      </c>
      <c r="L29" s="610">
        <v>105757</v>
      </c>
      <c r="M29" s="1220">
        <f t="shared" si="1"/>
        <v>0.9781901703321273</v>
      </c>
    </row>
    <row r="30" spans="1:13" ht="25.5" customHeight="1">
      <c r="A30" s="1215"/>
      <c r="B30" s="1219" t="s">
        <v>563</v>
      </c>
      <c r="C30" s="765" t="s">
        <v>566</v>
      </c>
      <c r="D30" s="610">
        <v>260000</v>
      </c>
      <c r="E30" s="610">
        <v>260000</v>
      </c>
      <c r="F30" s="610">
        <v>244049</v>
      </c>
      <c r="G30" s="610">
        <v>23500</v>
      </c>
      <c r="H30" s="1220">
        <f t="shared" si="0"/>
        <v>0.93865</v>
      </c>
      <c r="I30" s="610">
        <v>260000</v>
      </c>
      <c r="J30" s="610">
        <v>260000</v>
      </c>
      <c r="K30" s="610">
        <v>245107</v>
      </c>
      <c r="L30" s="610">
        <v>84112</v>
      </c>
      <c r="M30" s="1220">
        <f t="shared" si="1"/>
        <v>0.9427192307692308</v>
      </c>
    </row>
    <row r="31" spans="1:13" ht="26.25" customHeight="1">
      <c r="A31" s="1215"/>
      <c r="B31" s="1219" t="s">
        <v>563</v>
      </c>
      <c r="C31" s="1221" t="s">
        <v>567</v>
      </c>
      <c r="D31" s="610">
        <v>197000</v>
      </c>
      <c r="E31" s="610">
        <v>197000</v>
      </c>
      <c r="F31" s="610">
        <v>121475</v>
      </c>
      <c r="G31" s="610">
        <v>34400</v>
      </c>
      <c r="H31" s="1220">
        <f t="shared" si="0"/>
        <v>0.6166243654822335</v>
      </c>
      <c r="I31" s="610">
        <v>197000</v>
      </c>
      <c r="J31" s="610">
        <v>197000</v>
      </c>
      <c r="K31" s="610">
        <v>124660</v>
      </c>
      <c r="L31" s="610">
        <v>31757</v>
      </c>
      <c r="M31" s="1220">
        <f t="shared" si="1"/>
        <v>0.6327918781725889</v>
      </c>
    </row>
    <row r="32" spans="1:13" ht="25.5" customHeight="1">
      <c r="A32" s="1215"/>
      <c r="B32" s="1219" t="s">
        <v>563</v>
      </c>
      <c r="C32" s="1221" t="s">
        <v>568</v>
      </c>
      <c r="D32" s="610">
        <v>95100</v>
      </c>
      <c r="E32" s="610">
        <v>95100</v>
      </c>
      <c r="F32" s="610">
        <v>73633</v>
      </c>
      <c r="G32" s="610">
        <v>12400</v>
      </c>
      <c r="H32" s="1220">
        <f t="shared" si="0"/>
        <v>0.7742691903259726</v>
      </c>
      <c r="I32" s="610">
        <v>95100</v>
      </c>
      <c r="J32" s="610">
        <v>95100</v>
      </c>
      <c r="K32" s="610">
        <v>76452</v>
      </c>
      <c r="L32" s="610">
        <v>37099</v>
      </c>
      <c r="M32" s="1220">
        <f t="shared" si="1"/>
        <v>0.8039116719242902</v>
      </c>
    </row>
    <row r="33" spans="1:13" ht="25.5" customHeight="1">
      <c r="A33" s="1215"/>
      <c r="B33" s="1216" t="s">
        <v>563</v>
      </c>
      <c r="C33" s="1222" t="s">
        <v>569</v>
      </c>
      <c r="D33" s="764">
        <v>1396300</v>
      </c>
      <c r="E33" s="764">
        <v>1396300</v>
      </c>
      <c r="F33" s="764">
        <v>1253002</v>
      </c>
      <c r="G33" s="764">
        <v>2400</v>
      </c>
      <c r="H33" s="1120">
        <f t="shared" si="0"/>
        <v>0.8973730573658956</v>
      </c>
      <c r="I33" s="764">
        <v>1396300</v>
      </c>
      <c r="J33" s="764">
        <v>1396300</v>
      </c>
      <c r="K33" s="764">
        <v>1250218</v>
      </c>
      <c r="L33" s="764">
        <v>449855</v>
      </c>
      <c r="M33" s="1120">
        <f t="shared" si="1"/>
        <v>0.895379216500752</v>
      </c>
    </row>
    <row r="34" spans="1:13" ht="25.5" customHeight="1">
      <c r="A34" s="62"/>
      <c r="B34" s="1223" t="s">
        <v>563</v>
      </c>
      <c r="C34" s="179" t="s">
        <v>570</v>
      </c>
      <c r="D34" s="742">
        <v>35000</v>
      </c>
      <c r="E34" s="742">
        <v>37100</v>
      </c>
      <c r="F34" s="742">
        <v>37088</v>
      </c>
      <c r="G34" s="742">
        <v>2700</v>
      </c>
      <c r="H34" s="1224">
        <f t="shared" si="0"/>
        <v>0.9996765498652291</v>
      </c>
      <c r="I34" s="742">
        <v>35000</v>
      </c>
      <c r="J34" s="742">
        <v>37100</v>
      </c>
      <c r="K34" s="742">
        <v>35497</v>
      </c>
      <c r="L34" s="742">
        <v>6126</v>
      </c>
      <c r="M34" s="1224">
        <f t="shared" si="1"/>
        <v>0.9567924528301887</v>
      </c>
    </row>
    <row r="35" spans="1:13" ht="18.75" customHeight="1">
      <c r="A35" s="1211">
        <v>854</v>
      </c>
      <c r="B35" s="1225"/>
      <c r="C35" s="1226" t="s">
        <v>396</v>
      </c>
      <c r="D35" s="1227">
        <f>D36</f>
        <v>82400</v>
      </c>
      <c r="E35" s="1227">
        <f>E36</f>
        <v>126562</v>
      </c>
      <c r="F35" s="1227">
        <f>F36</f>
        <v>125571</v>
      </c>
      <c r="G35" s="1227">
        <f>G36</f>
        <v>33000</v>
      </c>
      <c r="H35" s="1228">
        <f t="shared" si="0"/>
        <v>0.9921698456092666</v>
      </c>
      <c r="I35" s="1227">
        <f>I36</f>
        <v>82400</v>
      </c>
      <c r="J35" s="1227">
        <f>J36</f>
        <v>126562</v>
      </c>
      <c r="K35" s="1227">
        <f>K36</f>
        <v>125626</v>
      </c>
      <c r="L35" s="1227">
        <f>L36</f>
        <v>17669</v>
      </c>
      <c r="M35" s="1100">
        <f t="shared" si="1"/>
        <v>0.9926044152273195</v>
      </c>
    </row>
    <row r="36" spans="1:13" ht="25.5" customHeight="1">
      <c r="A36" s="1215"/>
      <c r="B36" s="1229" t="s">
        <v>571</v>
      </c>
      <c r="C36" s="1230" t="s">
        <v>572</v>
      </c>
      <c r="D36" s="742">
        <v>82400</v>
      </c>
      <c r="E36" s="742">
        <v>126562</v>
      </c>
      <c r="F36" s="742">
        <v>125571</v>
      </c>
      <c r="G36" s="742">
        <v>33000</v>
      </c>
      <c r="H36" s="1116">
        <f t="shared" si="0"/>
        <v>0.9921698456092666</v>
      </c>
      <c r="I36" s="742">
        <v>82400</v>
      </c>
      <c r="J36" s="742">
        <v>126562</v>
      </c>
      <c r="K36" s="742">
        <v>125626</v>
      </c>
      <c r="L36" s="742">
        <v>17669</v>
      </c>
      <c r="M36" s="1116">
        <f t="shared" si="1"/>
        <v>0.9926044152273195</v>
      </c>
    </row>
    <row r="37" spans="1:13" ht="18.75" customHeight="1">
      <c r="A37" s="62"/>
      <c r="B37" s="1208"/>
      <c r="C37" s="1231" t="s">
        <v>573</v>
      </c>
      <c r="D37" s="1232">
        <f>D38+D40+D58+D50+D56</f>
        <v>14798900</v>
      </c>
      <c r="E37" s="1232">
        <f>E38+E40+E58+E50+E56</f>
        <v>17695843</v>
      </c>
      <c r="F37" s="1232">
        <f>F38+F40+F58+F50+F56</f>
        <v>16984476</v>
      </c>
      <c r="G37" s="1232"/>
      <c r="H37" s="1233">
        <f t="shared" si="0"/>
        <v>0.9598003327674188</v>
      </c>
      <c r="I37" s="1232">
        <f>I38+I40+I58+I50+I56</f>
        <v>15039800</v>
      </c>
      <c r="J37" s="1232">
        <f>J38+J40+J58+J50+J56</f>
        <v>18411562</v>
      </c>
      <c r="K37" s="1232">
        <f>K38+K40+K58+K50+K56</f>
        <v>16750441</v>
      </c>
      <c r="L37" s="1232"/>
      <c r="M37" s="1233">
        <f t="shared" si="1"/>
        <v>0.9097783773044351</v>
      </c>
    </row>
    <row r="38" spans="1:13" s="1194" customFormat="1" ht="18.75" customHeight="1">
      <c r="A38" s="1234">
        <v>750</v>
      </c>
      <c r="B38" s="1235"/>
      <c r="C38" s="1236" t="s">
        <v>391</v>
      </c>
      <c r="D38" s="1237">
        <f>D39</f>
        <v>3850000</v>
      </c>
      <c r="E38" s="1237">
        <f>E39</f>
        <v>4216336</v>
      </c>
      <c r="F38" s="1237">
        <f>F39</f>
        <v>3937947</v>
      </c>
      <c r="G38" s="1237"/>
      <c r="H38" s="1205">
        <f t="shared" si="0"/>
        <v>0.9339737155672603</v>
      </c>
      <c r="I38" s="1237">
        <f>I39</f>
        <v>4090800</v>
      </c>
      <c r="J38" s="1237">
        <f>J39</f>
        <v>4438753</v>
      </c>
      <c r="K38" s="1237">
        <f>K39</f>
        <v>3803404</v>
      </c>
      <c r="L38" s="1237"/>
      <c r="M38" s="1238">
        <f t="shared" si="1"/>
        <v>0.8568631775636085</v>
      </c>
    </row>
    <row r="39" spans="1:13" s="1194" customFormat="1" ht="19.5" customHeight="1">
      <c r="A39" s="1239"/>
      <c r="B39" s="1240">
        <v>75023</v>
      </c>
      <c r="C39" s="1241" t="s">
        <v>449</v>
      </c>
      <c r="D39" s="1242">
        <v>3850000</v>
      </c>
      <c r="E39" s="1242">
        <v>4216336</v>
      </c>
      <c r="F39" s="1242">
        <v>3937947</v>
      </c>
      <c r="G39" s="1242"/>
      <c r="H39" s="1205">
        <f t="shared" si="0"/>
        <v>0.9339737155672603</v>
      </c>
      <c r="I39" s="1242">
        <v>4090800</v>
      </c>
      <c r="J39" s="1242">
        <v>4438753</v>
      </c>
      <c r="K39" s="1242">
        <v>3803404</v>
      </c>
      <c r="L39" s="1242"/>
      <c r="M39" s="1243">
        <f t="shared" si="1"/>
        <v>0.8568631775636085</v>
      </c>
    </row>
    <row r="40" spans="1:13" ht="19.5" customHeight="1">
      <c r="A40" s="1211">
        <v>801</v>
      </c>
      <c r="B40" s="1208"/>
      <c r="C40" s="1244" t="s">
        <v>347</v>
      </c>
      <c r="D40" s="751">
        <f>SUM(D41:D49)</f>
        <v>5901200</v>
      </c>
      <c r="E40" s="751">
        <f>SUM(E41:E49)</f>
        <v>7609178</v>
      </c>
      <c r="F40" s="751">
        <f>SUM(F41:F49)</f>
        <v>7438802</v>
      </c>
      <c r="G40" s="751"/>
      <c r="H40" s="752">
        <f t="shared" si="0"/>
        <v>0.9776091451665344</v>
      </c>
      <c r="I40" s="751">
        <f>SUM(I41:I49)</f>
        <v>5901200</v>
      </c>
      <c r="J40" s="751">
        <f>SUM(J41:J49)</f>
        <v>7947358</v>
      </c>
      <c r="K40" s="751">
        <f>SUM(K41:K49)</f>
        <v>7358517</v>
      </c>
      <c r="L40" s="751"/>
      <c r="M40" s="752">
        <f t="shared" si="1"/>
        <v>0.9259073266864284</v>
      </c>
    </row>
    <row r="41" spans="1:13" s="1199" customFormat="1" ht="18.75" customHeight="1">
      <c r="A41" s="1195"/>
      <c r="B41" s="1245">
        <v>80101</v>
      </c>
      <c r="C41" s="1246" t="s">
        <v>348</v>
      </c>
      <c r="D41" s="1247">
        <v>667400</v>
      </c>
      <c r="E41" s="1247">
        <v>964776</v>
      </c>
      <c r="F41" s="1247">
        <v>1068554</v>
      </c>
      <c r="G41" s="1247"/>
      <c r="H41" s="1248">
        <f t="shared" si="0"/>
        <v>1.1075669378176902</v>
      </c>
      <c r="I41" s="1247">
        <v>667400</v>
      </c>
      <c r="J41" s="1247">
        <v>1096181</v>
      </c>
      <c r="K41" s="1247">
        <v>1064156</v>
      </c>
      <c r="L41" s="1247"/>
      <c r="M41" s="1248">
        <f t="shared" si="1"/>
        <v>0.9707849342398747</v>
      </c>
    </row>
    <row r="42" spans="1:13" s="1199" customFormat="1" ht="18.75" customHeight="1">
      <c r="A42" s="1195"/>
      <c r="B42" s="1249">
        <v>80102</v>
      </c>
      <c r="C42" s="1250" t="s">
        <v>400</v>
      </c>
      <c r="D42" s="1251">
        <v>7800</v>
      </c>
      <c r="E42" s="1251">
        <v>7800</v>
      </c>
      <c r="F42" s="1251">
        <v>7800</v>
      </c>
      <c r="G42" s="1251"/>
      <c r="H42" s="1252">
        <f t="shared" si="0"/>
        <v>1</v>
      </c>
      <c r="I42" s="1251">
        <v>7800</v>
      </c>
      <c r="J42" s="1251">
        <v>7800</v>
      </c>
      <c r="K42" s="1251">
        <v>1097</v>
      </c>
      <c r="L42" s="1251"/>
      <c r="M42" s="1253">
        <f t="shared" si="1"/>
        <v>0.14064102564102565</v>
      </c>
    </row>
    <row r="43" spans="1:13" s="1199" customFormat="1" ht="18.75" customHeight="1">
      <c r="A43" s="1195"/>
      <c r="B43" s="1249">
        <v>80104</v>
      </c>
      <c r="C43" s="1250" t="s">
        <v>311</v>
      </c>
      <c r="D43" s="1251">
        <v>3402000</v>
      </c>
      <c r="E43" s="1251">
        <v>3832426</v>
      </c>
      <c r="F43" s="1251">
        <v>3757110</v>
      </c>
      <c r="G43" s="1251"/>
      <c r="H43" s="1252">
        <f t="shared" si="0"/>
        <v>0.980347696211225</v>
      </c>
      <c r="I43" s="1251">
        <v>3402000</v>
      </c>
      <c r="J43" s="1251">
        <v>3838379</v>
      </c>
      <c r="K43" s="1251">
        <v>3683205</v>
      </c>
      <c r="L43" s="1251"/>
      <c r="M43" s="1253">
        <f t="shared" si="1"/>
        <v>0.9595730385144354</v>
      </c>
    </row>
    <row r="44" spans="1:13" s="1199" customFormat="1" ht="18.75" customHeight="1">
      <c r="A44" s="1195"/>
      <c r="B44" s="1249">
        <v>80105</v>
      </c>
      <c r="C44" s="1250" t="s">
        <v>398</v>
      </c>
      <c r="D44" s="1251"/>
      <c r="E44" s="1251">
        <v>9600</v>
      </c>
      <c r="F44" s="1251">
        <v>9600</v>
      </c>
      <c r="G44" s="1251"/>
      <c r="H44" s="1252">
        <f t="shared" si="0"/>
        <v>1</v>
      </c>
      <c r="I44" s="1251"/>
      <c r="J44" s="1251">
        <v>9600</v>
      </c>
      <c r="K44" s="1251">
        <v>9600</v>
      </c>
      <c r="L44" s="1251"/>
      <c r="M44" s="1253">
        <f t="shared" si="1"/>
        <v>1</v>
      </c>
    </row>
    <row r="45" spans="1:13" s="1199" customFormat="1" ht="18.75" customHeight="1">
      <c r="A45" s="1195"/>
      <c r="B45" s="1249">
        <v>80110</v>
      </c>
      <c r="C45" s="1250" t="s">
        <v>349</v>
      </c>
      <c r="D45" s="1251">
        <v>394600</v>
      </c>
      <c r="E45" s="1251">
        <v>718864</v>
      </c>
      <c r="F45" s="1251">
        <v>657235</v>
      </c>
      <c r="G45" s="1251"/>
      <c r="H45" s="1252">
        <f t="shared" si="0"/>
        <v>0.9142689020454495</v>
      </c>
      <c r="I45" s="1251">
        <v>394600</v>
      </c>
      <c r="J45" s="1251">
        <v>781050</v>
      </c>
      <c r="K45" s="1251">
        <v>687882</v>
      </c>
      <c r="L45" s="1251"/>
      <c r="M45" s="1253">
        <f t="shared" si="1"/>
        <v>0.8807144228922604</v>
      </c>
    </row>
    <row r="46" spans="1:13" s="1199" customFormat="1" ht="18.75" customHeight="1">
      <c r="A46" s="1195"/>
      <c r="B46" s="1254">
        <v>80120</v>
      </c>
      <c r="C46" s="1255" t="s">
        <v>359</v>
      </c>
      <c r="D46" s="1256">
        <v>192500</v>
      </c>
      <c r="E46" s="1256">
        <v>344870</v>
      </c>
      <c r="F46" s="1256">
        <v>332875</v>
      </c>
      <c r="G46" s="1256"/>
      <c r="H46" s="1252">
        <f t="shared" si="0"/>
        <v>0.9652187780902949</v>
      </c>
      <c r="I46" s="1256">
        <v>192500</v>
      </c>
      <c r="J46" s="1256">
        <v>355545</v>
      </c>
      <c r="K46" s="1256">
        <v>305799</v>
      </c>
      <c r="L46" s="1256"/>
      <c r="M46" s="1253">
        <f t="shared" si="1"/>
        <v>0.8600852212800068</v>
      </c>
    </row>
    <row r="47" spans="1:13" s="1199" customFormat="1" ht="18.75" customHeight="1">
      <c r="A47" s="1195"/>
      <c r="B47" s="1254">
        <v>80130</v>
      </c>
      <c r="C47" s="1255" t="s">
        <v>360</v>
      </c>
      <c r="D47" s="1256">
        <v>671200</v>
      </c>
      <c r="E47" s="1256">
        <v>1022242</v>
      </c>
      <c r="F47" s="1256">
        <v>908200</v>
      </c>
      <c r="G47" s="1256"/>
      <c r="H47" s="1252">
        <f t="shared" si="0"/>
        <v>0.888439332369439</v>
      </c>
      <c r="I47" s="1256">
        <v>671200</v>
      </c>
      <c r="J47" s="1256">
        <v>1095295</v>
      </c>
      <c r="K47" s="1256">
        <v>878554</v>
      </c>
      <c r="L47" s="1256"/>
      <c r="M47" s="1252">
        <f t="shared" si="1"/>
        <v>0.8021163248257319</v>
      </c>
    </row>
    <row r="48" spans="1:13" s="1199" customFormat="1" ht="18.75" customHeight="1">
      <c r="A48" s="1195"/>
      <c r="B48" s="1254">
        <v>80132</v>
      </c>
      <c r="C48" s="1255" t="s">
        <v>363</v>
      </c>
      <c r="D48" s="1256">
        <v>18400</v>
      </c>
      <c r="E48" s="1256">
        <v>23500</v>
      </c>
      <c r="F48" s="1256">
        <v>21547</v>
      </c>
      <c r="G48" s="1256"/>
      <c r="H48" s="1252">
        <f t="shared" si="0"/>
        <v>0.9168936170212766</v>
      </c>
      <c r="I48" s="1256">
        <v>18400</v>
      </c>
      <c r="J48" s="1256">
        <v>24550</v>
      </c>
      <c r="K48" s="1256">
        <v>21932</v>
      </c>
      <c r="L48" s="1256"/>
      <c r="M48" s="1252">
        <f t="shared" si="1"/>
        <v>0.8933604887983707</v>
      </c>
    </row>
    <row r="49" spans="1:13" s="1199" customFormat="1" ht="38.25" customHeight="1">
      <c r="A49" s="1200"/>
      <c r="B49" s="1201">
        <v>80140</v>
      </c>
      <c r="C49" s="1257" t="s">
        <v>574</v>
      </c>
      <c r="D49" s="1204">
        <v>547300</v>
      </c>
      <c r="E49" s="1204">
        <v>685100</v>
      </c>
      <c r="F49" s="1204">
        <v>675881</v>
      </c>
      <c r="G49" s="1204"/>
      <c r="H49" s="1205">
        <f t="shared" si="0"/>
        <v>0.9865435702817107</v>
      </c>
      <c r="I49" s="1204">
        <v>547300</v>
      </c>
      <c r="J49" s="1204">
        <v>738958</v>
      </c>
      <c r="K49" s="1204">
        <v>706292</v>
      </c>
      <c r="L49" s="1204"/>
      <c r="M49" s="1205">
        <f t="shared" si="1"/>
        <v>0.9557945106487784</v>
      </c>
    </row>
    <row r="50" spans="1:13" s="1194" customFormat="1" ht="19.5" customHeight="1">
      <c r="A50" s="1258">
        <v>852</v>
      </c>
      <c r="B50" s="1259"/>
      <c r="C50" s="1260" t="s">
        <v>463</v>
      </c>
      <c r="D50" s="1261">
        <f>SUM(D51:D55)</f>
        <v>213700</v>
      </c>
      <c r="E50" s="1261">
        <f>SUM(E51:E55)</f>
        <v>434621</v>
      </c>
      <c r="F50" s="1261">
        <f>SUM(F51:F55)</f>
        <v>444827</v>
      </c>
      <c r="G50" s="1261"/>
      <c r="H50" s="1238">
        <f t="shared" si="0"/>
        <v>1.023482528455827</v>
      </c>
      <c r="I50" s="1261">
        <f>SUM(I51:I55)</f>
        <v>213700</v>
      </c>
      <c r="J50" s="1261">
        <f>SUM(J51:J55)</f>
        <v>560089</v>
      </c>
      <c r="K50" s="1261">
        <f>SUM(K51:K55)</f>
        <v>425384</v>
      </c>
      <c r="L50" s="1237"/>
      <c r="M50" s="1238">
        <f t="shared" si="1"/>
        <v>0.7594935804845301</v>
      </c>
    </row>
    <row r="51" spans="1:13" s="1194" customFormat="1" ht="18.75" customHeight="1">
      <c r="A51" s="1262"/>
      <c r="B51" s="1263">
        <v>85201</v>
      </c>
      <c r="C51" s="1264" t="s">
        <v>392</v>
      </c>
      <c r="D51" s="1265"/>
      <c r="E51" s="1265">
        <v>116001</v>
      </c>
      <c r="F51" s="1265">
        <v>117197</v>
      </c>
      <c r="G51" s="1265"/>
      <c r="H51" s="1266">
        <f t="shared" si="0"/>
        <v>1.0103102559460695</v>
      </c>
      <c r="I51" s="1265"/>
      <c r="J51" s="1265">
        <v>236129</v>
      </c>
      <c r="K51" s="1265">
        <v>128851</v>
      </c>
      <c r="L51" s="1267"/>
      <c r="M51" s="1266">
        <f t="shared" si="1"/>
        <v>0.545680539027396</v>
      </c>
    </row>
    <row r="52" spans="1:13" s="1194" customFormat="1" ht="18.75" customHeight="1">
      <c r="A52" s="1262"/>
      <c r="B52" s="1268">
        <v>85202</v>
      </c>
      <c r="C52" s="645" t="s">
        <v>352</v>
      </c>
      <c r="D52" s="1269">
        <v>47700</v>
      </c>
      <c r="E52" s="1269">
        <v>107305</v>
      </c>
      <c r="F52" s="1269">
        <v>115811</v>
      </c>
      <c r="G52" s="1269"/>
      <c r="H52" s="1266">
        <f t="shared" si="0"/>
        <v>1.0792693723498439</v>
      </c>
      <c r="I52" s="1269">
        <v>47700</v>
      </c>
      <c r="J52" s="1269">
        <v>106794</v>
      </c>
      <c r="K52" s="1269">
        <v>90059</v>
      </c>
      <c r="L52" s="1269"/>
      <c r="M52" s="1266">
        <f t="shared" si="1"/>
        <v>0.8432964398748993</v>
      </c>
    </row>
    <row r="53" spans="1:13" s="1194" customFormat="1" ht="18.75" customHeight="1">
      <c r="A53" s="1262"/>
      <c r="B53" s="1270">
        <v>85203</v>
      </c>
      <c r="C53" s="1271" t="s">
        <v>433</v>
      </c>
      <c r="D53" s="1267">
        <v>166000</v>
      </c>
      <c r="E53" s="1267">
        <v>208200</v>
      </c>
      <c r="F53" s="1267">
        <v>208706</v>
      </c>
      <c r="G53" s="1267"/>
      <c r="H53" s="1272">
        <f t="shared" si="0"/>
        <v>1.0024303554274736</v>
      </c>
      <c r="I53" s="1267">
        <v>166000</v>
      </c>
      <c r="J53" s="1267">
        <v>210233</v>
      </c>
      <c r="K53" s="1267">
        <v>203453</v>
      </c>
      <c r="L53" s="1267"/>
      <c r="M53" s="1272">
        <f t="shared" si="1"/>
        <v>0.9677500677819372</v>
      </c>
    </row>
    <row r="54" spans="1:13" s="1194" customFormat="1" ht="18.75" customHeight="1">
      <c r="A54" s="1262"/>
      <c r="B54" s="1270">
        <v>85219</v>
      </c>
      <c r="C54" s="1271" t="s">
        <v>416</v>
      </c>
      <c r="D54" s="1267"/>
      <c r="E54" s="1267">
        <v>2785</v>
      </c>
      <c r="F54" s="1267">
        <v>2785</v>
      </c>
      <c r="G54" s="1267"/>
      <c r="H54" s="1273">
        <f t="shared" si="0"/>
        <v>1</v>
      </c>
      <c r="I54" s="1267"/>
      <c r="J54" s="1267">
        <v>2785</v>
      </c>
      <c r="K54" s="1267">
        <v>2785</v>
      </c>
      <c r="L54" s="1132"/>
      <c r="M54" s="1273">
        <f t="shared" si="1"/>
        <v>1</v>
      </c>
    </row>
    <row r="55" spans="1:13" s="1194" customFormat="1" ht="18.75" customHeight="1">
      <c r="A55" s="1262"/>
      <c r="B55" s="1270">
        <v>85226</v>
      </c>
      <c r="C55" s="1271" t="s">
        <v>399</v>
      </c>
      <c r="D55" s="1267"/>
      <c r="E55" s="1267">
        <v>330</v>
      </c>
      <c r="F55" s="1267">
        <v>328</v>
      </c>
      <c r="G55" s="1267"/>
      <c r="H55" s="1274">
        <f t="shared" si="0"/>
        <v>0.9939393939393939</v>
      </c>
      <c r="I55" s="1267"/>
      <c r="J55" s="1267">
        <v>4148</v>
      </c>
      <c r="K55" s="1267">
        <v>236</v>
      </c>
      <c r="L55" s="1275"/>
      <c r="M55" s="1274">
        <f t="shared" si="1"/>
        <v>0.05689488910318226</v>
      </c>
    </row>
    <row r="56" spans="1:13" s="1194" customFormat="1" ht="26.25" customHeight="1">
      <c r="A56" s="1258">
        <v>853</v>
      </c>
      <c r="B56" s="1259"/>
      <c r="C56" s="1260" t="s">
        <v>464</v>
      </c>
      <c r="D56" s="1261">
        <f>D57</f>
        <v>285000</v>
      </c>
      <c r="E56" s="1261">
        <f>E57</f>
        <v>285000</v>
      </c>
      <c r="F56" s="1261">
        <f>F57</f>
        <v>283874</v>
      </c>
      <c r="G56" s="1261"/>
      <c r="H56" s="1238">
        <f t="shared" si="0"/>
        <v>0.9960491228070175</v>
      </c>
      <c r="I56" s="1261">
        <f>I57</f>
        <v>285000</v>
      </c>
      <c r="J56" s="1261">
        <f>J57</f>
        <v>285000</v>
      </c>
      <c r="K56" s="1261">
        <f>K57</f>
        <v>285234</v>
      </c>
      <c r="L56" s="1237"/>
      <c r="M56" s="1238">
        <f t="shared" si="1"/>
        <v>1.000821052631579</v>
      </c>
    </row>
    <row r="57" spans="1:13" s="1194" customFormat="1" ht="19.5" customHeight="1">
      <c r="A57" s="1262"/>
      <c r="B57" s="1268">
        <v>85305</v>
      </c>
      <c r="C57" s="645" t="s">
        <v>351</v>
      </c>
      <c r="D57" s="1269">
        <v>285000</v>
      </c>
      <c r="E57" s="1269">
        <v>285000</v>
      </c>
      <c r="F57" s="1269">
        <v>283874</v>
      </c>
      <c r="G57" s="1269"/>
      <c r="H57" s="1266">
        <f t="shared" si="0"/>
        <v>0.9960491228070175</v>
      </c>
      <c r="I57" s="1269">
        <v>285000</v>
      </c>
      <c r="J57" s="1269">
        <v>285000</v>
      </c>
      <c r="K57" s="1269">
        <v>285234</v>
      </c>
      <c r="L57" s="1269"/>
      <c r="M57" s="1266">
        <f t="shared" si="1"/>
        <v>1.000821052631579</v>
      </c>
    </row>
    <row r="58" spans="1:13" s="1194" customFormat="1" ht="19.5" customHeight="1">
      <c r="A58" s="1258">
        <v>854</v>
      </c>
      <c r="B58" s="1259"/>
      <c r="C58" s="1260" t="s">
        <v>396</v>
      </c>
      <c r="D58" s="1261">
        <f>SUM(D59:D64)</f>
        <v>4549000</v>
      </c>
      <c r="E58" s="1261">
        <f>SUM(E59:E64)</f>
        <v>5150708</v>
      </c>
      <c r="F58" s="1261">
        <f>SUM(F59:F64)</f>
        <v>4879026</v>
      </c>
      <c r="G58" s="1261"/>
      <c r="H58" s="1276">
        <f t="shared" si="0"/>
        <v>0.9472534649605452</v>
      </c>
      <c r="I58" s="1261">
        <f>SUM(I59:I64)</f>
        <v>4549100</v>
      </c>
      <c r="J58" s="1261">
        <f>SUM(J59:J64)</f>
        <v>5180362</v>
      </c>
      <c r="K58" s="1261">
        <f>SUM(K59:K64)</f>
        <v>4877902</v>
      </c>
      <c r="L58" s="1261"/>
      <c r="M58" s="1276">
        <f t="shared" si="1"/>
        <v>0.9416141188588751</v>
      </c>
    </row>
    <row r="59" spans="1:13" s="1194" customFormat="1" ht="18.75" customHeight="1">
      <c r="A59" s="1262"/>
      <c r="B59" s="1270">
        <v>85403</v>
      </c>
      <c r="C59" s="1250" t="s">
        <v>404</v>
      </c>
      <c r="D59" s="1267">
        <v>93200</v>
      </c>
      <c r="E59" s="1267">
        <v>366031</v>
      </c>
      <c r="F59" s="1267">
        <v>364624</v>
      </c>
      <c r="G59" s="1267"/>
      <c r="H59" s="1272">
        <f t="shared" si="0"/>
        <v>0.9961560632842573</v>
      </c>
      <c r="I59" s="1267">
        <v>93200</v>
      </c>
      <c r="J59" s="1267">
        <v>388018</v>
      </c>
      <c r="K59" s="1267">
        <v>380307</v>
      </c>
      <c r="L59" s="1267"/>
      <c r="M59" s="1272">
        <f t="shared" si="1"/>
        <v>0.980127210593323</v>
      </c>
    </row>
    <row r="60" spans="1:13" s="1194" customFormat="1" ht="27" customHeight="1">
      <c r="A60" s="1262"/>
      <c r="B60" s="1268">
        <v>85406</v>
      </c>
      <c r="C60" s="1255" t="s">
        <v>341</v>
      </c>
      <c r="D60" s="1269"/>
      <c r="E60" s="1269">
        <v>1430</v>
      </c>
      <c r="F60" s="1269">
        <v>1414</v>
      </c>
      <c r="G60" s="1269"/>
      <c r="H60" s="1266">
        <f t="shared" si="0"/>
        <v>0.9888111888111888</v>
      </c>
      <c r="I60" s="1269"/>
      <c r="J60" s="1269">
        <v>1431</v>
      </c>
      <c r="K60" s="1269">
        <v>1415</v>
      </c>
      <c r="L60" s="1269"/>
      <c r="M60" s="1266">
        <f t="shared" si="1"/>
        <v>0.9888190076869322</v>
      </c>
    </row>
    <row r="61" spans="1:13" s="1194" customFormat="1" ht="19.5" customHeight="1">
      <c r="A61" s="1262"/>
      <c r="B61" s="1268">
        <v>85407</v>
      </c>
      <c r="C61" s="645" t="s">
        <v>364</v>
      </c>
      <c r="D61" s="1269">
        <v>15900</v>
      </c>
      <c r="E61" s="1269">
        <v>23080</v>
      </c>
      <c r="F61" s="1269">
        <v>21639</v>
      </c>
      <c r="G61" s="1269"/>
      <c r="H61" s="1266">
        <f t="shared" si="0"/>
        <v>0.9375649913344888</v>
      </c>
      <c r="I61" s="1269">
        <v>15900</v>
      </c>
      <c r="J61" s="1269">
        <v>26940</v>
      </c>
      <c r="K61" s="1269">
        <v>24814</v>
      </c>
      <c r="L61" s="1269"/>
      <c r="M61" s="1266">
        <f t="shared" si="1"/>
        <v>0.9210838901262064</v>
      </c>
    </row>
    <row r="62" spans="1:13" s="1194" customFormat="1" ht="19.5" customHeight="1">
      <c r="A62" s="1262"/>
      <c r="B62" s="1277">
        <v>85410</v>
      </c>
      <c r="C62" s="1278" t="s">
        <v>405</v>
      </c>
      <c r="D62" s="1279">
        <v>64800</v>
      </c>
      <c r="E62" s="1279">
        <v>87779</v>
      </c>
      <c r="F62" s="1279">
        <v>84781</v>
      </c>
      <c r="G62" s="1279"/>
      <c r="H62" s="1266">
        <f t="shared" si="0"/>
        <v>0.9658460451816494</v>
      </c>
      <c r="I62" s="1279">
        <v>64800</v>
      </c>
      <c r="J62" s="1279">
        <v>87779</v>
      </c>
      <c r="K62" s="1279">
        <v>84257</v>
      </c>
      <c r="L62" s="1279"/>
      <c r="M62" s="1266">
        <f t="shared" si="1"/>
        <v>0.9598765080486221</v>
      </c>
    </row>
    <row r="63" spans="1:13" s="1194" customFormat="1" ht="19.5" customHeight="1">
      <c r="A63" s="1262"/>
      <c r="B63" s="1277">
        <v>85421</v>
      </c>
      <c r="C63" s="1278" t="s">
        <v>342</v>
      </c>
      <c r="D63" s="1279">
        <v>6500</v>
      </c>
      <c r="E63" s="1279">
        <v>6500</v>
      </c>
      <c r="F63" s="1279">
        <v>2792</v>
      </c>
      <c r="G63" s="1279"/>
      <c r="H63" s="1266">
        <f t="shared" si="0"/>
        <v>0.42953846153846154</v>
      </c>
      <c r="I63" s="1279">
        <v>6600</v>
      </c>
      <c r="J63" s="1279">
        <v>7185</v>
      </c>
      <c r="K63" s="1279">
        <v>3017</v>
      </c>
      <c r="L63" s="1279"/>
      <c r="M63" s="1266">
        <f t="shared" si="1"/>
        <v>0.4199025748086291</v>
      </c>
    </row>
    <row r="64" spans="1:13" s="1194" customFormat="1" ht="19.5" customHeight="1">
      <c r="A64" s="1280"/>
      <c r="B64" s="1281">
        <v>85495</v>
      </c>
      <c r="C64" s="1282" t="s">
        <v>966</v>
      </c>
      <c r="D64" s="1275">
        <v>4368600</v>
      </c>
      <c r="E64" s="1275">
        <v>4665888</v>
      </c>
      <c r="F64" s="1275">
        <v>4403776</v>
      </c>
      <c r="G64" s="1275"/>
      <c r="H64" s="1274">
        <f t="shared" si="0"/>
        <v>0.9438237694518171</v>
      </c>
      <c r="I64" s="1275">
        <v>4368600</v>
      </c>
      <c r="J64" s="1275">
        <v>4669009</v>
      </c>
      <c r="K64" s="1275">
        <v>4384092</v>
      </c>
      <c r="L64" s="1275"/>
      <c r="M64" s="1274">
        <f t="shared" si="1"/>
        <v>0.9389769863369293</v>
      </c>
    </row>
    <row r="65" spans="1:13" s="1194" customFormat="1" ht="16.5" customHeight="1" thickBot="1">
      <c r="A65" s="1262"/>
      <c r="B65" s="1283"/>
      <c r="C65" s="1284" t="s">
        <v>575</v>
      </c>
      <c r="D65" s="1285">
        <f>D66</f>
        <v>530000</v>
      </c>
      <c r="E65" s="1285">
        <f>E66</f>
        <v>550165</v>
      </c>
      <c r="F65" s="1285">
        <f>F66</f>
        <v>486245</v>
      </c>
      <c r="G65" s="1285"/>
      <c r="H65" s="1286">
        <f t="shared" si="0"/>
        <v>0.8838166731798642</v>
      </c>
      <c r="I65" s="1285">
        <f>I66</f>
        <v>530000</v>
      </c>
      <c r="J65" s="1285">
        <f>J66</f>
        <v>550165</v>
      </c>
      <c r="K65" s="1285">
        <f>K66</f>
        <v>503908</v>
      </c>
      <c r="L65" s="1285"/>
      <c r="M65" s="1286">
        <f t="shared" si="1"/>
        <v>0.9159215871602155</v>
      </c>
    </row>
    <row r="66" spans="1:13" s="1292" customFormat="1" ht="16.5" customHeight="1" thickTop="1">
      <c r="A66" s="1287"/>
      <c r="B66" s="1288"/>
      <c r="C66" s="1289" t="s">
        <v>573</v>
      </c>
      <c r="D66" s="1290">
        <f>D67+D69</f>
        <v>530000</v>
      </c>
      <c r="E66" s="1290">
        <f>E67+E69</f>
        <v>550165</v>
      </c>
      <c r="F66" s="1290">
        <f>F67+F69</f>
        <v>486245</v>
      </c>
      <c r="G66" s="1290"/>
      <c r="H66" s="1291">
        <f t="shared" si="0"/>
        <v>0.8838166731798642</v>
      </c>
      <c r="I66" s="1290">
        <f>I67+I69</f>
        <v>530000</v>
      </c>
      <c r="J66" s="1290">
        <f>J67+J69</f>
        <v>550165</v>
      </c>
      <c r="K66" s="1290">
        <f>K67+K69</f>
        <v>503908</v>
      </c>
      <c r="L66" s="1290"/>
      <c r="M66" s="1291">
        <f t="shared" si="1"/>
        <v>0.9159215871602155</v>
      </c>
    </row>
    <row r="67" spans="1:13" s="1194" customFormat="1" ht="24" customHeight="1">
      <c r="A67" s="1280"/>
      <c r="B67" s="1293"/>
      <c r="C67" s="1289" t="s">
        <v>533</v>
      </c>
      <c r="D67" s="1290"/>
      <c r="E67" s="1290">
        <f>E68</f>
        <v>80</v>
      </c>
      <c r="F67" s="1290">
        <f>F68</f>
        <v>318</v>
      </c>
      <c r="G67" s="1290"/>
      <c r="H67" s="1291">
        <f t="shared" si="0"/>
        <v>3.975</v>
      </c>
      <c r="I67" s="1290"/>
      <c r="J67" s="1290">
        <f>J68</f>
        <v>80</v>
      </c>
      <c r="K67" s="1290"/>
      <c r="L67" s="1290"/>
      <c r="M67" s="1291"/>
    </row>
    <row r="68" spans="1:13" s="1194" customFormat="1" ht="21" customHeight="1">
      <c r="A68" s="1294" t="s">
        <v>867</v>
      </c>
      <c r="B68" s="1294" t="s">
        <v>576</v>
      </c>
      <c r="C68" s="1202" t="s">
        <v>433</v>
      </c>
      <c r="D68" s="1242"/>
      <c r="E68" s="1242">
        <v>80</v>
      </c>
      <c r="F68" s="1242">
        <v>318</v>
      </c>
      <c r="G68" s="1242"/>
      <c r="H68" s="1243">
        <f t="shared" si="0"/>
        <v>3.975</v>
      </c>
      <c r="I68" s="1242"/>
      <c r="J68" s="1242">
        <v>80</v>
      </c>
      <c r="K68" s="1242"/>
      <c r="L68" s="1242"/>
      <c r="M68" s="1243"/>
    </row>
    <row r="69" spans="1:13" s="1194" customFormat="1" ht="28.5" customHeight="1">
      <c r="A69" s="1280"/>
      <c r="B69" s="1293"/>
      <c r="C69" s="1289" t="s">
        <v>534</v>
      </c>
      <c r="D69" s="1290">
        <f>D70</f>
        <v>530000</v>
      </c>
      <c r="E69" s="1290">
        <f>E70</f>
        <v>550085</v>
      </c>
      <c r="F69" s="1290">
        <f>F70</f>
        <v>485927</v>
      </c>
      <c r="G69" s="1290"/>
      <c r="H69" s="1291">
        <f t="shared" si="0"/>
        <v>0.883367115991165</v>
      </c>
      <c r="I69" s="1290">
        <f>I70</f>
        <v>530000</v>
      </c>
      <c r="J69" s="1290">
        <f>J70</f>
        <v>550085</v>
      </c>
      <c r="K69" s="1290">
        <f>K70</f>
        <v>503908</v>
      </c>
      <c r="L69" s="1290"/>
      <c r="M69" s="1291">
        <f>K69/J69</f>
        <v>0.9160547915322177</v>
      </c>
    </row>
    <row r="70" spans="1:13" s="1194" customFormat="1" ht="27" customHeight="1">
      <c r="A70" s="1294" t="s">
        <v>577</v>
      </c>
      <c r="B70" s="1294" t="s">
        <v>888</v>
      </c>
      <c r="C70" s="1202" t="s">
        <v>432</v>
      </c>
      <c r="D70" s="1242">
        <v>530000</v>
      </c>
      <c r="E70" s="1242">
        <v>550085</v>
      </c>
      <c r="F70" s="1242">
        <v>485927</v>
      </c>
      <c r="G70" s="1242"/>
      <c r="H70" s="1243">
        <f t="shared" si="0"/>
        <v>0.883367115991165</v>
      </c>
      <c r="I70" s="1242">
        <v>530000</v>
      </c>
      <c r="J70" s="1242">
        <v>550085</v>
      </c>
      <c r="K70" s="1242">
        <v>503908</v>
      </c>
      <c r="L70" s="1242"/>
      <c r="M70" s="1243">
        <f>K70/J70</f>
        <v>0.9160547915322177</v>
      </c>
    </row>
    <row r="73" ht="14.25">
      <c r="J73" s="375" t="s">
        <v>330</v>
      </c>
    </row>
    <row r="74" ht="14.25">
      <c r="J74" s="694" t="s">
        <v>331</v>
      </c>
    </row>
  </sheetData>
  <mergeCells count="2">
    <mergeCell ref="F8:G8"/>
    <mergeCell ref="K8:L8"/>
  </mergeCells>
  <printOptions horizontalCentered="1"/>
  <pageMargins left="0.5905511811023623" right="0.5905511811023623" top="0.5905511811023623" bottom="0.5905511811023623" header="0.5118110236220472" footer="0.5118110236220472"/>
  <pageSetup firstPageNumber="61" useFirstPageNumber="1" horizontalDpi="300" verticalDpi="300" orientation="landscape" paperSize="9" scale="8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1086" customWidth="1"/>
    <col min="2" max="2" width="10.00390625" style="1086" customWidth="1"/>
    <col min="3" max="3" width="45.875" style="709" customWidth="1"/>
    <col min="4" max="4" width="11.25390625" style="709" hidden="1" customWidth="1"/>
    <col min="5" max="5" width="17.875" style="709" hidden="1" customWidth="1"/>
    <col min="6" max="8" width="19.375" style="709" customWidth="1"/>
    <col min="9" max="9" width="10.375" style="709" customWidth="1"/>
    <col min="10" max="10" width="28.875" style="1086" customWidth="1"/>
    <col min="11" max="11" width="17.875" style="709" hidden="1" customWidth="1"/>
    <col min="12" max="12" width="10.25390625" style="709" hidden="1" customWidth="1"/>
    <col min="13" max="13" width="10.875" style="709" customWidth="1"/>
    <col min="14" max="16384" width="9.125" style="709" customWidth="1"/>
  </cols>
  <sheetData>
    <row r="1" spans="8:12" ht="15.75" customHeight="1">
      <c r="H1" s="709" t="s">
        <v>578</v>
      </c>
      <c r="L1" s="709" t="s">
        <v>579</v>
      </c>
    </row>
    <row r="2" spans="4:12" ht="15.75" customHeight="1">
      <c r="D2" s="725"/>
      <c r="E2" s="725"/>
      <c r="F2" s="725"/>
      <c r="G2" s="725"/>
      <c r="H2" s="851" t="s">
        <v>873</v>
      </c>
      <c r="I2" s="725"/>
      <c r="J2" s="1295"/>
      <c r="L2" s="709" t="s">
        <v>580</v>
      </c>
    </row>
    <row r="3" spans="3:12" ht="15.75" customHeight="1">
      <c r="C3" s="517"/>
      <c r="D3" s="850"/>
      <c r="E3" s="850"/>
      <c r="F3" s="850"/>
      <c r="G3" s="850"/>
      <c r="H3" s="709" t="s">
        <v>884</v>
      </c>
      <c r="I3" s="850"/>
      <c r="J3" s="1295"/>
      <c r="L3" s="709" t="s">
        <v>581</v>
      </c>
    </row>
    <row r="4" spans="2:12" ht="15.75" customHeight="1">
      <c r="B4" s="854" t="s">
        <v>582</v>
      </c>
      <c r="D4" s="725"/>
      <c r="E4" s="725"/>
      <c r="F4" s="725"/>
      <c r="G4" s="725"/>
      <c r="H4" s="709" t="s">
        <v>874</v>
      </c>
      <c r="I4" s="725"/>
      <c r="J4" s="1295"/>
      <c r="L4" s="709" t="s">
        <v>583</v>
      </c>
    </row>
    <row r="5" spans="1:9" ht="11.25" customHeight="1">
      <c r="A5" s="1296"/>
      <c r="D5" s="725"/>
      <c r="E5" s="725"/>
      <c r="F5" s="725"/>
      <c r="G5" s="725"/>
      <c r="H5" s="725"/>
      <c r="I5" s="725"/>
    </row>
    <row r="6" spans="1:11" ht="19.5" customHeight="1" thickBot="1">
      <c r="A6" s="1297"/>
      <c r="B6" s="1297"/>
      <c r="C6" s="564"/>
      <c r="D6" s="1297"/>
      <c r="E6" s="564"/>
      <c r="F6" s="564"/>
      <c r="G6" s="564"/>
      <c r="H6" s="564"/>
      <c r="I6" s="1298" t="s">
        <v>450</v>
      </c>
      <c r="K6" s="564"/>
    </row>
    <row r="7" spans="1:12" s="71" customFormat="1" ht="54.75" customHeight="1" thickBot="1" thickTop="1">
      <c r="A7" s="1087" t="s">
        <v>964</v>
      </c>
      <c r="B7" s="1087" t="s">
        <v>529</v>
      </c>
      <c r="C7" s="1087" t="s">
        <v>584</v>
      </c>
      <c r="D7" s="1299" t="s">
        <v>585</v>
      </c>
      <c r="E7" s="1299" t="s">
        <v>586</v>
      </c>
      <c r="F7" s="1299" t="s">
        <v>587</v>
      </c>
      <c r="G7" s="1299" t="s">
        <v>588</v>
      </c>
      <c r="H7" s="1299" t="s">
        <v>589</v>
      </c>
      <c r="I7" s="1299" t="s">
        <v>467</v>
      </c>
      <c r="K7" s="1087" t="s">
        <v>152</v>
      </c>
      <c r="L7" s="1300"/>
    </row>
    <row r="8" spans="1:12" s="564" customFormat="1" ht="14.25" customHeight="1" thickBot="1" thickTop="1">
      <c r="A8" s="1091">
        <v>1</v>
      </c>
      <c r="B8" s="1091">
        <v>2</v>
      </c>
      <c r="C8" s="1091">
        <v>3</v>
      </c>
      <c r="D8" s="1091">
        <v>3</v>
      </c>
      <c r="E8" s="1091">
        <v>4</v>
      </c>
      <c r="F8" s="1091">
        <v>4</v>
      </c>
      <c r="G8" s="1091">
        <v>5</v>
      </c>
      <c r="H8" s="1091">
        <v>6</v>
      </c>
      <c r="I8" s="1091">
        <v>7</v>
      </c>
      <c r="K8" s="1301">
        <v>7</v>
      </c>
      <c r="L8" s="1302">
        <v>9</v>
      </c>
    </row>
    <row r="9" spans="1:12" s="71" customFormat="1" ht="24" customHeight="1" thickTop="1">
      <c r="A9" s="241">
        <v>921</v>
      </c>
      <c r="B9" s="1303"/>
      <c r="C9" s="1181" t="s">
        <v>598</v>
      </c>
      <c r="D9" s="241" t="e">
        <f>SUM(#REF!+#REF!)+#REF!</f>
        <v>#REF!</v>
      </c>
      <c r="E9" s="241">
        <f>SUM(E11:E16)</f>
        <v>1259600</v>
      </c>
      <c r="F9" s="1303">
        <f>F10</f>
        <v>10060000</v>
      </c>
      <c r="G9" s="1303">
        <f>G10+G18</f>
        <v>10501828</v>
      </c>
      <c r="H9" s="1303">
        <f>H10+H18</f>
        <v>10370400</v>
      </c>
      <c r="I9" s="1304">
        <f aca="true" t="shared" si="0" ref="I9:I20">H9/G9</f>
        <v>0.9874852263815405</v>
      </c>
      <c r="K9" s="241">
        <f>SUM(K11:K16)</f>
        <v>3951163</v>
      </c>
      <c r="L9" s="1305" t="e">
        <f>SUM(#REF!+#REF!)+#REF!</f>
        <v>#REF!</v>
      </c>
    </row>
    <row r="10" spans="1:12" s="71" customFormat="1" ht="24" customHeight="1" thickBot="1">
      <c r="A10" s="210"/>
      <c r="B10" s="1306"/>
      <c r="C10" s="1307" t="s">
        <v>283</v>
      </c>
      <c r="D10" s="639"/>
      <c r="E10" s="1308"/>
      <c r="F10" s="1309">
        <f>SUM(F11:F17)</f>
        <v>10060000</v>
      </c>
      <c r="G10" s="1309">
        <f>SUM(G11:G17)</f>
        <v>10399940</v>
      </c>
      <c r="H10" s="1309">
        <f>SUM(H11:H17)</f>
        <v>10268512</v>
      </c>
      <c r="I10" s="1310">
        <f t="shared" si="0"/>
        <v>0.9873626193997274</v>
      </c>
      <c r="K10" s="520"/>
      <c r="L10" s="1311"/>
    </row>
    <row r="11" spans="1:12" s="564" customFormat="1" ht="24.75" customHeight="1" thickTop="1">
      <c r="A11" s="17"/>
      <c r="B11" s="1312">
        <v>92106</v>
      </c>
      <c r="C11" s="781" t="s">
        <v>590</v>
      </c>
      <c r="D11" s="764">
        <v>2000</v>
      </c>
      <c r="E11" s="1313">
        <v>30000</v>
      </c>
      <c r="F11" s="1314">
        <v>1820000</v>
      </c>
      <c r="G11" s="1314">
        <v>1900000</v>
      </c>
      <c r="H11" s="1314">
        <v>1900000</v>
      </c>
      <c r="I11" s="1315">
        <f t="shared" si="0"/>
        <v>1</v>
      </c>
      <c r="K11" s="764">
        <v>668000</v>
      </c>
      <c r="L11" s="1316">
        <v>243800</v>
      </c>
    </row>
    <row r="12" spans="1:12" s="564" customFormat="1" ht="24.75" customHeight="1">
      <c r="A12" s="626"/>
      <c r="B12" s="1317">
        <v>92109</v>
      </c>
      <c r="C12" s="1109" t="s">
        <v>591</v>
      </c>
      <c r="D12" s="764">
        <v>11200</v>
      </c>
      <c r="E12" s="1316"/>
      <c r="F12" s="1314">
        <v>480000</v>
      </c>
      <c r="G12" s="1314">
        <v>480000</v>
      </c>
      <c r="H12" s="1314">
        <v>480000</v>
      </c>
      <c r="I12" s="1315">
        <f t="shared" si="0"/>
        <v>1</v>
      </c>
      <c r="K12" s="764"/>
      <c r="L12" s="1318">
        <v>391800</v>
      </c>
    </row>
    <row r="13" spans="1:12" ht="24.75" customHeight="1">
      <c r="A13" s="626"/>
      <c r="B13" s="1317">
        <v>92109</v>
      </c>
      <c r="C13" s="1109" t="s">
        <v>592</v>
      </c>
      <c r="D13" s="764">
        <v>14615</v>
      </c>
      <c r="E13" s="1316">
        <v>14000</v>
      </c>
      <c r="F13" s="1314">
        <v>870000</v>
      </c>
      <c r="G13" s="1314">
        <v>914940</v>
      </c>
      <c r="H13" s="1314">
        <v>914940</v>
      </c>
      <c r="I13" s="1315">
        <f t="shared" si="0"/>
        <v>1</v>
      </c>
      <c r="K13" s="764">
        <v>316000</v>
      </c>
      <c r="L13" s="1316">
        <v>136000</v>
      </c>
    </row>
    <row r="14" spans="1:12" ht="24.75" customHeight="1">
      <c r="A14" s="626"/>
      <c r="B14" s="1317">
        <v>92109</v>
      </c>
      <c r="C14" s="740" t="s">
        <v>593</v>
      </c>
      <c r="D14" s="610">
        <v>9600</v>
      </c>
      <c r="E14" s="1319">
        <f>2493600-1445000</f>
        <v>1048600</v>
      </c>
      <c r="F14" s="1320">
        <v>390000</v>
      </c>
      <c r="G14" s="1320">
        <v>390000</v>
      </c>
      <c r="H14" s="1320">
        <v>390000</v>
      </c>
      <c r="I14" s="1321">
        <f t="shared" si="0"/>
        <v>1</v>
      </c>
      <c r="K14" s="610">
        <v>2492163</v>
      </c>
      <c r="L14" s="1319">
        <v>686600</v>
      </c>
    </row>
    <row r="15" spans="1:12" ht="24.75" customHeight="1">
      <c r="A15" s="626"/>
      <c r="B15" s="1317">
        <v>92110</v>
      </c>
      <c r="C15" s="740" t="s">
        <v>594</v>
      </c>
      <c r="D15" s="764">
        <v>4079</v>
      </c>
      <c r="E15" s="1316">
        <v>167000</v>
      </c>
      <c r="F15" s="1314">
        <v>700000</v>
      </c>
      <c r="G15" s="1314">
        <v>700000</v>
      </c>
      <c r="H15" s="1314">
        <v>700000</v>
      </c>
      <c r="I15" s="1315">
        <f t="shared" si="0"/>
        <v>1</v>
      </c>
      <c r="K15" s="764">
        <v>475000</v>
      </c>
      <c r="L15" s="1316">
        <v>142900</v>
      </c>
    </row>
    <row r="16" spans="1:12" ht="24.75" customHeight="1">
      <c r="A16" s="626"/>
      <c r="B16" s="1322">
        <v>92113</v>
      </c>
      <c r="C16" s="740" t="s">
        <v>595</v>
      </c>
      <c r="D16" s="610"/>
      <c r="E16" s="1319"/>
      <c r="F16" s="1320">
        <v>1500000</v>
      </c>
      <c r="G16" s="1320">
        <v>1540000</v>
      </c>
      <c r="H16" s="1320">
        <v>1540000</v>
      </c>
      <c r="I16" s="1321">
        <f t="shared" si="0"/>
        <v>1</v>
      </c>
      <c r="K16" s="770"/>
      <c r="L16" s="1316"/>
    </row>
    <row r="17" spans="1:9" ht="24.75" customHeight="1">
      <c r="A17" s="626"/>
      <c r="B17" s="1323">
        <v>92116</v>
      </c>
      <c r="C17" s="741" t="s">
        <v>596</v>
      </c>
      <c r="D17" s="742"/>
      <c r="E17" s="1324"/>
      <c r="F17" s="1325">
        <v>4300000</v>
      </c>
      <c r="G17" s="1325">
        <v>4475000</v>
      </c>
      <c r="H17" s="1325">
        <v>4343572</v>
      </c>
      <c r="I17" s="1326">
        <f t="shared" si="0"/>
        <v>0.9706306145251397</v>
      </c>
    </row>
    <row r="18" spans="1:10" s="725" customFormat="1" ht="29.25" customHeight="1" thickBot="1">
      <c r="A18" s="1327"/>
      <c r="B18" s="1328"/>
      <c r="C18" s="1329" t="s">
        <v>597</v>
      </c>
      <c r="D18" s="1330"/>
      <c r="E18" s="1330"/>
      <c r="F18" s="1331"/>
      <c r="G18" s="1332">
        <f>SUM(G19:G20)</f>
        <v>101888</v>
      </c>
      <c r="H18" s="1332">
        <f>SUM(H19:H20)</f>
        <v>101888</v>
      </c>
      <c r="I18" s="1333">
        <f t="shared" si="0"/>
        <v>1</v>
      </c>
      <c r="J18" s="857"/>
    </row>
    <row r="19" spans="1:9" ht="24.75" customHeight="1" thickTop="1">
      <c r="A19" s="1334"/>
      <c r="B19" s="1335">
        <v>92113</v>
      </c>
      <c r="C19" s="740" t="s">
        <v>595</v>
      </c>
      <c r="D19" s="741"/>
      <c r="E19" s="741"/>
      <c r="F19" s="1336"/>
      <c r="G19" s="1337">
        <v>25986</v>
      </c>
      <c r="H19" s="1337">
        <v>25986</v>
      </c>
      <c r="I19" s="1338">
        <f t="shared" si="0"/>
        <v>1</v>
      </c>
    </row>
    <row r="20" spans="1:9" ht="24.75" customHeight="1">
      <c r="A20" s="1339"/>
      <c r="B20" s="1323">
        <v>92116</v>
      </c>
      <c r="C20" s="741" t="s">
        <v>596</v>
      </c>
      <c r="D20" s="747"/>
      <c r="E20" s="747"/>
      <c r="F20" s="742"/>
      <c r="G20" s="1325">
        <v>75902</v>
      </c>
      <c r="H20" s="1325">
        <v>75902</v>
      </c>
      <c r="I20" s="743">
        <f t="shared" si="0"/>
        <v>1</v>
      </c>
    </row>
    <row r="23" ht="14.25">
      <c r="G23" s="375" t="s">
        <v>330</v>
      </c>
    </row>
    <row r="24" ht="14.25">
      <c r="G24" s="694" t="s">
        <v>331</v>
      </c>
    </row>
  </sheetData>
  <printOptions horizontalCentered="1"/>
  <pageMargins left="0.5905511811023623" right="0.5905511811023623" top="0.8267716535433072" bottom="0.73" header="0.5118110236220472" footer="0.48"/>
  <pageSetup firstPageNumber="64" useFirstPageNumber="1" horizontalDpi="600" verticalDpi="600" orientation="landscape" paperSize="9" scale="98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117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7.375" style="0" customWidth="1"/>
    <col min="3" max="3" width="43.125" style="0" customWidth="1"/>
    <col min="4" max="6" width="14.25390625" style="0" customWidth="1"/>
    <col min="8" max="8" width="42.375" style="0" customWidth="1"/>
  </cols>
  <sheetData>
    <row r="1" ht="14.25">
      <c r="H1" s="605" t="s">
        <v>599</v>
      </c>
    </row>
    <row r="2" spans="1:8" ht="15.75">
      <c r="A2" s="699" t="s">
        <v>600</v>
      </c>
      <c r="H2" s="605" t="s">
        <v>601</v>
      </c>
    </row>
    <row r="3" spans="1:37" s="695" customFormat="1" ht="17.25" customHeight="1">
      <c r="A3" s="699" t="s">
        <v>602</v>
      </c>
      <c r="H3" s="605" t="s">
        <v>603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695" customFormat="1" ht="17.25" customHeight="1">
      <c r="A4" s="699"/>
      <c r="H4" s="605" t="s">
        <v>604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ht="13.5" thickBot="1">
      <c r="H5" s="1340" t="s">
        <v>605</v>
      </c>
    </row>
    <row r="6" spans="1:37" s="709" customFormat="1" ht="73.5" customHeight="1" thickBot="1" thickTop="1">
      <c r="A6" s="1299" t="s">
        <v>964</v>
      </c>
      <c r="B6" s="1087" t="s">
        <v>529</v>
      </c>
      <c r="C6" s="1087" t="s">
        <v>606</v>
      </c>
      <c r="D6" s="1089" t="s">
        <v>607</v>
      </c>
      <c r="E6" s="1089" t="s">
        <v>608</v>
      </c>
      <c r="F6" s="1089" t="s">
        <v>609</v>
      </c>
      <c r="G6" s="1089" t="s">
        <v>982</v>
      </c>
      <c r="H6" s="1089" t="s">
        <v>610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09" customFormat="1" ht="12" customHeight="1" thickBot="1" thickTop="1">
      <c r="A7" s="1091">
        <v>1</v>
      </c>
      <c r="B7" s="1091">
        <v>2</v>
      </c>
      <c r="C7" s="1091">
        <v>3</v>
      </c>
      <c r="D7" s="1091">
        <v>4</v>
      </c>
      <c r="E7" s="1091">
        <v>5</v>
      </c>
      <c r="F7" s="1091">
        <v>6</v>
      </c>
      <c r="G7" s="1091">
        <v>7</v>
      </c>
      <c r="H7" s="1091">
        <v>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1346" customFormat="1" ht="19.5" customHeight="1" thickBot="1" thickTop="1">
      <c r="A8" s="1341"/>
      <c r="B8" s="1341"/>
      <c r="C8" s="1342" t="s">
        <v>152</v>
      </c>
      <c r="D8" s="1343">
        <f>D9+D103+D107</f>
        <v>23601746</v>
      </c>
      <c r="E8" s="1343">
        <f>E9+E96+E103+E107</f>
        <v>26913994</v>
      </c>
      <c r="F8" s="1343">
        <f>F9+F96+F103+F107</f>
        <v>26138990</v>
      </c>
      <c r="G8" s="1344">
        <f aca="true" t="shared" si="0" ref="G8:G28">F8/E8</f>
        <v>0.9712044225022863</v>
      </c>
      <c r="H8" s="134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709" customFormat="1" ht="30.75" customHeight="1" thickBot="1">
      <c r="A9" s="737"/>
      <c r="B9" s="737"/>
      <c r="C9" s="1347" t="s">
        <v>718</v>
      </c>
      <c r="D9" s="1348">
        <f>D10+D13+D28+D58+D72+D83+D89</f>
        <v>21396746</v>
      </c>
      <c r="E9" s="1348">
        <f>E10+E13+E28+E58+E72+E80+E83+E89</f>
        <v>24522034</v>
      </c>
      <c r="F9" s="1348">
        <f>F10+F13+F28+F58+F72+F80+F83+F89</f>
        <v>23747034</v>
      </c>
      <c r="G9" s="1349">
        <f t="shared" si="0"/>
        <v>0.9683957701061828</v>
      </c>
      <c r="H9" s="83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709" customFormat="1" ht="18.75" customHeight="1" thickTop="1">
      <c r="A10" s="719">
        <v>630</v>
      </c>
      <c r="B10" s="719"/>
      <c r="C10" s="401" t="s">
        <v>446</v>
      </c>
      <c r="D10" s="1350">
        <f aca="true" t="shared" si="1" ref="D10:F11">D11</f>
        <v>50000</v>
      </c>
      <c r="E10" s="1350">
        <f t="shared" si="1"/>
        <v>50000</v>
      </c>
      <c r="F10" s="1350">
        <f t="shared" si="1"/>
        <v>48078</v>
      </c>
      <c r="G10" s="1351">
        <f t="shared" si="0"/>
        <v>0.96156</v>
      </c>
      <c r="H10" s="40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725" customFormat="1" ht="18.75" customHeight="1">
      <c r="A11" s="231"/>
      <c r="B11" s="722">
        <v>63003</v>
      </c>
      <c r="C11" s="387" t="s">
        <v>320</v>
      </c>
      <c r="D11" s="723">
        <f t="shared" si="1"/>
        <v>50000</v>
      </c>
      <c r="E11" s="723">
        <f t="shared" si="1"/>
        <v>50000</v>
      </c>
      <c r="F11" s="723">
        <f t="shared" si="1"/>
        <v>48078</v>
      </c>
      <c r="G11" s="724">
        <f t="shared" si="0"/>
        <v>0.96156</v>
      </c>
      <c r="H11" s="72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709" customFormat="1" ht="19.5" customHeight="1">
      <c r="A12" s="741"/>
      <c r="B12" s="747"/>
      <c r="C12" s="414" t="s">
        <v>1007</v>
      </c>
      <c r="D12" s="727">
        <v>50000</v>
      </c>
      <c r="E12" s="727">
        <v>50000</v>
      </c>
      <c r="F12" s="727">
        <v>48078</v>
      </c>
      <c r="G12" s="743">
        <f t="shared" si="0"/>
        <v>0.96156</v>
      </c>
      <c r="H12" s="495" t="s">
        <v>611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709" customFormat="1" ht="19.5" customHeight="1">
      <c r="A13" s="720">
        <v>801</v>
      </c>
      <c r="B13" s="720"/>
      <c r="C13" s="105" t="s">
        <v>347</v>
      </c>
      <c r="D13" s="601">
        <f>D14+D16+D18+D20+D22+D24+D26</f>
        <v>13409000</v>
      </c>
      <c r="E13" s="601">
        <f>E14+E16+E18+E20+E22+E24+E26</f>
        <v>16058833</v>
      </c>
      <c r="F13" s="601">
        <f>F14+F16+F18+F20+F22+F24+F26</f>
        <v>16007472</v>
      </c>
      <c r="G13" s="572">
        <f t="shared" si="0"/>
        <v>0.9968016978568741</v>
      </c>
      <c r="H13" s="10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25" customFormat="1" ht="19.5" customHeight="1">
      <c r="A14" s="231"/>
      <c r="B14" s="722">
        <v>80101</v>
      </c>
      <c r="C14" s="387" t="s">
        <v>348</v>
      </c>
      <c r="D14" s="723">
        <f>D15</f>
        <v>978000</v>
      </c>
      <c r="E14" s="723">
        <f>E15</f>
        <v>1099791</v>
      </c>
      <c r="F14" s="723">
        <f>F15</f>
        <v>1097807</v>
      </c>
      <c r="G14" s="724">
        <f t="shared" si="0"/>
        <v>0.9981960208803309</v>
      </c>
      <c r="H14" s="72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709" customFormat="1" ht="41.25" customHeight="1">
      <c r="A15" s="737"/>
      <c r="B15" s="747"/>
      <c r="C15" s="414" t="s">
        <v>1064</v>
      </c>
      <c r="D15" s="727">
        <f>900000+78000</f>
        <v>978000</v>
      </c>
      <c r="E15" s="727">
        <v>1099791</v>
      </c>
      <c r="F15" s="727">
        <v>1097807</v>
      </c>
      <c r="G15" s="728">
        <f t="shared" si="0"/>
        <v>0.9981960208803309</v>
      </c>
      <c r="H15" s="414" t="s">
        <v>612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725" customFormat="1" ht="19.5" customHeight="1">
      <c r="A16" s="231"/>
      <c r="B16" s="722">
        <v>80104</v>
      </c>
      <c r="C16" s="387" t="s">
        <v>311</v>
      </c>
      <c r="D16" s="723">
        <f>D17</f>
        <v>3001000</v>
      </c>
      <c r="E16" s="723">
        <f>E17</f>
        <v>4119470</v>
      </c>
      <c r="F16" s="723">
        <f>F17</f>
        <v>4115069</v>
      </c>
      <c r="G16" s="724">
        <f t="shared" si="0"/>
        <v>0.9989316586842483</v>
      </c>
      <c r="H16" s="722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709" customFormat="1" ht="39" customHeight="1">
      <c r="A17" s="737"/>
      <c r="B17" s="747"/>
      <c r="C17" s="414" t="s">
        <v>613</v>
      </c>
      <c r="D17" s="727">
        <f>2850000+151000</f>
        <v>3001000</v>
      </c>
      <c r="E17" s="727">
        <v>4119470</v>
      </c>
      <c r="F17" s="727">
        <v>4115069</v>
      </c>
      <c r="G17" s="728">
        <f t="shared" si="0"/>
        <v>0.9989316586842483</v>
      </c>
      <c r="H17" s="414" t="s">
        <v>614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709" customFormat="1" ht="19.5" customHeight="1">
      <c r="A18" s="737"/>
      <c r="B18" s="232">
        <v>80110</v>
      </c>
      <c r="C18" s="506" t="s">
        <v>349</v>
      </c>
      <c r="D18" s="207">
        <f>D19</f>
        <v>2008000</v>
      </c>
      <c r="E18" s="207">
        <f>E19</f>
        <v>2543182</v>
      </c>
      <c r="F18" s="207">
        <f>F19</f>
        <v>2537545</v>
      </c>
      <c r="G18" s="195">
        <f t="shared" si="0"/>
        <v>0.9977834854131556</v>
      </c>
      <c r="H18" s="50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709" customFormat="1" ht="36.75" customHeight="1">
      <c r="A19" s="737"/>
      <c r="B19" s="737"/>
      <c r="C19" s="494" t="s">
        <v>615</v>
      </c>
      <c r="D19" s="586">
        <f>1900000+108000</f>
        <v>2008000</v>
      </c>
      <c r="E19" s="586">
        <v>2543182</v>
      </c>
      <c r="F19" s="586">
        <v>2537545</v>
      </c>
      <c r="G19" s="587">
        <f t="shared" si="0"/>
        <v>0.9977834854131556</v>
      </c>
      <c r="H19" s="494" t="s">
        <v>616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725" customFormat="1" ht="19.5" customHeight="1">
      <c r="A20" s="231"/>
      <c r="B20" s="722">
        <v>80120</v>
      </c>
      <c r="C20" s="722" t="s">
        <v>359</v>
      </c>
      <c r="D20" s="723">
        <f>D21</f>
        <v>3745000</v>
      </c>
      <c r="E20" s="723">
        <f>E21</f>
        <v>3747169</v>
      </c>
      <c r="F20" s="723">
        <f>F21</f>
        <v>3737138</v>
      </c>
      <c r="G20" s="724">
        <f t="shared" si="0"/>
        <v>0.9973230457446675</v>
      </c>
      <c r="H20" s="72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565" customFormat="1" ht="37.5" customHeight="1">
      <c r="A21" s="737"/>
      <c r="B21" s="747"/>
      <c r="C21" s="414" t="s">
        <v>1072</v>
      </c>
      <c r="D21" s="727">
        <f>3600000+145000</f>
        <v>3745000</v>
      </c>
      <c r="E21" s="727">
        <v>3747169</v>
      </c>
      <c r="F21" s="727">
        <v>3737138</v>
      </c>
      <c r="G21" s="728">
        <f t="shared" si="0"/>
        <v>0.9973230457446675</v>
      </c>
      <c r="H21" s="414" t="s">
        <v>617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1352"/>
      <c r="AG21" s="1352"/>
      <c r="AH21" s="1352"/>
      <c r="AI21" s="1352"/>
      <c r="AJ21" s="1352"/>
      <c r="AK21" s="1352"/>
    </row>
    <row r="22" spans="1:37" s="725" customFormat="1" ht="21.75" customHeight="1">
      <c r="A22" s="231"/>
      <c r="B22" s="231">
        <v>80123</v>
      </c>
      <c r="C22" s="506" t="s">
        <v>390</v>
      </c>
      <c r="D22" s="744">
        <f>D23</f>
        <v>330000</v>
      </c>
      <c r="E22" s="744">
        <f>E23</f>
        <v>328500</v>
      </c>
      <c r="F22" s="744">
        <f>F23</f>
        <v>326299</v>
      </c>
      <c r="G22" s="832">
        <f t="shared" si="0"/>
        <v>0.9932998477929985</v>
      </c>
      <c r="H22" s="83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709" customFormat="1" ht="40.5" customHeight="1">
      <c r="A23" s="741"/>
      <c r="B23" s="747"/>
      <c r="C23" s="414" t="s">
        <v>1073</v>
      </c>
      <c r="D23" s="727">
        <v>330000</v>
      </c>
      <c r="E23" s="727">
        <v>328500</v>
      </c>
      <c r="F23" s="727">
        <v>326299</v>
      </c>
      <c r="G23" s="728">
        <f t="shared" si="0"/>
        <v>0.9932998477929985</v>
      </c>
      <c r="H23" s="414" t="s">
        <v>618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709" customFormat="1" ht="19.5" customHeight="1">
      <c r="A24" s="737"/>
      <c r="B24" s="232">
        <v>80130</v>
      </c>
      <c r="C24" s="232" t="s">
        <v>360</v>
      </c>
      <c r="D24" s="744">
        <f>D25</f>
        <v>3344000</v>
      </c>
      <c r="E24" s="744">
        <f>E25</f>
        <v>4213261</v>
      </c>
      <c r="F24" s="744">
        <f>F25</f>
        <v>4186154</v>
      </c>
      <c r="G24" s="745">
        <f t="shared" si="0"/>
        <v>0.9935662661297271</v>
      </c>
      <c r="H24" s="23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709" customFormat="1" ht="39.75" customHeight="1">
      <c r="A25" s="737"/>
      <c r="B25" s="747"/>
      <c r="C25" s="414" t="s">
        <v>619</v>
      </c>
      <c r="D25" s="727">
        <f>3130000+214000</f>
        <v>3344000</v>
      </c>
      <c r="E25" s="727">
        <v>4213261</v>
      </c>
      <c r="F25" s="727">
        <v>4186154</v>
      </c>
      <c r="G25" s="728">
        <f t="shared" si="0"/>
        <v>0.9935662661297271</v>
      </c>
      <c r="H25" s="414" t="s">
        <v>620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09" customFormat="1" ht="19.5" customHeight="1">
      <c r="A26" s="737"/>
      <c r="B26" s="232">
        <v>80195</v>
      </c>
      <c r="C26" s="232" t="s">
        <v>966</v>
      </c>
      <c r="D26" s="744">
        <f>D27</f>
        <v>3000</v>
      </c>
      <c r="E26" s="744">
        <f>E27</f>
        <v>7460</v>
      </c>
      <c r="F26" s="744">
        <f>F27</f>
        <v>7460</v>
      </c>
      <c r="G26" s="745">
        <f t="shared" si="0"/>
        <v>1</v>
      </c>
      <c r="H26" s="23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564" customFormat="1" ht="39.75" customHeight="1">
      <c r="A27" s="741"/>
      <c r="B27" s="747"/>
      <c r="C27" s="414" t="s">
        <v>621</v>
      </c>
      <c r="D27" s="727">
        <v>3000</v>
      </c>
      <c r="E27" s="727">
        <v>7460</v>
      </c>
      <c r="F27" s="727">
        <v>7460</v>
      </c>
      <c r="G27" s="728">
        <f t="shared" si="0"/>
        <v>1</v>
      </c>
      <c r="H27" s="414" t="s">
        <v>622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709" customFormat="1" ht="18" customHeight="1">
      <c r="A28" s="720">
        <v>851</v>
      </c>
      <c r="B28" s="720"/>
      <c r="C28" s="105" t="s">
        <v>350</v>
      </c>
      <c r="D28" s="220">
        <f>D32+D38+D48+D29</f>
        <v>1901746</v>
      </c>
      <c r="E28" s="220">
        <f>E32+E38+E48+E29</f>
        <v>1691936</v>
      </c>
      <c r="F28" s="220">
        <f>F32+F38+F48+F29</f>
        <v>1664810</v>
      </c>
      <c r="G28" s="178">
        <f t="shared" si="0"/>
        <v>0.9839674786753163</v>
      </c>
      <c r="H28" s="105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1" s="818" customFormat="1" ht="18" customHeight="1">
      <c r="A29" s="569"/>
      <c r="B29" s="815">
        <v>85121</v>
      </c>
      <c r="C29" s="39" t="s">
        <v>321</v>
      </c>
      <c r="D29" s="138">
        <f>SUM(D30:D31)</f>
        <v>180000</v>
      </c>
      <c r="E29" s="138"/>
      <c r="F29" s="138"/>
      <c r="G29" s="1353"/>
      <c r="H29" s="3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818" customFormat="1" ht="40.5" customHeight="1">
      <c r="A30" s="569"/>
      <c r="B30" s="625"/>
      <c r="C30" s="416" t="s">
        <v>623</v>
      </c>
      <c r="D30" s="615">
        <v>100000</v>
      </c>
      <c r="E30" s="615"/>
      <c r="F30" s="615"/>
      <c r="G30" s="1354"/>
      <c r="H30" s="416" t="s">
        <v>624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818" customFormat="1" ht="25.5">
      <c r="A31" s="569"/>
      <c r="B31" s="824"/>
      <c r="C31" s="486" t="s">
        <v>625</v>
      </c>
      <c r="D31" s="616">
        <v>80000</v>
      </c>
      <c r="E31" s="616"/>
      <c r="F31" s="616"/>
      <c r="G31" s="692"/>
      <c r="H31" s="486" t="s">
        <v>626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7" s="725" customFormat="1" ht="19.5" customHeight="1">
      <c r="A32" s="231"/>
      <c r="B32" s="722">
        <v>85153</v>
      </c>
      <c r="C32" s="722" t="s">
        <v>14</v>
      </c>
      <c r="D32" s="723">
        <f>D33</f>
        <v>44000</v>
      </c>
      <c r="E32" s="723">
        <f>E33</f>
        <v>44000</v>
      </c>
      <c r="F32" s="723">
        <f>F33</f>
        <v>44000</v>
      </c>
      <c r="G32" s="724">
        <f aca="true" t="shared" si="2" ref="G32:G46">F32/E32</f>
        <v>1</v>
      </c>
      <c r="H32" s="72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709" customFormat="1" ht="28.5" customHeight="1">
      <c r="A33" s="737"/>
      <c r="B33" s="738"/>
      <c r="C33" s="1355" t="s">
        <v>627</v>
      </c>
      <c r="D33" s="1356">
        <f>SUM(D34:D37)</f>
        <v>44000</v>
      </c>
      <c r="E33" s="1356">
        <f>SUM(E34:E37)</f>
        <v>44000</v>
      </c>
      <c r="F33" s="1356">
        <f>SUM(F34:F37)</f>
        <v>44000</v>
      </c>
      <c r="G33" s="1357">
        <f t="shared" si="2"/>
        <v>1</v>
      </c>
      <c r="H33" s="1358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709" customFormat="1" ht="26.25" customHeight="1">
      <c r="A34" s="737"/>
      <c r="B34" s="737"/>
      <c r="C34" s="510" t="s">
        <v>628</v>
      </c>
      <c r="D34" s="764">
        <v>10000</v>
      </c>
      <c r="E34" s="764">
        <v>10000</v>
      </c>
      <c r="F34" s="764">
        <v>10000</v>
      </c>
      <c r="G34" s="746">
        <f t="shared" si="2"/>
        <v>1</v>
      </c>
      <c r="H34" s="510" t="s">
        <v>629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709" customFormat="1" ht="25.5" customHeight="1">
      <c r="A35" s="737"/>
      <c r="B35" s="737"/>
      <c r="C35" s="765" t="s">
        <v>630</v>
      </c>
      <c r="D35" s="610">
        <v>25000</v>
      </c>
      <c r="E35" s="610">
        <v>25000</v>
      </c>
      <c r="F35" s="610">
        <v>25000</v>
      </c>
      <c r="G35" s="611">
        <f t="shared" si="2"/>
        <v>1</v>
      </c>
      <c r="H35" s="765" t="s">
        <v>631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709" customFormat="1" ht="25.5" customHeight="1">
      <c r="A36" s="737"/>
      <c r="B36" s="737"/>
      <c r="C36" s="765" t="s">
        <v>632</v>
      </c>
      <c r="D36" s="610">
        <v>8000</v>
      </c>
      <c r="E36" s="610">
        <v>8000</v>
      </c>
      <c r="F36" s="610">
        <v>8000</v>
      </c>
      <c r="G36" s="611">
        <f t="shared" si="2"/>
        <v>1</v>
      </c>
      <c r="H36" s="740" t="s">
        <v>633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709" customFormat="1" ht="39.75" customHeight="1">
      <c r="A37" s="737"/>
      <c r="B37" s="741"/>
      <c r="C37" s="508" t="s">
        <v>634</v>
      </c>
      <c r="D37" s="770">
        <v>1000</v>
      </c>
      <c r="E37" s="770">
        <v>1000</v>
      </c>
      <c r="F37" s="770">
        <v>1000</v>
      </c>
      <c r="G37" s="771">
        <f t="shared" si="2"/>
        <v>1</v>
      </c>
      <c r="H37" s="508" t="s">
        <v>635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709" customFormat="1" ht="23.25" customHeight="1">
      <c r="A38" s="737"/>
      <c r="B38" s="232">
        <v>85154</v>
      </c>
      <c r="C38" s="506" t="s">
        <v>334</v>
      </c>
      <c r="D38" s="207">
        <f>D39</f>
        <v>1458746</v>
      </c>
      <c r="E38" s="207">
        <f>E39+E45+E46+E47</f>
        <v>1432436</v>
      </c>
      <c r="F38" s="207">
        <f>F39+F45+F46+F47</f>
        <v>1408287</v>
      </c>
      <c r="G38" s="195">
        <f t="shared" si="2"/>
        <v>0.9831413061386338</v>
      </c>
      <c r="H38" s="50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709" customFormat="1" ht="40.5" customHeight="1">
      <c r="A39" s="737"/>
      <c r="B39" s="737"/>
      <c r="C39" s="1355" t="s">
        <v>636</v>
      </c>
      <c r="D39" s="1356">
        <f>SUM(D40:D44)</f>
        <v>1458746</v>
      </c>
      <c r="E39" s="1356">
        <f>SUM(E40:E44)</f>
        <v>1405236</v>
      </c>
      <c r="F39" s="1356">
        <f>SUM(F40:F44)</f>
        <v>1387087</v>
      </c>
      <c r="G39" s="1357">
        <f t="shared" si="2"/>
        <v>0.9870847316749642</v>
      </c>
      <c r="H39" s="1355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709" customFormat="1" ht="38.25" customHeight="1">
      <c r="A40" s="737"/>
      <c r="B40" s="737"/>
      <c r="C40" s="1359" t="s">
        <v>637</v>
      </c>
      <c r="D40" s="1360">
        <v>490000</v>
      </c>
      <c r="E40" s="1360">
        <v>505000</v>
      </c>
      <c r="F40" s="1360">
        <v>504847</v>
      </c>
      <c r="G40" s="1361">
        <f t="shared" si="2"/>
        <v>0.9996970297029703</v>
      </c>
      <c r="H40" s="1359" t="s">
        <v>638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565" customFormat="1" ht="51.75" customHeight="1">
      <c r="A41" s="741"/>
      <c r="B41" s="741"/>
      <c r="C41" s="495" t="s">
        <v>639</v>
      </c>
      <c r="D41" s="742">
        <f>500000+746</f>
        <v>500746</v>
      </c>
      <c r="E41" s="742">
        <v>492746</v>
      </c>
      <c r="F41" s="742">
        <v>485198</v>
      </c>
      <c r="G41" s="743">
        <f t="shared" si="2"/>
        <v>0.9846817630178631</v>
      </c>
      <c r="H41" s="495" t="s">
        <v>640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565" customFormat="1" ht="38.25" customHeight="1">
      <c r="A42" s="737"/>
      <c r="B42" s="737"/>
      <c r="C42" s="510" t="s">
        <v>641</v>
      </c>
      <c r="D42" s="764">
        <v>440000</v>
      </c>
      <c r="E42" s="764">
        <v>387490</v>
      </c>
      <c r="F42" s="764">
        <v>377294</v>
      </c>
      <c r="G42" s="746">
        <f t="shared" si="2"/>
        <v>0.9736870628919456</v>
      </c>
      <c r="H42" s="510" t="s">
        <v>642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565" customFormat="1" ht="37.5" customHeight="1">
      <c r="A43" s="737"/>
      <c r="B43" s="737"/>
      <c r="C43" s="1109" t="s">
        <v>643</v>
      </c>
      <c r="D43" s="610">
        <v>25000</v>
      </c>
      <c r="E43" s="610">
        <v>17000</v>
      </c>
      <c r="F43" s="610">
        <v>16748</v>
      </c>
      <c r="G43" s="611">
        <f t="shared" si="2"/>
        <v>0.9851764705882353</v>
      </c>
      <c r="H43" s="765" t="s">
        <v>635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564" customFormat="1" ht="38.25" customHeight="1">
      <c r="A44" s="737"/>
      <c r="B44" s="737"/>
      <c r="C44" s="1109" t="s">
        <v>644</v>
      </c>
      <c r="D44" s="610">
        <v>3000</v>
      </c>
      <c r="E44" s="610">
        <v>3000</v>
      </c>
      <c r="F44" s="610">
        <v>3000</v>
      </c>
      <c r="G44" s="611">
        <f t="shared" si="2"/>
        <v>1</v>
      </c>
      <c r="H44" s="765" t="s">
        <v>645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564" customFormat="1" ht="26.25" customHeight="1">
      <c r="A45" s="737"/>
      <c r="B45" s="737"/>
      <c r="C45" s="1362" t="s">
        <v>646</v>
      </c>
      <c r="D45" s="1363"/>
      <c r="E45" s="1363">
        <v>10600</v>
      </c>
      <c r="F45" s="1363">
        <v>10600</v>
      </c>
      <c r="G45" s="1364">
        <f t="shared" si="2"/>
        <v>1</v>
      </c>
      <c r="H45" s="1365" t="s">
        <v>647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564" customFormat="1" ht="53.25" customHeight="1">
      <c r="A46" s="737"/>
      <c r="B46" s="737"/>
      <c r="C46" s="1366" t="s">
        <v>648</v>
      </c>
      <c r="D46" s="1367"/>
      <c r="E46" s="1367">
        <v>10600</v>
      </c>
      <c r="F46" s="1367">
        <v>10600</v>
      </c>
      <c r="G46" s="1368">
        <f t="shared" si="2"/>
        <v>1</v>
      </c>
      <c r="H46" s="1369" t="s">
        <v>649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564" customFormat="1" ht="39.75" customHeight="1">
      <c r="A47" s="737"/>
      <c r="B47" s="741"/>
      <c r="C47" s="509" t="s">
        <v>650</v>
      </c>
      <c r="D47" s="742"/>
      <c r="E47" s="742">
        <v>6000</v>
      </c>
      <c r="F47" s="742"/>
      <c r="G47" s="743"/>
      <c r="H47" s="495" t="s">
        <v>651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709" customFormat="1" ht="22.5" customHeight="1">
      <c r="A48" s="737"/>
      <c r="B48" s="232">
        <v>85195</v>
      </c>
      <c r="C48" s="232" t="s">
        <v>966</v>
      </c>
      <c r="D48" s="744">
        <f>D49</f>
        <v>219000</v>
      </c>
      <c r="E48" s="744">
        <f>E49</f>
        <v>215500</v>
      </c>
      <c r="F48" s="744">
        <f>F49</f>
        <v>212523</v>
      </c>
      <c r="G48" s="745">
        <f aca="true" t="shared" si="3" ref="G48:G65">F48/E48</f>
        <v>0.986185614849188</v>
      </c>
      <c r="H48" s="232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s="709" customFormat="1" ht="27" customHeight="1">
      <c r="A49" s="737"/>
      <c r="B49" s="738"/>
      <c r="C49" s="1355" t="s">
        <v>652</v>
      </c>
      <c r="D49" s="1356">
        <f>SUM(D50:D57)</f>
        <v>219000</v>
      </c>
      <c r="E49" s="1356">
        <f>SUM(E50:E57)</f>
        <v>215500</v>
      </c>
      <c r="F49" s="1356">
        <f>SUM(F50:F57)</f>
        <v>212523</v>
      </c>
      <c r="G49" s="1357">
        <f t="shared" si="3"/>
        <v>0.986185614849188</v>
      </c>
      <c r="H49" s="1358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565" customFormat="1" ht="52.5" customHeight="1">
      <c r="A50" s="737"/>
      <c r="B50" s="737"/>
      <c r="C50" s="1370" t="s">
        <v>653</v>
      </c>
      <c r="D50" s="1360">
        <v>25000</v>
      </c>
      <c r="E50" s="1360">
        <v>25000</v>
      </c>
      <c r="F50" s="1360">
        <v>25000</v>
      </c>
      <c r="G50" s="1361">
        <f t="shared" si="3"/>
        <v>1</v>
      </c>
      <c r="H50" s="1359" t="s">
        <v>654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 s="1352"/>
      <c r="AG50" s="1352"/>
      <c r="AH50" s="1352"/>
      <c r="AI50" s="1352"/>
      <c r="AJ50" s="1352"/>
      <c r="AK50" s="1352"/>
    </row>
    <row r="51" spans="1:37" s="565" customFormat="1" ht="40.5" customHeight="1">
      <c r="A51" s="737"/>
      <c r="B51" s="737"/>
      <c r="C51" s="1371" t="s">
        <v>655</v>
      </c>
      <c r="D51" s="764">
        <v>100000</v>
      </c>
      <c r="E51" s="764">
        <v>100000</v>
      </c>
      <c r="F51" s="764">
        <v>99528</v>
      </c>
      <c r="G51" s="746">
        <f t="shared" si="3"/>
        <v>0.99528</v>
      </c>
      <c r="H51" s="510" t="s">
        <v>656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 s="1352"/>
      <c r="AG51" s="1352"/>
      <c r="AH51" s="1352"/>
      <c r="AI51" s="1352"/>
      <c r="AJ51" s="1352"/>
      <c r="AK51" s="1352"/>
    </row>
    <row r="52" spans="1:37" s="565" customFormat="1" ht="28.5" customHeight="1">
      <c r="A52" s="737"/>
      <c r="B52" s="737"/>
      <c r="C52" s="1109" t="s">
        <v>657</v>
      </c>
      <c r="D52" s="610">
        <v>27000</v>
      </c>
      <c r="E52" s="610">
        <v>27000</v>
      </c>
      <c r="F52" s="610">
        <v>27000</v>
      </c>
      <c r="G52" s="611">
        <f t="shared" si="3"/>
        <v>1</v>
      </c>
      <c r="H52" s="765" t="s">
        <v>658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565" customFormat="1" ht="67.5" customHeight="1">
      <c r="A53" s="737"/>
      <c r="B53" s="737"/>
      <c r="C53" s="1109" t="s">
        <v>659</v>
      </c>
      <c r="D53" s="610">
        <v>12000</v>
      </c>
      <c r="E53" s="610">
        <v>12000</v>
      </c>
      <c r="F53" s="610">
        <v>12000</v>
      </c>
      <c r="G53" s="611">
        <f t="shared" si="3"/>
        <v>1</v>
      </c>
      <c r="H53" s="765" t="s">
        <v>660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709" customFormat="1" ht="76.5" customHeight="1">
      <c r="A54" s="741"/>
      <c r="B54" s="741"/>
      <c r="C54" s="509" t="s">
        <v>661</v>
      </c>
      <c r="D54" s="742">
        <v>10000</v>
      </c>
      <c r="E54" s="742">
        <v>8500</v>
      </c>
      <c r="F54" s="742">
        <v>8500</v>
      </c>
      <c r="G54" s="743">
        <f t="shared" si="3"/>
        <v>1</v>
      </c>
      <c r="H54" s="495" t="s">
        <v>662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709" customFormat="1" ht="42" customHeight="1">
      <c r="A55" s="737"/>
      <c r="B55" s="737"/>
      <c r="C55" s="510" t="s">
        <v>663</v>
      </c>
      <c r="D55" s="764">
        <v>15000</v>
      </c>
      <c r="E55" s="764">
        <v>15000</v>
      </c>
      <c r="F55" s="764">
        <v>12500</v>
      </c>
      <c r="G55" s="746">
        <f t="shared" si="3"/>
        <v>0.8333333333333334</v>
      </c>
      <c r="H55" s="510" t="s">
        <v>664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709" customFormat="1" ht="24" customHeight="1">
      <c r="A56" s="737"/>
      <c r="B56" s="737"/>
      <c r="C56" s="1371" t="s">
        <v>665</v>
      </c>
      <c r="D56" s="764">
        <v>20000</v>
      </c>
      <c r="E56" s="764">
        <v>18000</v>
      </c>
      <c r="F56" s="764">
        <v>18000</v>
      </c>
      <c r="G56" s="746">
        <f t="shared" si="3"/>
        <v>1</v>
      </c>
      <c r="H56" s="510" t="s">
        <v>666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709" customFormat="1" ht="39" customHeight="1">
      <c r="A57" s="737"/>
      <c r="B57" s="737"/>
      <c r="C57" s="1109" t="s">
        <v>667</v>
      </c>
      <c r="D57" s="610">
        <v>10000</v>
      </c>
      <c r="E57" s="610">
        <v>10000</v>
      </c>
      <c r="F57" s="610">
        <v>9995</v>
      </c>
      <c r="G57" s="746">
        <f t="shared" si="3"/>
        <v>0.9995</v>
      </c>
      <c r="H57" s="510" t="s">
        <v>666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709" customFormat="1" ht="21.75" customHeight="1">
      <c r="A58" s="719">
        <v>852</v>
      </c>
      <c r="B58" s="719"/>
      <c r="C58" s="183" t="s">
        <v>463</v>
      </c>
      <c r="D58" s="225">
        <f>D59+D62+D64+D68</f>
        <v>3034000</v>
      </c>
      <c r="E58" s="225">
        <f>E59+E62+E64+E68</f>
        <v>3684800</v>
      </c>
      <c r="F58" s="225">
        <f>F59+F62+F64+F68</f>
        <v>3015850</v>
      </c>
      <c r="G58" s="226">
        <f t="shared" si="3"/>
        <v>0.818456904038211</v>
      </c>
      <c r="H58" s="225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725" customFormat="1" ht="19.5" customHeight="1">
      <c r="A59" s="231"/>
      <c r="B59" s="722">
        <v>85201</v>
      </c>
      <c r="C59" s="722" t="s">
        <v>668</v>
      </c>
      <c r="D59" s="723">
        <f>D60</f>
        <v>1500000</v>
      </c>
      <c r="E59" s="723">
        <f>E60+E61</f>
        <v>1510800</v>
      </c>
      <c r="F59" s="723">
        <f>F60+F61</f>
        <v>1510800</v>
      </c>
      <c r="G59" s="724">
        <f t="shared" si="3"/>
        <v>1</v>
      </c>
      <c r="H59" s="72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725" customFormat="1" ht="38.25" customHeight="1">
      <c r="A60" s="231"/>
      <c r="B60" s="1372"/>
      <c r="C60" s="494" t="s">
        <v>669</v>
      </c>
      <c r="D60" s="586">
        <f>700000+800000</f>
        <v>1500000</v>
      </c>
      <c r="E60" s="586">
        <v>1488800</v>
      </c>
      <c r="F60" s="586">
        <v>1488800</v>
      </c>
      <c r="G60" s="587">
        <f t="shared" si="3"/>
        <v>1</v>
      </c>
      <c r="H60" s="494" t="s">
        <v>670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725" customFormat="1" ht="25.5" customHeight="1">
      <c r="A61" s="231"/>
      <c r="B61" s="232"/>
      <c r="C61" s="495" t="s">
        <v>234</v>
      </c>
      <c r="D61" s="742"/>
      <c r="E61" s="742">
        <v>22000</v>
      </c>
      <c r="F61" s="742">
        <v>22000</v>
      </c>
      <c r="G61" s="743">
        <f t="shared" si="3"/>
        <v>1</v>
      </c>
      <c r="H61" s="495" t="s">
        <v>671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725" customFormat="1" ht="19.5" customHeight="1">
      <c r="A62" s="231"/>
      <c r="B62" s="232">
        <v>85202</v>
      </c>
      <c r="C62" s="506" t="s">
        <v>352</v>
      </c>
      <c r="D62" s="744">
        <f>D63</f>
        <v>320000</v>
      </c>
      <c r="E62" s="744">
        <f>E63</f>
        <v>320000</v>
      </c>
      <c r="F62" s="744">
        <f>F63</f>
        <v>320000</v>
      </c>
      <c r="G62" s="745">
        <f t="shared" si="3"/>
        <v>1</v>
      </c>
      <c r="H62" s="506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725" customFormat="1" ht="27.75" customHeight="1">
      <c r="A63" s="231"/>
      <c r="B63" s="232"/>
      <c r="C63" s="495" t="s">
        <v>672</v>
      </c>
      <c r="D63" s="742">
        <v>320000</v>
      </c>
      <c r="E63" s="742">
        <v>320000</v>
      </c>
      <c r="F63" s="742">
        <v>320000</v>
      </c>
      <c r="G63" s="743">
        <f t="shared" si="3"/>
        <v>1</v>
      </c>
      <c r="H63" s="414" t="s">
        <v>673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725" customFormat="1" ht="20.25" customHeight="1">
      <c r="A64" s="231"/>
      <c r="B64" s="232">
        <v>85203</v>
      </c>
      <c r="C64" s="506" t="s">
        <v>433</v>
      </c>
      <c r="D64" s="744">
        <f>D65</f>
        <v>384000</v>
      </c>
      <c r="E64" s="744">
        <f>E65+E66+E67</f>
        <v>1024000</v>
      </c>
      <c r="F64" s="744">
        <f>F65+F66+F67</f>
        <v>424000</v>
      </c>
      <c r="G64" s="745">
        <f t="shared" si="3"/>
        <v>0.4140625</v>
      </c>
      <c r="H64" s="387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725" customFormat="1" ht="25.5" customHeight="1">
      <c r="A65" s="231"/>
      <c r="B65" s="1372"/>
      <c r="C65" s="494" t="s">
        <v>674</v>
      </c>
      <c r="D65" s="586">
        <v>384000</v>
      </c>
      <c r="E65" s="586">
        <v>424000</v>
      </c>
      <c r="F65" s="586">
        <v>424000</v>
      </c>
      <c r="G65" s="587">
        <f t="shared" si="3"/>
        <v>1</v>
      </c>
      <c r="H65" s="494" t="s">
        <v>675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725" customFormat="1" ht="28.5" customHeight="1">
      <c r="A66" s="231"/>
      <c r="B66" s="231"/>
      <c r="C66" s="510" t="s">
        <v>676</v>
      </c>
      <c r="D66" s="764"/>
      <c r="E66" s="764">
        <v>300000</v>
      </c>
      <c r="F66" s="764"/>
      <c r="G66" s="746"/>
      <c r="H66" s="510" t="s">
        <v>677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725" customFormat="1" ht="27" customHeight="1">
      <c r="A67" s="231"/>
      <c r="B67" s="232"/>
      <c r="C67" s="495" t="s">
        <v>238</v>
      </c>
      <c r="D67" s="742"/>
      <c r="E67" s="742">
        <v>300000</v>
      </c>
      <c r="F67" s="742"/>
      <c r="G67" s="743"/>
      <c r="H67" s="495" t="s">
        <v>678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725" customFormat="1" ht="21" customHeight="1">
      <c r="A68" s="231"/>
      <c r="B68" s="232">
        <v>85295</v>
      </c>
      <c r="C68" s="506" t="s">
        <v>966</v>
      </c>
      <c r="D68" s="744">
        <f>SUM(D69:D71)</f>
        <v>830000</v>
      </c>
      <c r="E68" s="744">
        <f>SUM(E69:E71)</f>
        <v>830000</v>
      </c>
      <c r="F68" s="744">
        <f>SUM(F69:F71)</f>
        <v>761050</v>
      </c>
      <c r="G68" s="745">
        <f aca="true" t="shared" si="4" ref="G68:G93">F68/E68</f>
        <v>0.9169277108433735</v>
      </c>
      <c r="H68" s="506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725" customFormat="1" ht="42" customHeight="1">
      <c r="A69" s="231"/>
      <c r="B69" s="231"/>
      <c r="C69" s="494" t="s">
        <v>679</v>
      </c>
      <c r="D69" s="586">
        <f>180000+550000</f>
        <v>730000</v>
      </c>
      <c r="E69" s="586">
        <v>730000</v>
      </c>
      <c r="F69" s="586">
        <v>673550</v>
      </c>
      <c r="G69" s="587">
        <f t="shared" si="4"/>
        <v>0.9226712328767124</v>
      </c>
      <c r="H69" s="494" t="s">
        <v>680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s="725" customFormat="1" ht="40.5" customHeight="1">
      <c r="A70" s="231"/>
      <c r="B70" s="231"/>
      <c r="C70" s="510" t="s">
        <v>681</v>
      </c>
      <c r="D70" s="764">
        <f>50000</f>
        <v>50000</v>
      </c>
      <c r="E70" s="764">
        <v>50000</v>
      </c>
      <c r="F70" s="764">
        <v>42000</v>
      </c>
      <c r="G70" s="746">
        <f t="shared" si="4"/>
        <v>0.84</v>
      </c>
      <c r="H70" s="510" t="s">
        <v>682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s="725" customFormat="1" ht="23.25" customHeight="1">
      <c r="A71" s="232"/>
      <c r="B71" s="232"/>
      <c r="C71" s="495" t="s">
        <v>683</v>
      </c>
      <c r="D71" s="742">
        <v>50000</v>
      </c>
      <c r="E71" s="742">
        <v>50000</v>
      </c>
      <c r="F71" s="742">
        <v>45500</v>
      </c>
      <c r="G71" s="743">
        <f t="shared" si="4"/>
        <v>0.91</v>
      </c>
      <c r="H71" s="495" t="s">
        <v>684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709" customFormat="1" ht="20.25" customHeight="1">
      <c r="A72" s="720">
        <v>854</v>
      </c>
      <c r="B72" s="720"/>
      <c r="C72" s="105" t="s">
        <v>396</v>
      </c>
      <c r="D72" s="601">
        <f>D73+D75+D77</f>
        <v>1332000</v>
      </c>
      <c r="E72" s="601">
        <f>E73+E75+E77</f>
        <v>1360465</v>
      </c>
      <c r="F72" s="601">
        <f>F73+F75+F77</f>
        <v>1345720</v>
      </c>
      <c r="G72" s="572">
        <f t="shared" si="4"/>
        <v>0.9891617939454524</v>
      </c>
      <c r="H72" s="105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709" customFormat="1" ht="19.5" customHeight="1">
      <c r="A73" s="814"/>
      <c r="B73" s="837">
        <v>85403</v>
      </c>
      <c r="C73" s="40" t="s">
        <v>404</v>
      </c>
      <c r="D73" s="581">
        <f>D74</f>
        <v>628000</v>
      </c>
      <c r="E73" s="581">
        <f>E74</f>
        <v>682000</v>
      </c>
      <c r="F73" s="581">
        <f>F74</f>
        <v>676716</v>
      </c>
      <c r="G73" s="582">
        <f t="shared" si="4"/>
        <v>0.9922521994134897</v>
      </c>
      <c r="H73" s="4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564" customFormat="1" ht="38.25" customHeight="1">
      <c r="A74" s="824"/>
      <c r="B74" s="847"/>
      <c r="C74" s="476" t="s">
        <v>685</v>
      </c>
      <c r="D74" s="44">
        <f>580000+48000</f>
        <v>628000</v>
      </c>
      <c r="E74" s="44">
        <v>682000</v>
      </c>
      <c r="F74" s="44">
        <v>676716</v>
      </c>
      <c r="G74" s="360">
        <f t="shared" si="4"/>
        <v>0.9922521994134897</v>
      </c>
      <c r="H74" s="476" t="s">
        <v>686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725" customFormat="1" ht="18" customHeight="1">
      <c r="A75" s="231"/>
      <c r="B75" s="232">
        <v>85410</v>
      </c>
      <c r="C75" s="506" t="s">
        <v>405</v>
      </c>
      <c r="D75" s="744">
        <f>D76</f>
        <v>564000</v>
      </c>
      <c r="E75" s="744">
        <f>E76</f>
        <v>538465</v>
      </c>
      <c r="F75" s="744">
        <f>F76</f>
        <v>536550</v>
      </c>
      <c r="G75" s="745">
        <f t="shared" si="4"/>
        <v>0.9964435942911796</v>
      </c>
      <c r="H75" s="232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s="564" customFormat="1" ht="39" customHeight="1">
      <c r="A76" s="737"/>
      <c r="B76" s="747"/>
      <c r="C76" s="414" t="s">
        <v>45</v>
      </c>
      <c r="D76" s="727">
        <f>550000+14000</f>
        <v>564000</v>
      </c>
      <c r="E76" s="727">
        <v>538465</v>
      </c>
      <c r="F76" s="727">
        <v>536550</v>
      </c>
      <c r="G76" s="728">
        <f t="shared" si="4"/>
        <v>0.9964435942911796</v>
      </c>
      <c r="H76" s="414" t="s">
        <v>687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s="725" customFormat="1" ht="38.25" customHeight="1">
      <c r="A77" s="231"/>
      <c r="B77" s="78">
        <v>85412</v>
      </c>
      <c r="C77" s="506" t="s">
        <v>688</v>
      </c>
      <c r="D77" s="169">
        <f>SUM(D78:D79)</f>
        <v>140000</v>
      </c>
      <c r="E77" s="169">
        <f>SUM(E78:E79)</f>
        <v>140000</v>
      </c>
      <c r="F77" s="169">
        <f>SUM(F78:F79)</f>
        <v>132454</v>
      </c>
      <c r="G77" s="170">
        <f t="shared" si="4"/>
        <v>0.9461</v>
      </c>
      <c r="H77" s="232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620" customFormat="1" ht="39" customHeight="1">
      <c r="A78" s="231"/>
      <c r="B78" s="563"/>
      <c r="C78" s="494" t="s">
        <v>689</v>
      </c>
      <c r="D78" s="1373">
        <v>110000</v>
      </c>
      <c r="E78" s="1373">
        <v>110000</v>
      </c>
      <c r="F78" s="1373">
        <v>103704</v>
      </c>
      <c r="G78" s="1374">
        <f t="shared" si="4"/>
        <v>0.9427636363636364</v>
      </c>
      <c r="H78" s="494" t="s">
        <v>690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1352"/>
      <c r="AG78" s="1352"/>
      <c r="AH78" s="1352"/>
      <c r="AI78" s="1352"/>
      <c r="AJ78" s="1352"/>
      <c r="AK78" s="1352"/>
    </row>
    <row r="79" spans="1:37" s="709" customFormat="1" ht="38.25" customHeight="1">
      <c r="A79" s="741"/>
      <c r="B79" s="741"/>
      <c r="C79" s="495" t="s">
        <v>691</v>
      </c>
      <c r="D79" s="742">
        <v>30000</v>
      </c>
      <c r="E79" s="742">
        <v>30000</v>
      </c>
      <c r="F79" s="742">
        <v>28750</v>
      </c>
      <c r="G79" s="743">
        <f t="shared" si="4"/>
        <v>0.9583333333333334</v>
      </c>
      <c r="H79" s="495" t="s">
        <v>692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709" customFormat="1" ht="22.5" customHeight="1">
      <c r="A80" s="720">
        <v>900</v>
      </c>
      <c r="B80" s="720"/>
      <c r="C80" s="105" t="s">
        <v>384</v>
      </c>
      <c r="D80" s="601"/>
      <c r="E80" s="601">
        <f>E81</f>
        <v>6000</v>
      </c>
      <c r="F80" s="601">
        <f>F81</f>
        <v>6000</v>
      </c>
      <c r="G80" s="572">
        <f t="shared" si="4"/>
        <v>1</v>
      </c>
      <c r="H80" s="10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709" customFormat="1" ht="24.75" customHeight="1">
      <c r="A81" s="814"/>
      <c r="B81" s="837">
        <v>90008</v>
      </c>
      <c r="C81" s="40" t="s">
        <v>693</v>
      </c>
      <c r="D81" s="581"/>
      <c r="E81" s="581">
        <f>E82</f>
        <v>6000</v>
      </c>
      <c r="F81" s="581">
        <f>F82</f>
        <v>6000</v>
      </c>
      <c r="G81" s="582">
        <f t="shared" si="4"/>
        <v>1</v>
      </c>
      <c r="H81" s="40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709" customFormat="1" ht="41.25" customHeight="1">
      <c r="A82" s="741"/>
      <c r="B82" s="741"/>
      <c r="C82" s="495" t="s">
        <v>694</v>
      </c>
      <c r="D82" s="742"/>
      <c r="E82" s="742">
        <v>6000</v>
      </c>
      <c r="F82" s="742">
        <v>6000</v>
      </c>
      <c r="G82" s="743">
        <f t="shared" si="4"/>
        <v>1</v>
      </c>
      <c r="H82" s="495" t="s">
        <v>695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709" customFormat="1" ht="21.75" customHeight="1">
      <c r="A83" s="720">
        <v>921</v>
      </c>
      <c r="B83" s="720"/>
      <c r="C83" s="105" t="s">
        <v>512</v>
      </c>
      <c r="D83" s="220">
        <f>D84</f>
        <v>669000</v>
      </c>
      <c r="E83" s="220">
        <f>E84</f>
        <v>669000</v>
      </c>
      <c r="F83" s="220">
        <f>F84</f>
        <v>658104</v>
      </c>
      <c r="G83" s="178">
        <f t="shared" si="4"/>
        <v>0.983713004484305</v>
      </c>
      <c r="H83" s="22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709" customFormat="1" ht="20.25" customHeight="1">
      <c r="A84" s="737"/>
      <c r="B84" s="232">
        <v>92105</v>
      </c>
      <c r="C84" s="506" t="s">
        <v>498</v>
      </c>
      <c r="D84" s="207">
        <f>SUM(D85:D88)</f>
        <v>669000</v>
      </c>
      <c r="E84" s="207">
        <f>SUM(E85:E88)</f>
        <v>669000</v>
      </c>
      <c r="F84" s="207">
        <f>SUM(F85:F88)</f>
        <v>658104</v>
      </c>
      <c r="G84" s="195">
        <f t="shared" si="4"/>
        <v>0.983713004484305</v>
      </c>
      <c r="H84" s="74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565" customFormat="1" ht="27" customHeight="1">
      <c r="A85" s="737"/>
      <c r="B85" s="737"/>
      <c r="C85" s="494" t="s">
        <v>696</v>
      </c>
      <c r="D85" s="586">
        <f>370000+50000-12000</f>
        <v>408000</v>
      </c>
      <c r="E85" s="586">
        <v>408000</v>
      </c>
      <c r="F85" s="586">
        <v>399878</v>
      </c>
      <c r="G85" s="587">
        <f t="shared" si="4"/>
        <v>0.980093137254902</v>
      </c>
      <c r="H85" s="15" t="s">
        <v>697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565" customFormat="1" ht="24.75" customHeight="1">
      <c r="A86" s="737"/>
      <c r="B86" s="737"/>
      <c r="C86" s="765" t="s">
        <v>698</v>
      </c>
      <c r="D86" s="610">
        <v>130000</v>
      </c>
      <c r="E86" s="610">
        <v>130000</v>
      </c>
      <c r="F86" s="610">
        <v>129726</v>
      </c>
      <c r="G86" s="611">
        <f t="shared" si="4"/>
        <v>0.9978923076923077</v>
      </c>
      <c r="H86" s="1375" t="s">
        <v>697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709" customFormat="1" ht="27" customHeight="1">
      <c r="A87" s="737"/>
      <c r="B87" s="737"/>
      <c r="C87" s="510" t="s">
        <v>699</v>
      </c>
      <c r="D87" s="764">
        <v>100000</v>
      </c>
      <c r="E87" s="764">
        <v>100000</v>
      </c>
      <c r="F87" s="764">
        <v>99000</v>
      </c>
      <c r="G87" s="746">
        <f t="shared" si="4"/>
        <v>0.99</v>
      </c>
      <c r="H87" s="24" t="s">
        <v>697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709" customFormat="1" ht="24.75" customHeight="1">
      <c r="A88" s="741"/>
      <c r="B88" s="741"/>
      <c r="C88" s="495" t="s">
        <v>700</v>
      </c>
      <c r="D88" s="742">
        <f>30000+1000</f>
        <v>31000</v>
      </c>
      <c r="E88" s="742">
        <v>31000</v>
      </c>
      <c r="F88" s="742">
        <v>29500</v>
      </c>
      <c r="G88" s="743">
        <f t="shared" si="4"/>
        <v>0.9516129032258065</v>
      </c>
      <c r="H88" s="25" t="s">
        <v>697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709" customFormat="1" ht="19.5" customHeight="1">
      <c r="A89" s="719">
        <v>926</v>
      </c>
      <c r="B89" s="719"/>
      <c r="C89" s="183" t="s">
        <v>411</v>
      </c>
      <c r="D89" s="225">
        <f>D90+D92</f>
        <v>1001000</v>
      </c>
      <c r="E89" s="225">
        <f>E90+E92</f>
        <v>1001000</v>
      </c>
      <c r="F89" s="225">
        <f>F90+F92</f>
        <v>1001000</v>
      </c>
      <c r="G89" s="226">
        <f t="shared" si="4"/>
        <v>1</v>
      </c>
      <c r="H89" s="183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709" customFormat="1" ht="21.75" customHeight="1">
      <c r="A90" s="737"/>
      <c r="B90" s="722">
        <v>92601</v>
      </c>
      <c r="C90" s="722" t="s">
        <v>412</v>
      </c>
      <c r="D90" s="723">
        <f>D91</f>
        <v>206000</v>
      </c>
      <c r="E90" s="723">
        <f>E91</f>
        <v>206000</v>
      </c>
      <c r="F90" s="723">
        <f>F91</f>
        <v>206000</v>
      </c>
      <c r="G90" s="724">
        <f t="shared" si="4"/>
        <v>1</v>
      </c>
      <c r="H90" s="722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709" customFormat="1" ht="27" customHeight="1">
      <c r="A91" s="737"/>
      <c r="B91" s="747"/>
      <c r="C91" s="414" t="s">
        <v>96</v>
      </c>
      <c r="D91" s="727">
        <v>206000</v>
      </c>
      <c r="E91" s="727">
        <v>206000</v>
      </c>
      <c r="F91" s="727">
        <v>206000</v>
      </c>
      <c r="G91" s="728">
        <f t="shared" si="4"/>
        <v>1</v>
      </c>
      <c r="H91" s="414" t="s">
        <v>701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s="709" customFormat="1" ht="19.5" customHeight="1">
      <c r="A92" s="737"/>
      <c r="B92" s="722">
        <v>92605</v>
      </c>
      <c r="C92" s="387" t="s">
        <v>99</v>
      </c>
      <c r="D92" s="723">
        <f>D93</f>
        <v>795000</v>
      </c>
      <c r="E92" s="723">
        <f>E93</f>
        <v>795000</v>
      </c>
      <c r="F92" s="723">
        <f>F93</f>
        <v>795000</v>
      </c>
      <c r="G92" s="724">
        <f t="shared" si="4"/>
        <v>1</v>
      </c>
      <c r="H92" s="72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s="709" customFormat="1" ht="23.25" customHeight="1">
      <c r="A93" s="741"/>
      <c r="B93" s="747"/>
      <c r="C93" s="747" t="s">
        <v>702</v>
      </c>
      <c r="D93" s="727">
        <f>695000+100000</f>
        <v>795000</v>
      </c>
      <c r="E93" s="727">
        <v>795000</v>
      </c>
      <c r="F93" s="727">
        <v>795000</v>
      </c>
      <c r="G93" s="728">
        <f t="shared" si="4"/>
        <v>1</v>
      </c>
      <c r="H93" s="414" t="s">
        <v>703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ht="20.25" customHeight="1"/>
    <row r="95" ht="20.25" customHeight="1"/>
    <row r="96" spans="1:37" s="725" customFormat="1" ht="29.25" customHeight="1" thickBot="1">
      <c r="A96" s="231"/>
      <c r="B96" s="231"/>
      <c r="C96" s="507" t="s">
        <v>704</v>
      </c>
      <c r="D96" s="829"/>
      <c r="E96" s="829">
        <f>E97+E100</f>
        <v>109960</v>
      </c>
      <c r="F96" s="829">
        <f>F97+F100</f>
        <v>109956</v>
      </c>
      <c r="G96" s="830">
        <v>0.9999</v>
      </c>
      <c r="H96" s="833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s="709" customFormat="1" ht="18.75" customHeight="1" thickTop="1">
      <c r="A97" s="719">
        <v>801</v>
      </c>
      <c r="B97" s="719"/>
      <c r="C97" s="105" t="s">
        <v>347</v>
      </c>
      <c r="D97" s="220"/>
      <c r="E97" s="220">
        <f>E98</f>
        <v>100000</v>
      </c>
      <c r="F97" s="220">
        <f>F98</f>
        <v>100000</v>
      </c>
      <c r="G97" s="178">
        <f aca="true" t="shared" si="5" ref="G97:G113">F97/E97</f>
        <v>1</v>
      </c>
      <c r="H97" s="183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1" s="725" customFormat="1" ht="18.75" customHeight="1">
      <c r="A98" s="231"/>
      <c r="B98" s="722">
        <v>80104</v>
      </c>
      <c r="C98" s="722" t="s">
        <v>311</v>
      </c>
      <c r="D98" s="723"/>
      <c r="E98" s="723">
        <f>E99</f>
        <v>100000</v>
      </c>
      <c r="F98" s="723">
        <f>F99</f>
        <v>100000</v>
      </c>
      <c r="G98" s="724">
        <f t="shared" si="5"/>
        <v>1</v>
      </c>
      <c r="H98" s="387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7" s="709" customFormat="1" ht="40.5" customHeight="1">
      <c r="A99" s="741"/>
      <c r="B99" s="747"/>
      <c r="C99" s="414" t="s">
        <v>705</v>
      </c>
      <c r="D99" s="727"/>
      <c r="E99" s="727">
        <v>100000</v>
      </c>
      <c r="F99" s="727">
        <v>100000</v>
      </c>
      <c r="G99" s="728">
        <f t="shared" si="5"/>
        <v>1</v>
      </c>
      <c r="H99" s="414" t="s">
        <v>706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s="709" customFormat="1" ht="18.75" customHeight="1">
      <c r="A100" s="720">
        <v>854</v>
      </c>
      <c r="B100" s="720"/>
      <c r="C100" s="105" t="s">
        <v>396</v>
      </c>
      <c r="D100" s="220"/>
      <c r="E100" s="220">
        <f>E101</f>
        <v>9960</v>
      </c>
      <c r="F100" s="220">
        <f>F101</f>
        <v>9956</v>
      </c>
      <c r="G100" s="178">
        <f t="shared" si="5"/>
        <v>0.9995983935742971</v>
      </c>
      <c r="H100" s="105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1" s="725" customFormat="1" ht="18.75" customHeight="1">
      <c r="A101" s="231"/>
      <c r="B101" s="722">
        <v>85415</v>
      </c>
      <c r="C101" s="722" t="s">
        <v>424</v>
      </c>
      <c r="D101" s="723"/>
      <c r="E101" s="723">
        <f>E102</f>
        <v>9960</v>
      </c>
      <c r="F101" s="723">
        <f>F102</f>
        <v>9956</v>
      </c>
      <c r="G101" s="724">
        <f t="shared" si="5"/>
        <v>0.9995983935742971</v>
      </c>
      <c r="H101" s="387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7" s="709" customFormat="1" ht="39.75" customHeight="1">
      <c r="A102" s="737"/>
      <c r="B102" s="747"/>
      <c r="C102" s="414" t="s">
        <v>707</v>
      </c>
      <c r="D102" s="727"/>
      <c r="E102" s="727">
        <v>9960</v>
      </c>
      <c r="F102" s="727">
        <v>9956</v>
      </c>
      <c r="G102" s="728">
        <f t="shared" si="5"/>
        <v>0.9995983935742971</v>
      </c>
      <c r="H102" s="414" t="s">
        <v>708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s="725" customFormat="1" ht="18.75" customHeight="1" thickBot="1">
      <c r="A103" s="231"/>
      <c r="B103" s="231"/>
      <c r="C103" s="507" t="s">
        <v>533</v>
      </c>
      <c r="D103" s="829">
        <f aca="true" t="shared" si="6" ref="D103:F104">D104</f>
        <v>238000</v>
      </c>
      <c r="E103" s="829">
        <f t="shared" si="6"/>
        <v>238000</v>
      </c>
      <c r="F103" s="829">
        <f t="shared" si="6"/>
        <v>238000</v>
      </c>
      <c r="G103" s="830">
        <f t="shared" si="5"/>
        <v>1</v>
      </c>
      <c r="H103" s="83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s="709" customFormat="1" ht="18.75" customHeight="1" thickTop="1">
      <c r="A104" s="719">
        <v>852</v>
      </c>
      <c r="B104" s="719"/>
      <c r="C104" s="105" t="s">
        <v>463</v>
      </c>
      <c r="D104" s="220">
        <f t="shared" si="6"/>
        <v>238000</v>
      </c>
      <c r="E104" s="220">
        <f t="shared" si="6"/>
        <v>238000</v>
      </c>
      <c r="F104" s="220">
        <f t="shared" si="6"/>
        <v>238000</v>
      </c>
      <c r="G104" s="178">
        <f t="shared" si="5"/>
        <v>1</v>
      </c>
      <c r="H104" s="183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s="725" customFormat="1" ht="17.25" customHeight="1">
      <c r="A105" s="231"/>
      <c r="B105" s="232">
        <v>85203</v>
      </c>
      <c r="C105" s="506" t="s">
        <v>433</v>
      </c>
      <c r="D105" s="744">
        <f>SUM(D106:D106)</f>
        <v>238000</v>
      </c>
      <c r="E105" s="744">
        <f>SUM(E106:E106)</f>
        <v>238000</v>
      </c>
      <c r="F105" s="744">
        <f>SUM(F106:F106)</f>
        <v>238000</v>
      </c>
      <c r="G105" s="745">
        <f t="shared" si="5"/>
        <v>1</v>
      </c>
      <c r="H105" s="387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s="709" customFormat="1" ht="27.75" customHeight="1">
      <c r="A106" s="737"/>
      <c r="B106" s="737"/>
      <c r="C106" s="414" t="s">
        <v>709</v>
      </c>
      <c r="D106" s="727">
        <v>238000</v>
      </c>
      <c r="E106" s="727">
        <v>238000</v>
      </c>
      <c r="F106" s="727">
        <v>238000</v>
      </c>
      <c r="G106" s="728">
        <f t="shared" si="5"/>
        <v>1</v>
      </c>
      <c r="H106" s="414" t="s">
        <v>710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s="725" customFormat="1" ht="27.75" customHeight="1" thickBot="1">
      <c r="A107" s="231"/>
      <c r="B107" s="231"/>
      <c r="C107" s="507" t="s">
        <v>534</v>
      </c>
      <c r="D107" s="829">
        <f aca="true" t="shared" si="7" ref="D107:F108">D108</f>
        <v>1967000</v>
      </c>
      <c r="E107" s="829">
        <f t="shared" si="7"/>
        <v>2044000</v>
      </c>
      <c r="F107" s="829">
        <f t="shared" si="7"/>
        <v>2044000</v>
      </c>
      <c r="G107" s="830">
        <f t="shared" si="5"/>
        <v>1</v>
      </c>
      <c r="H107" s="833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s="709" customFormat="1" ht="21" customHeight="1" thickTop="1">
      <c r="A108" s="719">
        <v>852</v>
      </c>
      <c r="B108" s="719"/>
      <c r="C108" s="105" t="s">
        <v>463</v>
      </c>
      <c r="D108" s="220">
        <f t="shared" si="7"/>
        <v>1967000</v>
      </c>
      <c r="E108" s="220">
        <f t="shared" si="7"/>
        <v>2044000</v>
      </c>
      <c r="F108" s="220">
        <f t="shared" si="7"/>
        <v>2044000</v>
      </c>
      <c r="G108" s="178">
        <f t="shared" si="5"/>
        <v>1</v>
      </c>
      <c r="H108" s="183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s="725" customFormat="1" ht="20.25" customHeight="1">
      <c r="A109" s="231"/>
      <c r="B109" s="232">
        <v>85203</v>
      </c>
      <c r="C109" s="506" t="s">
        <v>433</v>
      </c>
      <c r="D109" s="744">
        <f>SUM(D110:D111)</f>
        <v>1967000</v>
      </c>
      <c r="E109" s="744">
        <f>E110+E111+E112+E113</f>
        <v>2044000</v>
      </c>
      <c r="F109" s="744">
        <f>F110+F111+F112+F113</f>
        <v>2044000</v>
      </c>
      <c r="G109" s="745">
        <f t="shared" si="5"/>
        <v>1</v>
      </c>
      <c r="H109" s="387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s="709" customFormat="1" ht="30.75" customHeight="1">
      <c r="A110" s="737"/>
      <c r="B110" s="737"/>
      <c r="C110" s="494" t="s">
        <v>711</v>
      </c>
      <c r="D110" s="586">
        <v>750000</v>
      </c>
      <c r="E110" s="586">
        <v>750000</v>
      </c>
      <c r="F110" s="586">
        <v>750000</v>
      </c>
      <c r="G110" s="587">
        <f t="shared" si="5"/>
        <v>1</v>
      </c>
      <c r="H110" s="739" t="s">
        <v>712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s="709" customFormat="1" ht="42" customHeight="1">
      <c r="A111" s="737"/>
      <c r="B111" s="737"/>
      <c r="C111" s="765" t="s">
        <v>713</v>
      </c>
      <c r="D111" s="610">
        <v>1217000</v>
      </c>
      <c r="E111" s="610">
        <v>1217000</v>
      </c>
      <c r="F111" s="610">
        <v>1217000</v>
      </c>
      <c r="G111" s="611">
        <f t="shared" si="5"/>
        <v>1</v>
      </c>
      <c r="H111" s="740" t="s">
        <v>712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s="709" customFormat="1" ht="27.75" customHeight="1">
      <c r="A112" s="737"/>
      <c r="B112" s="737"/>
      <c r="C112" s="510" t="s">
        <v>714</v>
      </c>
      <c r="D112" s="764"/>
      <c r="E112" s="764">
        <v>27000</v>
      </c>
      <c r="F112" s="764">
        <v>27000</v>
      </c>
      <c r="G112" s="746">
        <f t="shared" si="5"/>
        <v>1</v>
      </c>
      <c r="H112" s="781" t="s">
        <v>715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s="709" customFormat="1" ht="30" customHeight="1">
      <c r="A113" s="741"/>
      <c r="B113" s="741"/>
      <c r="C113" s="495" t="s">
        <v>716</v>
      </c>
      <c r="D113" s="742"/>
      <c r="E113" s="742">
        <v>50000</v>
      </c>
      <c r="F113" s="742">
        <v>50000</v>
      </c>
      <c r="G113" s="743">
        <f t="shared" si="5"/>
        <v>1</v>
      </c>
      <c r="H113" s="741" t="s">
        <v>717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6" ht="14.25">
      <c r="G116" s="375" t="s">
        <v>330</v>
      </c>
    </row>
    <row r="117" ht="14.25">
      <c r="G117" s="694" t="s">
        <v>331</v>
      </c>
    </row>
  </sheetData>
  <printOptions horizontalCentered="1"/>
  <pageMargins left="0.5905511811023623" right="0.54" top="0.6692913385826772" bottom="0.43" header="0.5118110236220472" footer="0.24"/>
  <pageSetup firstPageNumber="65" useFirstPageNumber="1" horizontalDpi="600" verticalDpi="600" orientation="landscape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41"/>
  <sheetViews>
    <sheetView workbookViewId="0" topLeftCell="A1">
      <selection activeCell="A1" sqref="A1:C1"/>
    </sheetView>
  </sheetViews>
  <sheetFormatPr defaultColWidth="9.00390625" defaultRowHeight="12.75"/>
  <cols>
    <col min="1" max="1" width="7.00390625" style="1429" customWidth="1"/>
    <col min="2" max="2" width="9.00390625" style="1429" customWidth="1"/>
    <col min="3" max="3" width="43.875" style="1429" customWidth="1"/>
    <col min="4" max="5" width="0.12890625" style="1429" hidden="1" customWidth="1"/>
    <col min="6" max="6" width="20.00390625" style="1430" customWidth="1"/>
    <col min="7" max="7" width="14.00390625" style="1429" hidden="1" customWidth="1"/>
    <col min="8" max="8" width="20.00390625" style="1430" customWidth="1"/>
    <col min="9" max="9" width="22.875" style="1430" customWidth="1"/>
    <col min="10" max="10" width="13.25390625" style="1430" customWidth="1"/>
    <col min="11" max="11" width="22.25390625" style="0" customWidth="1"/>
    <col min="12" max="16" width="14.125" style="0" hidden="1" customWidth="1"/>
    <col min="17" max="17" width="14.125" style="0" customWidth="1"/>
  </cols>
  <sheetData>
    <row r="1" spans="1:64" s="848" customFormat="1" ht="18" customHeight="1">
      <c r="A1" s="1814"/>
      <c r="B1" s="1815"/>
      <c r="C1" s="1815"/>
      <c r="D1" s="1378"/>
      <c r="E1" s="1378"/>
      <c r="F1" s="1379"/>
      <c r="G1" s="1380"/>
      <c r="H1" s="1379"/>
      <c r="I1" s="1381" t="s">
        <v>719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848" customFormat="1" ht="16.5" customHeight="1">
      <c r="A2" s="1382" t="s">
        <v>720</v>
      </c>
      <c r="B2" s="1377"/>
      <c r="C2" s="1377"/>
      <c r="D2" s="1378"/>
      <c r="E2" s="1378"/>
      <c r="F2" s="1379"/>
      <c r="G2" s="1380"/>
      <c r="H2" s="1379"/>
      <c r="I2" s="1381" t="s">
        <v>873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s="848" customFormat="1" ht="15.75" customHeight="1">
      <c r="A3" s="1376"/>
      <c r="B3" s="1377"/>
      <c r="C3" s="1377"/>
      <c r="D3" s="1378"/>
      <c r="E3" s="1378"/>
      <c r="F3" s="1379"/>
      <c r="G3" s="1380"/>
      <c r="H3" s="1379"/>
      <c r="I3" s="1381" t="s">
        <v>884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s="848" customFormat="1" ht="15.75" customHeight="1">
      <c r="A4" s="1376"/>
      <c r="B4" s="1377"/>
      <c r="C4" s="1377"/>
      <c r="D4" s="1378"/>
      <c r="E4" s="1378"/>
      <c r="F4" s="1379"/>
      <c r="G4" s="1380"/>
      <c r="H4" s="1379"/>
      <c r="I4" s="1381" t="s">
        <v>874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s="1388" customFormat="1" ht="15" customHeight="1" thickBot="1">
      <c r="A5" s="1385"/>
      <c r="B5" s="1385"/>
      <c r="C5" s="1386"/>
      <c r="D5" s="1387"/>
      <c r="E5" s="1387"/>
      <c r="F5" s="1385"/>
      <c r="G5" s="1385" t="s">
        <v>450</v>
      </c>
      <c r="H5" s="1385"/>
      <c r="J5" s="1389" t="s">
        <v>450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10" s="709" customFormat="1" ht="46.5" customHeight="1" thickBot="1" thickTop="1">
      <c r="A6" s="1390" t="s">
        <v>964</v>
      </c>
      <c r="B6" s="1390" t="s">
        <v>529</v>
      </c>
      <c r="C6" s="1390" t="s">
        <v>145</v>
      </c>
      <c r="D6" s="1391" t="s">
        <v>721</v>
      </c>
      <c r="E6" s="1391"/>
      <c r="F6" s="1392" t="s">
        <v>278</v>
      </c>
      <c r="G6" s="1393" t="s">
        <v>722</v>
      </c>
      <c r="H6" s="1392" t="s">
        <v>723</v>
      </c>
      <c r="I6" s="1392" t="s">
        <v>882</v>
      </c>
      <c r="J6" s="1392" t="s">
        <v>281</v>
      </c>
    </row>
    <row r="7" spans="1:64" s="1395" customFormat="1" ht="13.5" customHeight="1" thickBot="1" thickTop="1">
      <c r="A7" s="1394">
        <v>1</v>
      </c>
      <c r="B7" s="1394">
        <v>2</v>
      </c>
      <c r="C7" s="702">
        <v>3</v>
      </c>
      <c r="D7" s="1394">
        <v>4</v>
      </c>
      <c r="E7" s="1394"/>
      <c r="F7" s="1394">
        <v>4</v>
      </c>
      <c r="G7" s="1394">
        <v>6</v>
      </c>
      <c r="H7" s="1394">
        <v>5</v>
      </c>
      <c r="I7" s="1394">
        <v>6</v>
      </c>
      <c r="J7" s="1394">
        <v>7</v>
      </c>
      <c r="K7" s="865"/>
      <c r="L7" s="865"/>
      <c r="M7" s="865"/>
      <c r="N7" s="865"/>
      <c r="O7" s="865"/>
      <c r="P7" s="865"/>
      <c r="Q7" s="865"/>
      <c r="R7" s="865"/>
      <c r="S7" s="865"/>
      <c r="T7" s="865"/>
      <c r="U7" s="865"/>
      <c r="V7" s="865"/>
      <c r="W7" s="865"/>
      <c r="X7" s="865"/>
      <c r="Y7" s="865"/>
      <c r="Z7" s="865"/>
      <c r="AA7" s="865"/>
      <c r="AB7" s="865"/>
      <c r="AC7" s="865"/>
      <c r="AD7" s="865"/>
      <c r="AE7" s="865"/>
      <c r="AF7" s="865"/>
      <c r="AG7" s="865"/>
      <c r="AH7" s="865"/>
      <c r="AI7" s="865"/>
      <c r="AJ7" s="865"/>
      <c r="AK7" s="865"/>
      <c r="AL7" s="865"/>
      <c r="AM7" s="865"/>
      <c r="AN7" s="865"/>
      <c r="AO7" s="865"/>
      <c r="AP7" s="865"/>
      <c r="AQ7" s="865"/>
      <c r="AR7" s="865"/>
      <c r="AS7" s="865"/>
      <c r="AT7" s="865"/>
      <c r="AU7" s="865"/>
      <c r="AV7" s="865"/>
      <c r="AW7" s="865"/>
      <c r="AX7" s="865"/>
      <c r="AY7" s="865"/>
      <c r="AZ7" s="865"/>
      <c r="BA7" s="865"/>
      <c r="BB7" s="865"/>
      <c r="BC7" s="865"/>
      <c r="BD7" s="865"/>
      <c r="BE7" s="865"/>
      <c r="BF7" s="865"/>
      <c r="BG7" s="865"/>
      <c r="BH7" s="865"/>
      <c r="BI7" s="865"/>
      <c r="BJ7" s="865"/>
      <c r="BK7" s="865"/>
      <c r="BL7" s="865"/>
    </row>
    <row r="8" spans="1:64" s="1398" customFormat="1" ht="18" customHeight="1" thickTop="1">
      <c r="A8" s="1396">
        <v>750</v>
      </c>
      <c r="B8" s="1397"/>
      <c r="C8" s="432" t="s">
        <v>391</v>
      </c>
      <c r="D8" s="155">
        <f>D9</f>
        <v>18200</v>
      </c>
      <c r="E8" s="155"/>
      <c r="F8" s="155">
        <f>F9</f>
        <v>376000</v>
      </c>
      <c r="G8" s="155">
        <f>G9</f>
        <v>0</v>
      </c>
      <c r="H8" s="155">
        <f>H9</f>
        <v>386000</v>
      </c>
      <c r="I8" s="155">
        <f>I9</f>
        <v>363428</v>
      </c>
      <c r="J8" s="125">
        <f aca="true" t="shared" si="0" ref="J8:J36">I8/H8</f>
        <v>0.9415233160621762</v>
      </c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709"/>
      <c r="AS8" s="709"/>
      <c r="AT8" s="709"/>
      <c r="AU8" s="709"/>
      <c r="AV8" s="709"/>
      <c r="AW8" s="709"/>
      <c r="AX8" s="709"/>
      <c r="AY8" s="709"/>
      <c r="AZ8" s="709"/>
      <c r="BA8" s="709"/>
      <c r="BB8" s="709"/>
      <c r="BC8" s="709"/>
      <c r="BD8" s="709"/>
      <c r="BE8" s="709"/>
      <c r="BF8" s="709"/>
      <c r="BG8" s="709"/>
      <c r="BH8" s="709"/>
      <c r="BI8" s="709"/>
      <c r="BJ8" s="709"/>
      <c r="BK8" s="709"/>
      <c r="BL8" s="709"/>
    </row>
    <row r="9" spans="1:64" s="1400" customFormat="1" ht="18" customHeight="1">
      <c r="A9" s="589"/>
      <c r="B9" s="1399">
        <v>75022</v>
      </c>
      <c r="C9" s="504" t="s">
        <v>1029</v>
      </c>
      <c r="D9" s="7">
        <f>SUM(D10:D13)</f>
        <v>18200</v>
      </c>
      <c r="E9" s="7"/>
      <c r="F9" s="7">
        <f>SUM(F10:F37)</f>
        <v>376000</v>
      </c>
      <c r="G9" s="7">
        <f>SUM(G10:G37)</f>
        <v>0</v>
      </c>
      <c r="H9" s="7">
        <f>SUM(H10:H37)</f>
        <v>386000</v>
      </c>
      <c r="I9" s="7">
        <f>SUM(I10:I37)</f>
        <v>363428</v>
      </c>
      <c r="J9" s="102">
        <f t="shared" si="0"/>
        <v>0.9415233160621762</v>
      </c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709"/>
      <c r="Z9" s="709"/>
      <c r="AA9" s="709"/>
      <c r="AB9" s="709"/>
      <c r="AC9" s="709"/>
      <c r="AD9" s="709"/>
      <c r="AE9" s="709"/>
      <c r="AF9" s="709"/>
      <c r="AG9" s="709"/>
      <c r="AH9" s="709"/>
      <c r="AI9" s="709"/>
      <c r="AJ9" s="709"/>
      <c r="AK9" s="709"/>
      <c r="AL9" s="709"/>
      <c r="AM9" s="709"/>
      <c r="AN9" s="709"/>
      <c r="AO9" s="709"/>
      <c r="AP9" s="709"/>
      <c r="AQ9" s="709"/>
      <c r="AR9" s="709"/>
      <c r="AS9" s="709"/>
      <c r="AT9" s="709"/>
      <c r="AU9" s="709"/>
      <c r="AV9" s="709"/>
      <c r="AW9" s="709"/>
      <c r="AX9" s="709"/>
      <c r="AY9" s="709"/>
      <c r="AZ9" s="709"/>
      <c r="BA9" s="709"/>
      <c r="BB9" s="709"/>
      <c r="BC9" s="709"/>
      <c r="BD9" s="709"/>
      <c r="BE9" s="709"/>
      <c r="BF9" s="709"/>
      <c r="BG9" s="709"/>
      <c r="BH9" s="709"/>
      <c r="BI9" s="709"/>
      <c r="BJ9" s="709"/>
      <c r="BK9" s="709"/>
      <c r="BL9" s="709"/>
    </row>
    <row r="10" spans="1:64" s="1405" customFormat="1" ht="16.5" customHeight="1">
      <c r="A10" s="1401"/>
      <c r="B10" s="1402"/>
      <c r="C10" s="766" t="s">
        <v>724</v>
      </c>
      <c r="D10" s="1403">
        <v>6400</v>
      </c>
      <c r="E10" s="1403"/>
      <c r="F10" s="626">
        <v>11600</v>
      </c>
      <c r="G10" s="1404"/>
      <c r="H10" s="626">
        <v>11700</v>
      </c>
      <c r="I10" s="17">
        <v>10634</v>
      </c>
      <c r="J10" s="1120">
        <f t="shared" si="0"/>
        <v>0.9088888888888889</v>
      </c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09"/>
      <c r="AH10" s="709"/>
      <c r="AI10" s="709"/>
      <c r="AJ10" s="709"/>
      <c r="AK10" s="709"/>
      <c r="AL10" s="709"/>
      <c r="AM10" s="709"/>
      <c r="AN10" s="709"/>
      <c r="AO10" s="709"/>
      <c r="AP10" s="709"/>
      <c r="AQ10" s="709"/>
      <c r="AR10" s="709"/>
      <c r="AS10" s="709"/>
      <c r="AT10" s="709"/>
      <c r="AU10" s="709"/>
      <c r="AV10" s="709"/>
      <c r="AW10" s="709"/>
      <c r="AX10" s="709"/>
      <c r="AY10" s="709"/>
      <c r="AZ10" s="709"/>
      <c r="BA10" s="709"/>
      <c r="BB10" s="709"/>
      <c r="BC10" s="709"/>
      <c r="BD10" s="709"/>
      <c r="BE10" s="709"/>
      <c r="BF10" s="709"/>
      <c r="BG10" s="709"/>
      <c r="BH10" s="709"/>
      <c r="BI10" s="709"/>
      <c r="BJ10" s="709"/>
      <c r="BK10" s="709"/>
      <c r="BL10" s="709"/>
    </row>
    <row r="11" spans="1:64" s="1413" customFormat="1" ht="16.5" customHeight="1">
      <c r="A11" s="1406"/>
      <c r="B11" s="1406"/>
      <c r="C11" s="1407" t="s">
        <v>725</v>
      </c>
      <c r="D11" s="1408">
        <v>6300</v>
      </c>
      <c r="E11" s="1408"/>
      <c r="F11" s="1409">
        <v>15100</v>
      </c>
      <c r="G11" s="1410"/>
      <c r="H11" s="1409">
        <v>16100</v>
      </c>
      <c r="I11" s="1411">
        <v>15230</v>
      </c>
      <c r="J11" s="1412">
        <f t="shared" si="0"/>
        <v>0.9459627329192547</v>
      </c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09"/>
      <c r="AL11" s="709"/>
      <c r="AM11" s="709"/>
      <c r="AN11" s="709"/>
      <c r="AO11" s="709"/>
      <c r="AP11" s="709"/>
      <c r="AQ11" s="709"/>
      <c r="AR11" s="709"/>
      <c r="AS11" s="709"/>
      <c r="AT11" s="709"/>
      <c r="AU11" s="709"/>
      <c r="AV11" s="709"/>
      <c r="AW11" s="709"/>
      <c r="AX11" s="709"/>
      <c r="AY11" s="709"/>
      <c r="AZ11" s="709"/>
      <c r="BA11" s="709"/>
      <c r="BB11" s="709"/>
      <c r="BC11" s="709"/>
      <c r="BD11" s="709"/>
      <c r="BE11" s="709"/>
      <c r="BF11" s="709"/>
      <c r="BG11" s="709"/>
      <c r="BH11" s="709"/>
      <c r="BI11" s="709"/>
      <c r="BJ11" s="709"/>
      <c r="BK11" s="709"/>
      <c r="BL11" s="709"/>
    </row>
    <row r="12" spans="1:64" s="1413" customFormat="1" ht="16.5" customHeight="1">
      <c r="A12" s="1406"/>
      <c r="B12" s="1406"/>
      <c r="C12" s="1407" t="s">
        <v>726</v>
      </c>
      <c r="D12" s="1408"/>
      <c r="E12" s="1408"/>
      <c r="F12" s="1409">
        <v>13000</v>
      </c>
      <c r="G12" s="1410"/>
      <c r="H12" s="1409">
        <v>11100</v>
      </c>
      <c r="I12" s="1411">
        <v>10615</v>
      </c>
      <c r="J12" s="1412">
        <f t="shared" si="0"/>
        <v>0.9563063063063063</v>
      </c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09"/>
      <c r="AP12" s="709"/>
      <c r="AQ12" s="709"/>
      <c r="AR12" s="709"/>
      <c r="AS12" s="709"/>
      <c r="AT12" s="709"/>
      <c r="AU12" s="709"/>
      <c r="AV12" s="709"/>
      <c r="AW12" s="709"/>
      <c r="AX12" s="709"/>
      <c r="AY12" s="709"/>
      <c r="AZ12" s="709"/>
      <c r="BA12" s="709"/>
      <c r="BB12" s="709"/>
      <c r="BC12" s="709"/>
      <c r="BD12" s="709"/>
      <c r="BE12" s="709"/>
      <c r="BF12" s="709"/>
      <c r="BG12" s="709"/>
      <c r="BH12" s="709"/>
      <c r="BI12" s="709"/>
      <c r="BJ12" s="709"/>
      <c r="BK12" s="709"/>
      <c r="BL12" s="709"/>
    </row>
    <row r="13" spans="1:64" s="1413" customFormat="1" ht="16.5" customHeight="1">
      <c r="A13" s="1406"/>
      <c r="B13" s="1406"/>
      <c r="C13" s="1407" t="s">
        <v>727</v>
      </c>
      <c r="D13" s="1408">
        <v>5500</v>
      </c>
      <c r="E13" s="1408"/>
      <c r="F13" s="1409">
        <v>11300</v>
      </c>
      <c r="G13" s="1410"/>
      <c r="H13" s="1409">
        <v>11500</v>
      </c>
      <c r="I13" s="1411">
        <v>11164</v>
      </c>
      <c r="J13" s="1412">
        <f t="shared" si="0"/>
        <v>0.9707826086956521</v>
      </c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  <c r="AO13" s="709"/>
      <c r="AP13" s="709"/>
      <c r="AQ13" s="709"/>
      <c r="AR13" s="709"/>
      <c r="AS13" s="709"/>
      <c r="AT13" s="709"/>
      <c r="AU13" s="709"/>
      <c r="AV13" s="709"/>
      <c r="AW13" s="709"/>
      <c r="AX13" s="709"/>
      <c r="AY13" s="709"/>
      <c r="AZ13" s="709"/>
      <c r="BA13" s="709"/>
      <c r="BB13" s="709"/>
      <c r="BC13" s="709"/>
      <c r="BD13" s="709"/>
      <c r="BE13" s="709"/>
      <c r="BF13" s="709"/>
      <c r="BG13" s="709"/>
      <c r="BH13" s="709"/>
      <c r="BI13" s="709"/>
      <c r="BJ13" s="709"/>
      <c r="BK13" s="709"/>
      <c r="BL13" s="709"/>
    </row>
    <row r="14" spans="1:64" s="1416" customFormat="1" ht="16.5" customHeight="1">
      <c r="A14" s="1414"/>
      <c r="B14" s="1414"/>
      <c r="C14" s="1407" t="s">
        <v>728</v>
      </c>
      <c r="D14" s="1415"/>
      <c r="E14" s="1415"/>
      <c r="F14" s="1409">
        <v>10900</v>
      </c>
      <c r="G14" s="1415"/>
      <c r="H14" s="1409">
        <v>10900</v>
      </c>
      <c r="I14" s="1411">
        <v>10436</v>
      </c>
      <c r="J14" s="1412">
        <f t="shared" si="0"/>
        <v>0.9574311926605504</v>
      </c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09"/>
      <c r="AJ14" s="709"/>
      <c r="AK14" s="709"/>
      <c r="AL14" s="709"/>
      <c r="AM14" s="709"/>
      <c r="AN14" s="709"/>
      <c r="AO14" s="709"/>
      <c r="AP14" s="709"/>
      <c r="AQ14" s="709"/>
      <c r="AR14" s="709"/>
      <c r="AS14" s="709"/>
      <c r="AT14" s="709"/>
      <c r="AU14" s="709"/>
      <c r="AV14" s="709"/>
      <c r="AW14" s="709"/>
      <c r="AX14" s="709"/>
      <c r="AY14" s="709"/>
      <c r="AZ14" s="709"/>
      <c r="BA14" s="709"/>
      <c r="BB14" s="709"/>
      <c r="BC14" s="709"/>
      <c r="BD14" s="709"/>
      <c r="BE14" s="709"/>
      <c r="BF14" s="709"/>
      <c r="BG14" s="709"/>
      <c r="BH14" s="709"/>
      <c r="BI14" s="709"/>
      <c r="BJ14" s="709"/>
      <c r="BK14" s="709"/>
      <c r="BL14" s="709"/>
    </row>
    <row r="15" spans="1:64" s="1416" customFormat="1" ht="16.5" customHeight="1">
      <c r="A15" s="1414"/>
      <c r="B15" s="1414"/>
      <c r="C15" s="1407" t="s">
        <v>729</v>
      </c>
      <c r="D15" s="1417"/>
      <c r="E15" s="1417"/>
      <c r="F15" s="1409">
        <v>15000</v>
      </c>
      <c r="G15" s="1417"/>
      <c r="H15" s="1409">
        <v>18000</v>
      </c>
      <c r="I15" s="17">
        <v>17314</v>
      </c>
      <c r="J15" s="1412">
        <f t="shared" si="0"/>
        <v>0.9618888888888889</v>
      </c>
      <c r="K15" s="709"/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709"/>
      <c r="Z15" s="709"/>
      <c r="AA15" s="709"/>
      <c r="AB15" s="709"/>
      <c r="AC15" s="709"/>
      <c r="AD15" s="709"/>
      <c r="AE15" s="709"/>
      <c r="AF15" s="709"/>
      <c r="AG15" s="709"/>
      <c r="AH15" s="709"/>
      <c r="AI15" s="709"/>
      <c r="AJ15" s="709"/>
      <c r="AK15" s="709"/>
      <c r="AL15" s="709"/>
      <c r="AM15" s="709"/>
      <c r="AN15" s="709"/>
      <c r="AO15" s="709"/>
      <c r="AP15" s="709"/>
      <c r="AQ15" s="709"/>
      <c r="AR15" s="709"/>
      <c r="AS15" s="709"/>
      <c r="AT15" s="709"/>
      <c r="AU15" s="709"/>
      <c r="AV15" s="709"/>
      <c r="AW15" s="709"/>
      <c r="AX15" s="709"/>
      <c r="AY15" s="709"/>
      <c r="AZ15" s="709"/>
      <c r="BA15" s="709"/>
      <c r="BB15" s="709"/>
      <c r="BC15" s="709"/>
      <c r="BD15" s="709"/>
      <c r="BE15" s="709"/>
      <c r="BF15" s="709"/>
      <c r="BG15" s="709"/>
      <c r="BH15" s="709"/>
      <c r="BI15" s="709"/>
      <c r="BJ15" s="709"/>
      <c r="BK15" s="709"/>
      <c r="BL15" s="709"/>
    </row>
    <row r="16" spans="1:64" s="1416" customFormat="1" ht="16.5" customHeight="1">
      <c r="A16" s="1414"/>
      <c r="B16" s="1414"/>
      <c r="C16" s="1407" t="s">
        <v>730</v>
      </c>
      <c r="D16" s="1417"/>
      <c r="E16" s="1417"/>
      <c r="F16" s="1409">
        <v>10800</v>
      </c>
      <c r="G16" s="1417"/>
      <c r="H16" s="1409">
        <v>11300</v>
      </c>
      <c r="I16" s="1411">
        <v>10753</v>
      </c>
      <c r="J16" s="1412">
        <f t="shared" si="0"/>
        <v>0.9515929203539824</v>
      </c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  <c r="AM16" s="709"/>
      <c r="AN16" s="709"/>
      <c r="AO16" s="709"/>
      <c r="AP16" s="709"/>
      <c r="AQ16" s="709"/>
      <c r="AR16" s="709"/>
      <c r="AS16" s="709"/>
      <c r="AT16" s="709"/>
      <c r="AU16" s="709"/>
      <c r="AV16" s="709"/>
      <c r="AW16" s="709"/>
      <c r="AX16" s="709"/>
      <c r="AY16" s="709"/>
      <c r="AZ16" s="709"/>
      <c r="BA16" s="709"/>
      <c r="BB16" s="709"/>
      <c r="BC16" s="709"/>
      <c r="BD16" s="709"/>
      <c r="BE16" s="709"/>
      <c r="BF16" s="709"/>
      <c r="BG16" s="709"/>
      <c r="BH16" s="709"/>
      <c r="BI16" s="709"/>
      <c r="BJ16" s="709"/>
      <c r="BK16" s="709"/>
      <c r="BL16" s="709"/>
    </row>
    <row r="17" spans="1:64" s="1416" customFormat="1" ht="16.5" customHeight="1">
      <c r="A17" s="1414"/>
      <c r="B17" s="1414"/>
      <c r="C17" s="1407" t="s">
        <v>731</v>
      </c>
      <c r="D17" s="1417"/>
      <c r="E17" s="1417"/>
      <c r="F17" s="1409">
        <v>16000</v>
      </c>
      <c r="G17" s="1417"/>
      <c r="H17" s="1409">
        <v>17200</v>
      </c>
      <c r="I17" s="1411">
        <v>16531</v>
      </c>
      <c r="J17" s="1412">
        <f t="shared" si="0"/>
        <v>0.9611046511627906</v>
      </c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09"/>
      <c r="AO17" s="709"/>
      <c r="AP17" s="709"/>
      <c r="AQ17" s="709"/>
      <c r="AR17" s="709"/>
      <c r="AS17" s="709"/>
      <c r="AT17" s="709"/>
      <c r="AU17" s="709"/>
      <c r="AV17" s="709"/>
      <c r="AW17" s="709"/>
      <c r="AX17" s="709"/>
      <c r="AY17" s="709"/>
      <c r="AZ17" s="709"/>
      <c r="BA17" s="709"/>
      <c r="BB17" s="709"/>
      <c r="BC17" s="709"/>
      <c r="BD17" s="709"/>
      <c r="BE17" s="709"/>
      <c r="BF17" s="709"/>
      <c r="BG17" s="709"/>
      <c r="BH17" s="709"/>
      <c r="BI17" s="709"/>
      <c r="BJ17" s="709"/>
      <c r="BK17" s="709"/>
      <c r="BL17" s="709"/>
    </row>
    <row r="18" spans="1:64" s="1416" customFormat="1" ht="16.5" customHeight="1">
      <c r="A18" s="1414"/>
      <c r="B18" s="1414"/>
      <c r="C18" s="1407" t="s">
        <v>732</v>
      </c>
      <c r="D18" s="1417"/>
      <c r="E18" s="1417"/>
      <c r="F18" s="1409">
        <v>14500</v>
      </c>
      <c r="G18" s="1417"/>
      <c r="H18" s="1409">
        <v>15300</v>
      </c>
      <c r="I18" s="1411">
        <v>14911</v>
      </c>
      <c r="J18" s="1412">
        <f t="shared" si="0"/>
        <v>0.9745751633986928</v>
      </c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709"/>
      <c r="AF18" s="709"/>
      <c r="AG18" s="709"/>
      <c r="AH18" s="709"/>
      <c r="AI18" s="709"/>
      <c r="AJ18" s="709"/>
      <c r="AK18" s="709"/>
      <c r="AL18" s="709"/>
      <c r="AM18" s="709"/>
      <c r="AN18" s="709"/>
      <c r="AO18" s="709"/>
      <c r="AP18" s="709"/>
      <c r="AQ18" s="709"/>
      <c r="AR18" s="709"/>
      <c r="AS18" s="709"/>
      <c r="AT18" s="709"/>
      <c r="AU18" s="709"/>
      <c r="AV18" s="709"/>
      <c r="AW18" s="709"/>
      <c r="AX18" s="709"/>
      <c r="AY18" s="709"/>
      <c r="AZ18" s="709"/>
      <c r="BA18" s="709"/>
      <c r="BB18" s="709"/>
      <c r="BC18" s="709"/>
      <c r="BD18" s="709"/>
      <c r="BE18" s="709"/>
      <c r="BF18" s="709"/>
      <c r="BG18" s="709"/>
      <c r="BH18" s="709"/>
      <c r="BI18" s="709"/>
      <c r="BJ18" s="709"/>
      <c r="BK18" s="709"/>
      <c r="BL18" s="709"/>
    </row>
    <row r="19" spans="1:64" s="1416" customFormat="1" ht="16.5" customHeight="1">
      <c r="A19" s="1414"/>
      <c r="B19" s="1414"/>
      <c r="C19" s="1407" t="s">
        <v>733</v>
      </c>
      <c r="D19" s="1417"/>
      <c r="E19" s="1417"/>
      <c r="F19" s="1409">
        <v>14200</v>
      </c>
      <c r="G19" s="1417"/>
      <c r="H19" s="1409">
        <v>14700</v>
      </c>
      <c r="I19" s="1411">
        <v>14133</v>
      </c>
      <c r="J19" s="1412">
        <f t="shared" si="0"/>
        <v>0.9614285714285714</v>
      </c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709"/>
      <c r="AK19" s="709"/>
      <c r="AL19" s="709"/>
      <c r="AM19" s="709"/>
      <c r="AN19" s="709"/>
      <c r="AO19" s="709"/>
      <c r="AP19" s="709"/>
      <c r="AQ19" s="709"/>
      <c r="AR19" s="709"/>
      <c r="AS19" s="709"/>
      <c r="AT19" s="709"/>
      <c r="AU19" s="709"/>
      <c r="AV19" s="709"/>
      <c r="AW19" s="709"/>
      <c r="AX19" s="709"/>
      <c r="AY19" s="709"/>
      <c r="AZ19" s="709"/>
      <c r="BA19" s="709"/>
      <c r="BB19" s="709"/>
      <c r="BC19" s="709"/>
      <c r="BD19" s="709"/>
      <c r="BE19" s="709"/>
      <c r="BF19" s="709"/>
      <c r="BG19" s="709"/>
      <c r="BH19" s="709"/>
      <c r="BI19" s="709"/>
      <c r="BJ19" s="709"/>
      <c r="BK19" s="709"/>
      <c r="BL19" s="709"/>
    </row>
    <row r="20" spans="1:64" s="1416" customFormat="1" ht="16.5" customHeight="1">
      <c r="A20" s="1414"/>
      <c r="B20" s="1414"/>
      <c r="C20" s="1407" t="s">
        <v>734</v>
      </c>
      <c r="D20" s="1417"/>
      <c r="E20" s="1417"/>
      <c r="F20" s="1409">
        <v>15000</v>
      </c>
      <c r="G20" s="1417"/>
      <c r="H20" s="1409">
        <v>16000</v>
      </c>
      <c r="I20" s="1411">
        <v>14863</v>
      </c>
      <c r="J20" s="1412">
        <f t="shared" si="0"/>
        <v>0.9289375</v>
      </c>
      <c r="K20" s="709"/>
      <c r="L20" s="709"/>
      <c r="M20" s="709"/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H20" s="709"/>
      <c r="AI20" s="709"/>
      <c r="AJ20" s="709"/>
      <c r="AK20" s="709"/>
      <c r="AL20" s="709"/>
      <c r="AM20" s="709"/>
      <c r="AN20" s="709"/>
      <c r="AO20" s="709"/>
      <c r="AP20" s="709"/>
      <c r="AQ20" s="709"/>
      <c r="AR20" s="709"/>
      <c r="AS20" s="709"/>
      <c r="AT20" s="709"/>
      <c r="AU20" s="709"/>
      <c r="AV20" s="709"/>
      <c r="AW20" s="709"/>
      <c r="AX20" s="709"/>
      <c r="AY20" s="709"/>
      <c r="AZ20" s="709"/>
      <c r="BA20" s="709"/>
      <c r="BB20" s="709"/>
      <c r="BC20" s="709"/>
      <c r="BD20" s="709"/>
      <c r="BE20" s="709"/>
      <c r="BF20" s="709"/>
      <c r="BG20" s="709"/>
      <c r="BH20" s="709"/>
      <c r="BI20" s="709"/>
      <c r="BJ20" s="709"/>
      <c r="BK20" s="709"/>
      <c r="BL20" s="709"/>
    </row>
    <row r="21" spans="1:64" s="1416" customFormat="1" ht="16.5" customHeight="1">
      <c r="A21" s="1414"/>
      <c r="B21" s="1414"/>
      <c r="C21" s="1407" t="s">
        <v>735</v>
      </c>
      <c r="D21" s="1417"/>
      <c r="E21" s="1417"/>
      <c r="F21" s="1409">
        <v>14600</v>
      </c>
      <c r="G21" s="1417"/>
      <c r="H21" s="1409">
        <v>14600</v>
      </c>
      <c r="I21" s="1411">
        <v>14232</v>
      </c>
      <c r="J21" s="1412">
        <f t="shared" si="0"/>
        <v>0.9747945205479452</v>
      </c>
      <c r="K21" s="709"/>
      <c r="L21" s="709"/>
      <c r="M21" s="709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09"/>
      <c r="AQ21" s="709"/>
      <c r="AR21" s="709"/>
      <c r="AS21" s="709"/>
      <c r="AT21" s="709"/>
      <c r="AU21" s="709"/>
      <c r="AV21" s="709"/>
      <c r="AW21" s="709"/>
      <c r="AX21" s="709"/>
      <c r="AY21" s="709"/>
      <c r="AZ21" s="709"/>
      <c r="BA21" s="709"/>
      <c r="BB21" s="709"/>
      <c r="BC21" s="709"/>
      <c r="BD21" s="709"/>
      <c r="BE21" s="709"/>
      <c r="BF21" s="709"/>
      <c r="BG21" s="709"/>
      <c r="BH21" s="709"/>
      <c r="BI21" s="709"/>
      <c r="BJ21" s="709"/>
      <c r="BK21" s="709"/>
      <c r="BL21" s="709"/>
    </row>
    <row r="22" spans="1:64" s="1416" customFormat="1" ht="16.5" customHeight="1">
      <c r="A22" s="1414"/>
      <c r="B22" s="1414"/>
      <c r="C22" s="1407" t="s">
        <v>736</v>
      </c>
      <c r="D22" s="1417"/>
      <c r="E22" s="1417"/>
      <c r="F22" s="1409">
        <v>14800</v>
      </c>
      <c r="G22" s="1417"/>
      <c r="H22" s="1409">
        <v>15600</v>
      </c>
      <c r="I22" s="1411">
        <v>15145</v>
      </c>
      <c r="J22" s="1412">
        <f t="shared" si="0"/>
        <v>0.9708333333333333</v>
      </c>
      <c r="K22" s="709"/>
      <c r="L22" s="709"/>
      <c r="M22" s="709"/>
      <c r="N22" s="709"/>
      <c r="O22" s="709"/>
      <c r="P22" s="709"/>
      <c r="Q22" s="709"/>
      <c r="R22" s="709"/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09"/>
      <c r="AG22" s="709"/>
      <c r="AH22" s="709"/>
      <c r="AI22" s="709"/>
      <c r="AJ22" s="709"/>
      <c r="AK22" s="709"/>
      <c r="AL22" s="709"/>
      <c r="AM22" s="709"/>
      <c r="AN22" s="709"/>
      <c r="AO22" s="709"/>
      <c r="AP22" s="709"/>
      <c r="AQ22" s="709"/>
      <c r="AR22" s="709"/>
      <c r="AS22" s="709"/>
      <c r="AT22" s="709"/>
      <c r="AU22" s="709"/>
      <c r="AV22" s="709"/>
      <c r="AW22" s="709"/>
      <c r="AX22" s="709"/>
      <c r="AY22" s="709"/>
      <c r="AZ22" s="709"/>
      <c r="BA22" s="709"/>
      <c r="BB22" s="709"/>
      <c r="BC22" s="709"/>
      <c r="BD22" s="709"/>
      <c r="BE22" s="709"/>
      <c r="BF22" s="709"/>
      <c r="BG22" s="709"/>
      <c r="BH22" s="709"/>
      <c r="BI22" s="709"/>
      <c r="BJ22" s="709"/>
      <c r="BK22" s="709"/>
      <c r="BL22" s="709"/>
    </row>
    <row r="23" spans="1:64" s="1416" customFormat="1" ht="16.5" customHeight="1">
      <c r="A23" s="1414"/>
      <c r="B23" s="1414"/>
      <c r="C23" s="1407" t="s">
        <v>737</v>
      </c>
      <c r="D23" s="1417"/>
      <c r="E23" s="1417"/>
      <c r="F23" s="1409">
        <v>16600</v>
      </c>
      <c r="G23" s="1417"/>
      <c r="H23" s="1409">
        <v>19400</v>
      </c>
      <c r="I23" s="1411">
        <v>17109</v>
      </c>
      <c r="J23" s="1412">
        <f t="shared" si="0"/>
        <v>0.8819072164948454</v>
      </c>
      <c r="K23" s="709"/>
      <c r="L23" s="709"/>
      <c r="M23" s="709"/>
      <c r="N23" s="709"/>
      <c r="O23" s="709"/>
      <c r="P23" s="709"/>
      <c r="Q23" s="709"/>
      <c r="R23" s="709"/>
      <c r="S23" s="709"/>
      <c r="T23" s="709"/>
      <c r="U23" s="709"/>
      <c r="V23" s="709"/>
      <c r="W23" s="709"/>
      <c r="X23" s="709"/>
      <c r="Y23" s="709"/>
      <c r="Z23" s="709"/>
      <c r="AA23" s="709"/>
      <c r="AB23" s="709"/>
      <c r="AC23" s="709"/>
      <c r="AD23" s="709"/>
      <c r="AE23" s="709"/>
      <c r="AF23" s="709"/>
      <c r="AG23" s="709"/>
      <c r="AH23" s="709"/>
      <c r="AI23" s="709"/>
      <c r="AJ23" s="709"/>
      <c r="AK23" s="709"/>
      <c r="AL23" s="709"/>
      <c r="AM23" s="709"/>
      <c r="AN23" s="709"/>
      <c r="AO23" s="709"/>
      <c r="AP23" s="709"/>
      <c r="AQ23" s="709"/>
      <c r="AR23" s="709"/>
      <c r="AS23" s="709"/>
      <c r="AT23" s="709"/>
      <c r="AU23" s="709"/>
      <c r="AV23" s="709"/>
      <c r="AW23" s="709"/>
      <c r="AX23" s="709"/>
      <c r="AY23" s="709"/>
      <c r="AZ23" s="709"/>
      <c r="BA23" s="709"/>
      <c r="BB23" s="709"/>
      <c r="BC23" s="709"/>
      <c r="BD23" s="709"/>
      <c r="BE23" s="709"/>
      <c r="BF23" s="709"/>
      <c r="BG23" s="709"/>
      <c r="BH23" s="709"/>
      <c r="BI23" s="709"/>
      <c r="BJ23" s="709"/>
      <c r="BK23" s="709"/>
      <c r="BL23" s="709"/>
    </row>
    <row r="24" spans="1:64" s="1416" customFormat="1" ht="16.5" customHeight="1">
      <c r="A24" s="1414"/>
      <c r="B24" s="1414"/>
      <c r="C24" s="1407" t="s">
        <v>738</v>
      </c>
      <c r="D24" s="1417"/>
      <c r="E24" s="1417"/>
      <c r="F24" s="1409">
        <v>10800</v>
      </c>
      <c r="G24" s="1417"/>
      <c r="H24" s="1409">
        <v>11000</v>
      </c>
      <c r="I24" s="1411">
        <v>10607</v>
      </c>
      <c r="J24" s="1412">
        <f t="shared" si="0"/>
        <v>0.9642727272727273</v>
      </c>
      <c r="K24" s="709"/>
      <c r="L24" s="709"/>
      <c r="M24" s="709"/>
      <c r="N24" s="709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  <c r="AM24" s="709"/>
      <c r="AN24" s="709"/>
      <c r="AO24" s="709"/>
      <c r="AP24" s="709"/>
      <c r="AQ24" s="709"/>
      <c r="AR24" s="709"/>
      <c r="AS24" s="709"/>
      <c r="AT24" s="709"/>
      <c r="AU24" s="709"/>
      <c r="AV24" s="709"/>
      <c r="AW24" s="709"/>
      <c r="AX24" s="709"/>
      <c r="AY24" s="709"/>
      <c r="AZ24" s="709"/>
      <c r="BA24" s="709"/>
      <c r="BB24" s="709"/>
      <c r="BC24" s="709"/>
      <c r="BD24" s="709"/>
      <c r="BE24" s="709"/>
      <c r="BF24" s="709"/>
      <c r="BG24" s="709"/>
      <c r="BH24" s="709"/>
      <c r="BI24" s="709"/>
      <c r="BJ24" s="709"/>
      <c r="BK24" s="709"/>
      <c r="BL24" s="709"/>
    </row>
    <row r="25" spans="1:64" s="1416" customFormat="1" ht="16.5" customHeight="1">
      <c r="A25" s="1414"/>
      <c r="B25" s="1414"/>
      <c r="C25" s="1407" t="s">
        <v>739</v>
      </c>
      <c r="D25" s="1417"/>
      <c r="E25" s="1417"/>
      <c r="F25" s="1409">
        <v>14100</v>
      </c>
      <c r="G25" s="1417"/>
      <c r="H25" s="1409">
        <v>14100</v>
      </c>
      <c r="I25" s="1411">
        <v>13642</v>
      </c>
      <c r="J25" s="1412">
        <f t="shared" si="0"/>
        <v>0.967517730496454</v>
      </c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709"/>
      <c r="AL25" s="709"/>
      <c r="AM25" s="709"/>
      <c r="AN25" s="709"/>
      <c r="AO25" s="709"/>
      <c r="AP25" s="709"/>
      <c r="AQ25" s="709"/>
      <c r="AR25" s="709"/>
      <c r="AS25" s="709"/>
      <c r="AT25" s="709"/>
      <c r="AU25" s="709"/>
      <c r="AV25" s="709"/>
      <c r="AW25" s="709"/>
      <c r="AX25" s="709"/>
      <c r="AY25" s="709"/>
      <c r="AZ25" s="709"/>
      <c r="BA25" s="709"/>
      <c r="BB25" s="709"/>
      <c r="BC25" s="709"/>
      <c r="BD25" s="709"/>
      <c r="BE25" s="709"/>
      <c r="BF25" s="709"/>
      <c r="BG25" s="709"/>
      <c r="BH25" s="709"/>
      <c r="BI25" s="709"/>
      <c r="BJ25" s="709"/>
      <c r="BK25" s="709"/>
      <c r="BL25" s="709"/>
    </row>
    <row r="26" spans="1:64" s="1416" customFormat="1" ht="16.5" customHeight="1">
      <c r="A26" s="1414"/>
      <c r="B26" s="1414"/>
      <c r="C26" s="1407" t="s">
        <v>740</v>
      </c>
      <c r="D26" s="1417"/>
      <c r="E26" s="1417"/>
      <c r="F26" s="1409">
        <v>14600</v>
      </c>
      <c r="G26" s="1417"/>
      <c r="H26" s="1409">
        <v>15700</v>
      </c>
      <c r="I26" s="1411">
        <v>15068</v>
      </c>
      <c r="J26" s="1412">
        <f t="shared" si="0"/>
        <v>0.9597452229299364</v>
      </c>
      <c r="K26" s="709"/>
      <c r="L26" s="709"/>
      <c r="M26" s="709"/>
      <c r="N26" s="709"/>
      <c r="O26" s="709"/>
      <c r="P26" s="709"/>
      <c r="Q26" s="709"/>
      <c r="R26" s="709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09"/>
      <c r="AL26" s="709"/>
      <c r="AM26" s="709"/>
      <c r="AN26" s="709"/>
      <c r="AO26" s="709"/>
      <c r="AP26" s="709"/>
      <c r="AQ26" s="709"/>
      <c r="AR26" s="709"/>
      <c r="AS26" s="709"/>
      <c r="AT26" s="709"/>
      <c r="AU26" s="709"/>
      <c r="AV26" s="709"/>
      <c r="AW26" s="709"/>
      <c r="AX26" s="709"/>
      <c r="AY26" s="709"/>
      <c r="AZ26" s="709"/>
      <c r="BA26" s="709"/>
      <c r="BB26" s="709"/>
      <c r="BC26" s="709"/>
      <c r="BD26" s="709"/>
      <c r="BE26" s="709"/>
      <c r="BF26" s="709"/>
      <c r="BG26" s="709"/>
      <c r="BH26" s="709"/>
      <c r="BI26" s="709"/>
      <c r="BJ26" s="709"/>
      <c r="BK26" s="709"/>
      <c r="BL26" s="709"/>
    </row>
    <row r="27" spans="1:64" s="1416" customFormat="1" ht="16.5" customHeight="1">
      <c r="A27" s="1414"/>
      <c r="B27" s="1414"/>
      <c r="C27" s="1407" t="s">
        <v>741</v>
      </c>
      <c r="D27" s="1417"/>
      <c r="E27" s="1417"/>
      <c r="F27" s="1409">
        <v>9600</v>
      </c>
      <c r="G27" s="1417"/>
      <c r="H27" s="1409">
        <v>9900</v>
      </c>
      <c r="I27" s="1411">
        <v>9792</v>
      </c>
      <c r="J27" s="1412">
        <f t="shared" si="0"/>
        <v>0.9890909090909091</v>
      </c>
      <c r="K27" s="709"/>
      <c r="L27" s="709"/>
      <c r="M27" s="709"/>
      <c r="N27" s="709"/>
      <c r="O27" s="709"/>
      <c r="P27" s="709"/>
      <c r="Q27" s="709"/>
      <c r="R27" s="709"/>
      <c r="S27" s="709"/>
      <c r="T27" s="709"/>
      <c r="U27" s="709"/>
      <c r="V27" s="709"/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709"/>
      <c r="AH27" s="709"/>
      <c r="AI27" s="709"/>
      <c r="AJ27" s="709"/>
      <c r="AK27" s="709"/>
      <c r="AL27" s="709"/>
      <c r="AM27" s="709"/>
      <c r="AN27" s="709"/>
      <c r="AO27" s="709"/>
      <c r="AP27" s="709"/>
      <c r="AQ27" s="709"/>
      <c r="AR27" s="709"/>
      <c r="AS27" s="709"/>
      <c r="AT27" s="709"/>
      <c r="AU27" s="709"/>
      <c r="AV27" s="709"/>
      <c r="AW27" s="709"/>
      <c r="AX27" s="709"/>
      <c r="AY27" s="709"/>
      <c r="AZ27" s="709"/>
      <c r="BA27" s="709"/>
      <c r="BB27" s="709"/>
      <c r="BC27" s="709"/>
      <c r="BD27" s="709"/>
      <c r="BE27" s="709"/>
      <c r="BF27" s="709"/>
      <c r="BG27" s="709"/>
      <c r="BH27" s="709"/>
      <c r="BI27" s="709"/>
      <c r="BJ27" s="709"/>
      <c r="BK27" s="709"/>
      <c r="BL27" s="709"/>
    </row>
    <row r="28" spans="1:64" s="1416" customFormat="1" ht="16.5" customHeight="1">
      <c r="A28" s="1414"/>
      <c r="B28" s="1414"/>
      <c r="C28" s="1407" t="s">
        <v>742</v>
      </c>
      <c r="D28" s="1417"/>
      <c r="E28" s="1417"/>
      <c r="F28" s="1409">
        <v>13200</v>
      </c>
      <c r="G28" s="1417"/>
      <c r="H28" s="1409">
        <v>13700</v>
      </c>
      <c r="I28" s="1411">
        <v>13392</v>
      </c>
      <c r="J28" s="1412">
        <f t="shared" si="0"/>
        <v>0.9775182481751825</v>
      </c>
      <c r="K28" s="709"/>
      <c r="L28" s="709"/>
      <c r="M28" s="709"/>
      <c r="N28" s="709"/>
      <c r="O28" s="709"/>
      <c r="P28" s="709"/>
      <c r="Q28" s="709"/>
      <c r="R28" s="709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709"/>
      <c r="AF28" s="709"/>
      <c r="AG28" s="709"/>
      <c r="AH28" s="709"/>
      <c r="AI28" s="709"/>
      <c r="AJ28" s="709"/>
      <c r="AK28" s="709"/>
      <c r="AL28" s="709"/>
      <c r="AM28" s="709"/>
      <c r="AN28" s="709"/>
      <c r="AO28" s="709"/>
      <c r="AP28" s="709"/>
      <c r="AQ28" s="709"/>
      <c r="AR28" s="709"/>
      <c r="AS28" s="709"/>
      <c r="AT28" s="709"/>
      <c r="AU28" s="709"/>
      <c r="AV28" s="709"/>
      <c r="AW28" s="709"/>
      <c r="AX28" s="709"/>
      <c r="AY28" s="709"/>
      <c r="AZ28" s="709"/>
      <c r="BA28" s="709"/>
      <c r="BB28" s="709"/>
      <c r="BC28" s="709"/>
      <c r="BD28" s="709"/>
      <c r="BE28" s="709"/>
      <c r="BF28" s="709"/>
      <c r="BG28" s="709"/>
      <c r="BH28" s="709"/>
      <c r="BI28" s="709"/>
      <c r="BJ28" s="709"/>
      <c r="BK28" s="709"/>
      <c r="BL28" s="709"/>
    </row>
    <row r="29" spans="1:64" s="1416" customFormat="1" ht="16.5" customHeight="1">
      <c r="A29" s="1414"/>
      <c r="B29" s="1414"/>
      <c r="C29" s="1407" t="s">
        <v>743</v>
      </c>
      <c r="D29" s="1417"/>
      <c r="E29" s="1417"/>
      <c r="F29" s="1409">
        <v>11000</v>
      </c>
      <c r="G29" s="1417"/>
      <c r="H29" s="1409">
        <v>11500</v>
      </c>
      <c r="I29" s="1411">
        <v>11023</v>
      </c>
      <c r="J29" s="1412">
        <f t="shared" si="0"/>
        <v>0.9585217391304348</v>
      </c>
      <c r="K29" s="709"/>
      <c r="L29" s="709"/>
      <c r="M29" s="709"/>
      <c r="N29" s="709"/>
      <c r="O29" s="709"/>
      <c r="P29" s="709"/>
      <c r="Q29" s="709"/>
      <c r="R29" s="709"/>
      <c r="S29" s="709"/>
      <c r="T29" s="709"/>
      <c r="U29" s="709"/>
      <c r="V29" s="709"/>
      <c r="W29" s="709"/>
      <c r="X29" s="709"/>
      <c r="Y29" s="709"/>
      <c r="Z29" s="709"/>
      <c r="AA29" s="709"/>
      <c r="AB29" s="709"/>
      <c r="AC29" s="709"/>
      <c r="AD29" s="709"/>
      <c r="AE29" s="709"/>
      <c r="AF29" s="709"/>
      <c r="AG29" s="709"/>
      <c r="AH29" s="709"/>
      <c r="AI29" s="709"/>
      <c r="AJ29" s="709"/>
      <c r="AK29" s="709"/>
      <c r="AL29" s="709"/>
      <c r="AM29" s="709"/>
      <c r="AN29" s="709"/>
      <c r="AO29" s="709"/>
      <c r="AP29" s="709"/>
      <c r="AQ29" s="709"/>
      <c r="AR29" s="709"/>
      <c r="AS29" s="709"/>
      <c r="AT29" s="709"/>
      <c r="AU29" s="709"/>
      <c r="AV29" s="709"/>
      <c r="AW29" s="709"/>
      <c r="AX29" s="709"/>
      <c r="AY29" s="709"/>
      <c r="AZ29" s="709"/>
      <c r="BA29" s="709"/>
      <c r="BB29" s="709"/>
      <c r="BC29" s="709"/>
      <c r="BD29" s="709"/>
      <c r="BE29" s="709"/>
      <c r="BF29" s="709"/>
      <c r="BG29" s="709"/>
      <c r="BH29" s="709"/>
      <c r="BI29" s="709"/>
      <c r="BJ29" s="709"/>
      <c r="BK29" s="709"/>
      <c r="BL29" s="709"/>
    </row>
    <row r="30" spans="1:64" s="1416" customFormat="1" ht="16.5" customHeight="1">
      <c r="A30" s="1418"/>
      <c r="B30" s="1418"/>
      <c r="C30" s="1419" t="s">
        <v>744</v>
      </c>
      <c r="D30" s="1420"/>
      <c r="E30" s="1420"/>
      <c r="F30" s="1421">
        <v>18900</v>
      </c>
      <c r="G30" s="1420"/>
      <c r="H30" s="1421">
        <v>20600</v>
      </c>
      <c r="I30" s="1422">
        <v>19079</v>
      </c>
      <c r="J30" s="1423">
        <f t="shared" si="0"/>
        <v>0.9261650485436893</v>
      </c>
      <c r="K30" s="709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  <c r="AM30" s="709"/>
      <c r="AN30" s="709"/>
      <c r="AO30" s="709"/>
      <c r="AP30" s="709"/>
      <c r="AQ30" s="709"/>
      <c r="AR30" s="709"/>
      <c r="AS30" s="709"/>
      <c r="AT30" s="709"/>
      <c r="AU30" s="709"/>
      <c r="AV30" s="709"/>
      <c r="AW30" s="709"/>
      <c r="AX30" s="709"/>
      <c r="AY30" s="709"/>
      <c r="AZ30" s="709"/>
      <c r="BA30" s="709"/>
      <c r="BB30" s="709"/>
      <c r="BC30" s="709"/>
      <c r="BD30" s="709"/>
      <c r="BE30" s="709"/>
      <c r="BF30" s="709"/>
      <c r="BG30" s="709"/>
      <c r="BH30" s="709"/>
      <c r="BI30" s="709"/>
      <c r="BJ30" s="709"/>
      <c r="BK30" s="709"/>
      <c r="BL30" s="709"/>
    </row>
    <row r="31" spans="1:64" s="1416" customFormat="1" ht="16.5" customHeight="1">
      <c r="A31" s="1414"/>
      <c r="B31" s="1414"/>
      <c r="C31" s="1424" t="s">
        <v>745</v>
      </c>
      <c r="D31" s="1425"/>
      <c r="E31" s="1425"/>
      <c r="F31" s="802">
        <v>16600</v>
      </c>
      <c r="G31" s="1425"/>
      <c r="H31" s="802">
        <v>17000</v>
      </c>
      <c r="I31" s="1426">
        <v>14878</v>
      </c>
      <c r="J31" s="1427">
        <f t="shared" si="0"/>
        <v>0.8751764705882353</v>
      </c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09"/>
      <c r="AE31" s="709"/>
      <c r="AF31" s="709"/>
      <c r="AG31" s="709"/>
      <c r="AH31" s="709"/>
      <c r="AI31" s="709"/>
      <c r="AJ31" s="709"/>
      <c r="AK31" s="709"/>
      <c r="AL31" s="709"/>
      <c r="AM31" s="709"/>
      <c r="AN31" s="709"/>
      <c r="AO31" s="709"/>
      <c r="AP31" s="709"/>
      <c r="AQ31" s="709"/>
      <c r="AR31" s="709"/>
      <c r="AS31" s="709"/>
      <c r="AT31" s="709"/>
      <c r="AU31" s="709"/>
      <c r="AV31" s="709"/>
      <c r="AW31" s="709"/>
      <c r="AX31" s="709"/>
      <c r="AY31" s="709"/>
      <c r="AZ31" s="709"/>
      <c r="BA31" s="709"/>
      <c r="BB31" s="709"/>
      <c r="BC31" s="709"/>
      <c r="BD31" s="709"/>
      <c r="BE31" s="709"/>
      <c r="BF31" s="709"/>
      <c r="BG31" s="709"/>
      <c r="BH31" s="709"/>
      <c r="BI31" s="709"/>
      <c r="BJ31" s="709"/>
      <c r="BK31" s="709"/>
      <c r="BL31" s="709"/>
    </row>
    <row r="32" spans="1:64" s="1416" customFormat="1" ht="16.5" customHeight="1">
      <c r="A32" s="1414"/>
      <c r="B32" s="1414"/>
      <c r="C32" s="1407" t="s">
        <v>746</v>
      </c>
      <c r="D32" s="1417"/>
      <c r="E32" s="1417"/>
      <c r="F32" s="1409">
        <v>14000</v>
      </c>
      <c r="G32" s="1417"/>
      <c r="H32" s="1409">
        <v>14000</v>
      </c>
      <c r="I32" s="1411">
        <v>13769</v>
      </c>
      <c r="J32" s="1412">
        <f t="shared" si="0"/>
        <v>0.9835</v>
      </c>
      <c r="K32" s="709"/>
      <c r="L32" s="709"/>
      <c r="M32" s="709"/>
      <c r="N32" s="709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  <c r="AE32" s="709"/>
      <c r="AF32" s="709"/>
      <c r="AG32" s="709"/>
      <c r="AH32" s="709"/>
      <c r="AI32" s="709"/>
      <c r="AJ32" s="709"/>
      <c r="AK32" s="709"/>
      <c r="AL32" s="709"/>
      <c r="AM32" s="709"/>
      <c r="AN32" s="709"/>
      <c r="AO32" s="709"/>
      <c r="AP32" s="709"/>
      <c r="AQ32" s="709"/>
      <c r="AR32" s="709"/>
      <c r="AS32" s="709"/>
      <c r="AT32" s="709"/>
      <c r="AU32" s="709"/>
      <c r="AV32" s="709"/>
      <c r="AW32" s="709"/>
      <c r="AX32" s="709"/>
      <c r="AY32" s="709"/>
      <c r="AZ32" s="709"/>
      <c r="BA32" s="709"/>
      <c r="BB32" s="709"/>
      <c r="BC32" s="709"/>
      <c r="BD32" s="709"/>
      <c r="BE32" s="709"/>
      <c r="BF32" s="709"/>
      <c r="BG32" s="709"/>
      <c r="BH32" s="709"/>
      <c r="BI32" s="709"/>
      <c r="BJ32" s="709"/>
      <c r="BK32" s="709"/>
      <c r="BL32" s="709"/>
    </row>
    <row r="33" spans="1:64" s="1416" customFormat="1" ht="16.5" customHeight="1">
      <c r="A33" s="1414"/>
      <c r="B33" s="1414"/>
      <c r="C33" s="1407" t="s">
        <v>747</v>
      </c>
      <c r="D33" s="1417"/>
      <c r="E33" s="1417"/>
      <c r="F33" s="1409">
        <v>12600</v>
      </c>
      <c r="G33" s="1417"/>
      <c r="H33" s="1409">
        <v>13300</v>
      </c>
      <c r="I33" s="1411">
        <v>12530</v>
      </c>
      <c r="J33" s="1412">
        <f t="shared" si="0"/>
        <v>0.9421052631578948</v>
      </c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09"/>
      <c r="AQ33" s="709"/>
      <c r="AR33" s="709"/>
      <c r="AS33" s="709"/>
      <c r="AT33" s="709"/>
      <c r="AU33" s="709"/>
      <c r="AV33" s="709"/>
      <c r="AW33" s="709"/>
      <c r="AX33" s="709"/>
      <c r="AY33" s="709"/>
      <c r="AZ33" s="709"/>
      <c r="BA33" s="709"/>
      <c r="BB33" s="709"/>
      <c r="BC33" s="709"/>
      <c r="BD33" s="709"/>
      <c r="BE33" s="709"/>
      <c r="BF33" s="709"/>
      <c r="BG33" s="709"/>
      <c r="BH33" s="709"/>
      <c r="BI33" s="709"/>
      <c r="BJ33" s="709"/>
      <c r="BK33" s="709"/>
      <c r="BL33" s="709"/>
    </row>
    <row r="34" spans="1:64" s="1416" customFormat="1" ht="16.5" customHeight="1">
      <c r="A34" s="1414"/>
      <c r="B34" s="1414"/>
      <c r="C34" s="1407" t="s">
        <v>748</v>
      </c>
      <c r="D34" s="1417"/>
      <c r="E34" s="1417"/>
      <c r="F34" s="1409">
        <v>15600</v>
      </c>
      <c r="G34" s="1417"/>
      <c r="H34" s="1409">
        <v>15800</v>
      </c>
      <c r="I34" s="1411">
        <v>15389</v>
      </c>
      <c r="J34" s="1412">
        <f t="shared" si="0"/>
        <v>0.9739873417721518</v>
      </c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09"/>
      <c r="AG34" s="709"/>
      <c r="AH34" s="709"/>
      <c r="AI34" s="709"/>
      <c r="AJ34" s="709"/>
      <c r="AK34" s="709"/>
      <c r="AL34" s="709"/>
      <c r="AM34" s="709"/>
      <c r="AN34" s="709"/>
      <c r="AO34" s="709"/>
      <c r="AP34" s="709"/>
      <c r="AQ34" s="709"/>
      <c r="AR34" s="709"/>
      <c r="AS34" s="709"/>
      <c r="AT34" s="709"/>
      <c r="AU34" s="709"/>
      <c r="AV34" s="709"/>
      <c r="AW34" s="709"/>
      <c r="AX34" s="709"/>
      <c r="AY34" s="709"/>
      <c r="AZ34" s="709"/>
      <c r="BA34" s="709"/>
      <c r="BB34" s="709"/>
      <c r="BC34" s="709"/>
      <c r="BD34" s="709"/>
      <c r="BE34" s="709"/>
      <c r="BF34" s="709"/>
      <c r="BG34" s="709"/>
      <c r="BH34" s="709"/>
      <c r="BI34" s="709"/>
      <c r="BJ34" s="709"/>
      <c r="BK34" s="709"/>
      <c r="BL34" s="709"/>
    </row>
    <row r="35" spans="1:64" s="1416" customFormat="1" ht="16.5" customHeight="1">
      <c r="A35" s="1414"/>
      <c r="B35" s="1414"/>
      <c r="C35" s="1407" t="s">
        <v>749</v>
      </c>
      <c r="D35" s="1417"/>
      <c r="E35" s="1417"/>
      <c r="F35" s="1409">
        <v>10800</v>
      </c>
      <c r="G35" s="1417"/>
      <c r="H35" s="1409">
        <v>11300</v>
      </c>
      <c r="I35" s="1411">
        <v>10642</v>
      </c>
      <c r="J35" s="1412">
        <f t="shared" si="0"/>
        <v>0.9417699115044248</v>
      </c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09"/>
      <c r="AO35" s="709"/>
      <c r="AP35" s="709"/>
      <c r="AQ35" s="709"/>
      <c r="AR35" s="709"/>
      <c r="AS35" s="709"/>
      <c r="AT35" s="709"/>
      <c r="AU35" s="709"/>
      <c r="AV35" s="709"/>
      <c r="AW35" s="709"/>
      <c r="AX35" s="709"/>
      <c r="AY35" s="709"/>
      <c r="AZ35" s="709"/>
      <c r="BA35" s="709"/>
      <c r="BB35" s="709"/>
      <c r="BC35" s="709"/>
      <c r="BD35" s="709"/>
      <c r="BE35" s="709"/>
      <c r="BF35" s="709"/>
      <c r="BG35" s="709"/>
      <c r="BH35" s="709"/>
      <c r="BI35" s="709"/>
      <c r="BJ35" s="709"/>
      <c r="BK35" s="709"/>
      <c r="BL35" s="709"/>
    </row>
    <row r="36" spans="1:64" s="1416" customFormat="1" ht="16.5" customHeight="1">
      <c r="A36" s="1414"/>
      <c r="B36" s="1414"/>
      <c r="C36" s="1407" t="s">
        <v>750</v>
      </c>
      <c r="D36" s="1417"/>
      <c r="E36" s="1417"/>
      <c r="F36" s="1409">
        <v>10800</v>
      </c>
      <c r="G36" s="1417"/>
      <c r="H36" s="1409">
        <v>10800</v>
      </c>
      <c r="I36" s="1411">
        <v>10547</v>
      </c>
      <c r="J36" s="1412">
        <f t="shared" si="0"/>
        <v>0.976574074074074</v>
      </c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/>
      <c r="X36" s="709"/>
      <c r="Y36" s="709"/>
      <c r="Z36" s="709"/>
      <c r="AA36" s="709"/>
      <c r="AB36" s="709"/>
      <c r="AC36" s="709"/>
      <c r="AD36" s="709"/>
      <c r="AE36" s="709"/>
      <c r="AF36" s="709"/>
      <c r="AG36" s="709"/>
      <c r="AH36" s="709"/>
      <c r="AI36" s="709"/>
      <c r="AJ36" s="709"/>
      <c r="AK36" s="709"/>
      <c r="AL36" s="709"/>
      <c r="AM36" s="709"/>
      <c r="AN36" s="709"/>
      <c r="AO36" s="709"/>
      <c r="AP36" s="709"/>
      <c r="AQ36" s="709"/>
      <c r="AR36" s="709"/>
      <c r="AS36" s="709"/>
      <c r="AT36" s="709"/>
      <c r="AU36" s="709"/>
      <c r="AV36" s="709"/>
      <c r="AW36" s="709"/>
      <c r="AX36" s="709"/>
      <c r="AY36" s="709"/>
      <c r="AZ36" s="709"/>
      <c r="BA36" s="709"/>
      <c r="BB36" s="709"/>
      <c r="BC36" s="709"/>
      <c r="BD36" s="709"/>
      <c r="BE36" s="709"/>
      <c r="BF36" s="709"/>
      <c r="BG36" s="709"/>
      <c r="BH36" s="709"/>
      <c r="BI36" s="709"/>
      <c r="BJ36" s="709"/>
      <c r="BK36" s="709"/>
      <c r="BL36" s="709"/>
    </row>
    <row r="37" spans="1:10" s="709" customFormat="1" ht="16.5" customHeight="1">
      <c r="A37" s="1418"/>
      <c r="B37" s="1418"/>
      <c r="C37" s="1418" t="s">
        <v>291</v>
      </c>
      <c r="D37" s="1418"/>
      <c r="E37" s="1418"/>
      <c r="F37" s="1428">
        <v>10000</v>
      </c>
      <c r="G37" s="1418"/>
      <c r="H37" s="1428">
        <v>3900</v>
      </c>
      <c r="I37" s="1428"/>
      <c r="J37" s="1423"/>
    </row>
    <row r="40" ht="14.25">
      <c r="I40" s="375" t="s">
        <v>330</v>
      </c>
    </row>
    <row r="41" ht="14.25">
      <c r="I41" s="694" t="s">
        <v>331</v>
      </c>
    </row>
  </sheetData>
  <mergeCells count="1">
    <mergeCell ref="A1:C1"/>
  </mergeCells>
  <printOptions horizontalCentered="1"/>
  <pageMargins left="0.5905511811023623" right="0.5905511811023623" top="0.6692913385826772" bottom="0.6692913385826772" header="0.4330708661417323" footer="0.5118110236220472"/>
  <pageSetup firstPageNumber="71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2005-03-21T13:26:33Z</cp:lastPrinted>
  <dcterms:created xsi:type="dcterms:W3CDTF">1999-10-22T05:56:32Z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