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inwestycje" sheetId="1" r:id="rId1"/>
  </sheets>
  <definedNames>
    <definedName name="_xlnm.Print_Titles" localSheetId="0">'inwestycje'!$7:$11</definedName>
  </definedNames>
  <calcPr fullCalcOnLoad="1"/>
</workbook>
</file>

<file path=xl/sharedStrings.xml><?xml version="1.0" encoding="utf-8"?>
<sst xmlns="http://schemas.openxmlformats.org/spreadsheetml/2006/main" count="212" uniqueCount="174">
  <si>
    <t>w złotych</t>
  </si>
  <si>
    <t>z tego:</t>
  </si>
  <si>
    <t>Dział</t>
  </si>
  <si>
    <t>Rozdz.</t>
  </si>
  <si>
    <t>ze środków</t>
  </si>
  <si>
    <t>kredytów,</t>
  </si>
  <si>
    <t xml:space="preserve">ze </t>
  </si>
  <si>
    <t xml:space="preserve">własnych </t>
  </si>
  <si>
    <t>środków</t>
  </si>
  <si>
    <t>budżetu państwa</t>
  </si>
  <si>
    <t>Wydatki na zadania własne</t>
  </si>
  <si>
    <t>Pozostała działalność</t>
  </si>
  <si>
    <t>Transport i łączność</t>
  </si>
  <si>
    <t>Drogi publiczne w miastach na prawach powiatu</t>
  </si>
  <si>
    <t>dokumentacja techniczna</t>
  </si>
  <si>
    <t>Drogi publiczne gminne</t>
  </si>
  <si>
    <t>zakupy inwestycyjne</t>
  </si>
  <si>
    <t>Gospodarka mieszkaniowa</t>
  </si>
  <si>
    <t>Administracja publiczna</t>
  </si>
  <si>
    <t>Bezpieczeństwo publiczne i ochrona przeciwpożarowa</t>
  </si>
  <si>
    <t>Komendy powiatowe Policji</t>
  </si>
  <si>
    <t>Komendy powiatowe Państwowej Straży Pożarnej</t>
  </si>
  <si>
    <t>Oświata i wychowanie</t>
  </si>
  <si>
    <t>Szkoły podstawowe</t>
  </si>
  <si>
    <t>Gimnazja</t>
  </si>
  <si>
    <t>Ochrona zdrowia</t>
  </si>
  <si>
    <t>Lecznictwo ambulatoryjne</t>
  </si>
  <si>
    <t>modernizacje obiektów</t>
  </si>
  <si>
    <t>Domy pomocy społecznej</t>
  </si>
  <si>
    <t>Gospodarka komunalna i ochrona środowiska</t>
  </si>
  <si>
    <t>Gospodarka ściekowa i ochrona wód</t>
  </si>
  <si>
    <t>Oświetlenie ulic, placów i dróg</t>
  </si>
  <si>
    <t>wykup gruntów</t>
  </si>
  <si>
    <t>infrastruktura techniczna dla inwestorów budownictwa wielorodzinnego</t>
  </si>
  <si>
    <t>inwestycje realizowane przy udziale mieszkańców</t>
  </si>
  <si>
    <t>dokumentacja przyszłościowa</t>
  </si>
  <si>
    <t>Kultura i ochrona dziedzictwa narodowego</t>
  </si>
  <si>
    <t>Ochrona i konserwacja zabytków</t>
  </si>
  <si>
    <t xml:space="preserve">trasa turystyczna </t>
  </si>
  <si>
    <t>Plac Rybny ze schodami do ul. Kowalskiej</t>
  </si>
  <si>
    <t>Kultura fizyczna i sport</t>
  </si>
  <si>
    <t>Obiekty sportowe</t>
  </si>
  <si>
    <t>boiska osiedlowe</t>
  </si>
  <si>
    <t>Instytucje kultury fizycznej</t>
  </si>
  <si>
    <t>Wydatki na zadania zlecone</t>
  </si>
  <si>
    <t>Wydatki na zadania ustawowo zlecone gminie</t>
  </si>
  <si>
    <t>Wydatki na zadania z zakresu administracji rządowej wykonywane przez powiat</t>
  </si>
  <si>
    <t>trasa zielona</t>
  </si>
  <si>
    <t>Szkoły zawodowe</t>
  </si>
  <si>
    <t>Ośrodki wsparcia</t>
  </si>
  <si>
    <t>budowa gimnazjum przy ul. Roztocze</t>
  </si>
  <si>
    <t>ul. Willowa</t>
  </si>
  <si>
    <t>budownictwo mieszkaniowe komunalne 
i socjalne</t>
  </si>
  <si>
    <t>Urzędy miast i miast na prawach powiatu</t>
  </si>
  <si>
    <t>budżetu miasta</t>
  </si>
  <si>
    <t>Ogółem wydatki majątkowe</t>
  </si>
  <si>
    <t>węzeł drogowy Poniatowskiego (wiadukt 
z połączeniem do ul. ks. Popiełuszki)</t>
  </si>
  <si>
    <t xml:space="preserve">składowisko odpadów w Rokitnie zad. 1 </t>
  </si>
  <si>
    <t>przebudowa al. Spółdzielczości Pracy</t>
  </si>
  <si>
    <t>ul. Wyżynna</t>
  </si>
  <si>
    <t>udział w Towarzystwie Budownictwa Społecznego "Nowy Dom" - budownictwo mieszkaniowe</t>
  </si>
  <si>
    <t>system monitoringu w mieście</t>
  </si>
  <si>
    <t>sieć wodociągowa w ul. Prusa</t>
  </si>
  <si>
    <t>Zakłady gospodarki mieszkaniowej</t>
  </si>
  <si>
    <t>modernizacje budynków</t>
  </si>
  <si>
    <t xml:space="preserve">modernizacje budynków </t>
  </si>
  <si>
    <t>iluminacja bazyliki oo. Dominikanów</t>
  </si>
  <si>
    <t xml:space="preserve">pożyczek </t>
  </si>
  <si>
    <t>i innych środków</t>
  </si>
  <si>
    <t xml:space="preserve">budowa i modernizacja zatok, chodników, parkingów i kładek dla pieszych </t>
  </si>
  <si>
    <t>Centra kultury i sztuki</t>
  </si>
  <si>
    <t>Zadania w zakresie kultury fizycznej 
i sportu</t>
  </si>
  <si>
    <t>sieć wodociągowa w ul. Mełgiewskiej</t>
  </si>
  <si>
    <t>Ośrodki pomocy społecznej</t>
  </si>
  <si>
    <t xml:space="preserve">zakupy inwestycje </t>
  </si>
  <si>
    <t>Licea ogólnokształcące</t>
  </si>
  <si>
    <t>ze środków własnych budżetu miasta</t>
  </si>
  <si>
    <t>ze środków budżetu państwa</t>
  </si>
  <si>
    <t xml:space="preserve">Wydatki majątkowe </t>
  </si>
  <si>
    <t>%                    9:5</t>
  </si>
  <si>
    <t xml:space="preserve">Nazwa: działu, rozdziału, </t>
  </si>
  <si>
    <t>zadania inwestycyjnego</t>
  </si>
  <si>
    <t>%                           10:6</t>
  </si>
  <si>
    <t>Przeciwdziałanie alkoholizmowi</t>
  </si>
  <si>
    <t>budowa boisk</t>
  </si>
  <si>
    <t>zabezpieczenie przeciwpowodziowe 
w cofce Zbiornika Zemborzyckiego</t>
  </si>
  <si>
    <t>z kredytów, pożyczek 
i innych środków</t>
  </si>
  <si>
    <t>Zespoły do spraw orzekania 
o niepełnosprawności</t>
  </si>
  <si>
    <t>Planowane wydatki majątkowe na 2004 rok po zmianach</t>
  </si>
  <si>
    <t>przedłużenie ul. Krańcowej do ul. Kunickiego wraz z mostem na rzecze Czerniejówce</t>
  </si>
  <si>
    <t xml:space="preserve">ścieżki rowerowe </t>
  </si>
  <si>
    <t>Działalność usługowa</t>
  </si>
  <si>
    <t>udziały w "Lubelskim Parku Naukowo-Technologicznym" Sp. z o.o.</t>
  </si>
  <si>
    <t>zakupy inwestycyjne dla Miejskiego Zespołu Reagowania Kryzysowego</t>
  </si>
  <si>
    <t>termomodernizacje obiektów szkolnych</t>
  </si>
  <si>
    <t>Przedszkola</t>
  </si>
  <si>
    <t xml:space="preserve">termomodernizacje obiektów </t>
  </si>
  <si>
    <t xml:space="preserve">modernizacje przychodni </t>
  </si>
  <si>
    <t>Pomoc społeczna</t>
  </si>
  <si>
    <t>Placówki opiekuńczo-wychowawcze</t>
  </si>
  <si>
    <t>termomodernizacja obiektu</t>
  </si>
  <si>
    <t>modernizacja obiektu</t>
  </si>
  <si>
    <t>Pozostałe zadania w zakresie polityki społecznej</t>
  </si>
  <si>
    <t>Żłobki</t>
  </si>
  <si>
    <t>Powiatowe urzędy pracy</t>
  </si>
  <si>
    <t>odsetki od zaciągniętych pożyczek</t>
  </si>
  <si>
    <t>kanalizacja sanitarna dla os. Rudnik i Bursaki</t>
  </si>
  <si>
    <t>Gospodarka odpadami</t>
  </si>
  <si>
    <t>budowa zakładu utylizacji odpadów komunalnych dla Lublina i gmin ościennych</t>
  </si>
  <si>
    <t>oświetlenie ulic</t>
  </si>
  <si>
    <t>urządzanie placów zabaw</t>
  </si>
  <si>
    <t>Biblioteki</t>
  </si>
  <si>
    <t>adaptacja klasztoru powizytkowskiego na wielofunkcyjne Centrum Kultury</t>
  </si>
  <si>
    <t>budowa Parków Sportowych - skateparków</t>
  </si>
  <si>
    <t>Turystyka</t>
  </si>
  <si>
    <t>Ośrodki informacji turystycznej</t>
  </si>
  <si>
    <t>Zadania w zakresie upowszechniania turystyki</t>
  </si>
  <si>
    <t>przebudowa ul. Królewskiej wraz z placem Katedralnym</t>
  </si>
  <si>
    <t>budowa połączeń ulic i ciągów pieszych</t>
  </si>
  <si>
    <t>ul. Bursaki (połączenie z al. Smorawińskiego)</t>
  </si>
  <si>
    <t>mur oporowy oddzielający boisko II LO 
im. Zamoyskiego od posesji Starostwa Powiatowego przy ul. Spokojnej</t>
  </si>
  <si>
    <t>budowa wielofunkcyjnej hali sportowo-widowiskowej i lodowiska treningowego 
przy ul. Kazimierza Wielkiego</t>
  </si>
  <si>
    <t>połączenie ul. Głębokiej 
z ul. Spadochroniarzy</t>
  </si>
  <si>
    <t>przebudowa ul. Poniatowskiego 
i ul. Sowińskiego (od ul. ks. Popiełuszki 
do ul. Filaretów)</t>
  </si>
  <si>
    <t>przebudowa skrzyżowań wraz 
z sygnalizacjami świetlnymi</t>
  </si>
  <si>
    <t>dofinansowanie budowy komisariatu 
IV Policji</t>
  </si>
  <si>
    <t>sieć kanalizacji sanitarnej i deszczowej 
od ul. Dominikańskiej do ul. Podwale</t>
  </si>
  <si>
    <t>modernizacja stadionu 
przy Al. Zygmuntowskich 5</t>
  </si>
  <si>
    <t>modernizacja hali sportowej 
przy Al. Zygmuntowskich 4</t>
  </si>
  <si>
    <t>obwodnica miejska od węzła 
al. Tysiąclecia - ul. Hutnicza 
do ul. Mełgiewskiej</t>
  </si>
  <si>
    <t>przedłużenie ul. Jana Pawła II 
do al. Kraśnickiej</t>
  </si>
  <si>
    <t>odprowadzenie wód deszczowych 
z osiedli: Szerokie, Lipniak, Węglin Południowy i Północny, Sławin</t>
  </si>
  <si>
    <t>przebudowa ulic: 3-go Maja 
i Radziwiłłowskiej wraz ze skrzyżowaniami</t>
  </si>
  <si>
    <t>Towarzystwa budownictwa 
społecznego</t>
  </si>
  <si>
    <t>odprowadzenie wód deszczowych 
z os. Rudnik i Bursaki</t>
  </si>
  <si>
    <t>do uchwały nr</t>
  </si>
  <si>
    <t>Rady Miasta Lublin</t>
  </si>
  <si>
    <t>z dnia</t>
  </si>
  <si>
    <t>ul. Olejna i Szambelańska</t>
  </si>
  <si>
    <t xml:space="preserve">modernizacje obiektów </t>
  </si>
  <si>
    <t>modernizacje szkół</t>
  </si>
  <si>
    <t>doposażenie placówki wsparcia dziennego</t>
  </si>
  <si>
    <t>modernizacja i rozbudowa ośrodka dla osób niepełnosprawnych nad Zalewem Zemborzyckim</t>
  </si>
  <si>
    <t>zakupy inwestycyjne w ramach programu "Promocja wzrostu zatrudnienia wśród młodzieży"</t>
  </si>
  <si>
    <t>budowa kanalizacji sanitarnej w os. Widok II</t>
  </si>
  <si>
    <t>Pozostałe zadania w zakresie kultury</t>
  </si>
  <si>
    <t>iluminacja Archikatedry Lubelskiej</t>
  </si>
  <si>
    <t>dotacja na inwestycje w Środowiskowym Domu Samopomocy dla osób z Chorobą Alzheimera</t>
  </si>
  <si>
    <t>Cmentarze</t>
  </si>
  <si>
    <t>Załącznik nr 4</t>
  </si>
  <si>
    <t>Planowane wydatki majątkowe 
na 2004 rok 
wg uchwały budżetowej</t>
  </si>
  <si>
    <t>Wykonanie 
na 31 grudnia
2004 roku</t>
  </si>
  <si>
    <t>cmentarz komunalny (kontynuacja)</t>
  </si>
  <si>
    <t>zakup samochodu operacyjnego</t>
  </si>
  <si>
    <t>budowa Lubelskiego Ośrodka Wychodzenia 
z Bezdomności</t>
  </si>
  <si>
    <t>zakupy inwestycyjne w ramach projektu "Blisko, coraz bliżej - Euroregionalny Ośrodek Informacji i Współpracy Kulturalnej 
w Lublinie"</t>
  </si>
  <si>
    <t>Świadczenia rodzinne oraz składki 
na ubezpieczenia emerytalne i rentowe 
z ubezpieczenia społecznego</t>
  </si>
  <si>
    <t>przebudowa ul. Budowlanej 
(od ul. Zemborzyckiej do ul. Smoluchowskiego)</t>
  </si>
  <si>
    <t>Jednostki specjalistycznego poradnictwa, mieszkania chronione i ośrodki interwencji</t>
  </si>
  <si>
    <t>informatyzacja Miejskiej Biblioteki Publicznej 
i utworzenie PIAP-ów w filiach MBP (I i II etap)</t>
  </si>
  <si>
    <t>zakup mieszkania</t>
  </si>
  <si>
    <t>rozbudowa Szkoły Podstawowej nr 21 
- I etap</t>
  </si>
  <si>
    <t>Szkoła Podstawowa nr 39 przy 
ul. Krężnickiej</t>
  </si>
  <si>
    <t>Szkoła Podstawowa nr 51 w os. Widok</t>
  </si>
  <si>
    <t>Szkoła Podstawowa nr 52 w os. Felin</t>
  </si>
  <si>
    <t>budowa sali gimnastycznej w Szkole Podstawowej nr 48</t>
  </si>
  <si>
    <t>Gimnazjum nr 3</t>
  </si>
  <si>
    <t>Zespół Szkół nr 1</t>
  </si>
  <si>
    <t>Zespół Szkół nr 5</t>
  </si>
  <si>
    <t>SKARBNIK MIASTA LUBLIN</t>
  </si>
  <si>
    <t>PREZYDENT</t>
  </si>
  <si>
    <t>Miasta Lublin</t>
  </si>
  <si>
    <t>mgr Irena Szumlak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</si>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</sst>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3"/>
      <name val="Arial CE"/>
      <family val="2"/>
    </font>
    <font>
      <b/>
      <i/>
      <sz val="13"/>
      <name val="Arial CE"/>
      <family val="2"/>
    </font>
    <font>
      <b/>
      <sz val="16"/>
      <name val="Arial CE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Alignment="0"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10" fontId="7" fillId="0" borderId="16" xfId="0" applyNumberFormat="1" applyFont="1" applyBorder="1" applyAlignment="1">
      <alignment/>
    </xf>
    <xf numFmtId="1" fontId="7" fillId="2" borderId="19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3" fontId="7" fillId="2" borderId="14" xfId="0" applyNumberFormat="1" applyFont="1" applyFill="1" applyBorder="1" applyAlignment="1">
      <alignment/>
    </xf>
    <xf numFmtId="3" fontId="7" fillId="2" borderId="21" xfId="0" applyNumberFormat="1" applyFont="1" applyFill="1" applyBorder="1" applyAlignment="1">
      <alignment/>
    </xf>
    <xf numFmtId="3" fontId="7" fillId="2" borderId="22" xfId="0" applyNumberFormat="1" applyFont="1" applyFill="1" applyBorder="1" applyAlignment="1">
      <alignment/>
    </xf>
    <xf numFmtId="10" fontId="7" fillId="2" borderId="14" xfId="0" applyNumberFormat="1" applyFont="1" applyFill="1" applyBorder="1" applyAlignment="1">
      <alignment/>
    </xf>
    <xf numFmtId="1" fontId="7" fillId="0" borderId="2" xfId="0" applyNumberFormat="1" applyFont="1" applyBorder="1" applyAlignment="1">
      <alignment/>
    </xf>
    <xf numFmtId="1" fontId="7" fillId="0" borderId="19" xfId="0" applyNumberFormat="1" applyFont="1" applyBorder="1" applyAlignment="1">
      <alignment vertical="top"/>
    </xf>
    <xf numFmtId="3" fontId="7" fillId="0" borderId="23" xfId="0" applyNumberFormat="1" applyFont="1" applyBorder="1" applyAlignment="1">
      <alignment wrapText="1"/>
    </xf>
    <xf numFmtId="3" fontId="7" fillId="0" borderId="19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10" fontId="7" fillId="0" borderId="19" xfId="0" applyNumberFormat="1" applyFont="1" applyBorder="1" applyAlignment="1">
      <alignment/>
    </xf>
    <xf numFmtId="1" fontId="9" fillId="0" borderId="2" xfId="0" applyNumberFormat="1" applyFont="1" applyBorder="1" applyAlignment="1">
      <alignment/>
    </xf>
    <xf numFmtId="1" fontId="9" fillId="0" borderId="2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10" fontId="9" fillId="0" borderId="29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10" fontId="9" fillId="0" borderId="34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10" fontId="9" fillId="0" borderId="37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10" fontId="9" fillId="0" borderId="27" xfId="0" applyNumberFormat="1" applyFont="1" applyBorder="1" applyAlignment="1">
      <alignment/>
    </xf>
    <xf numFmtId="1" fontId="7" fillId="0" borderId="19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10" fontId="9" fillId="0" borderId="34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1" fontId="9" fillId="0" borderId="14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10" fontId="9" fillId="0" borderId="44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1" fontId="9" fillId="0" borderId="2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7" fillId="2" borderId="23" xfId="0" applyNumberFormat="1" applyFont="1" applyFill="1" applyBorder="1" applyAlignment="1">
      <alignment/>
    </xf>
    <xf numFmtId="3" fontId="7" fillId="2" borderId="19" xfId="0" applyNumberFormat="1" applyFont="1" applyFill="1" applyBorder="1" applyAlignment="1">
      <alignment/>
    </xf>
    <xf numFmtId="3" fontId="7" fillId="2" borderId="24" xfId="0" applyNumberFormat="1" applyFont="1" applyFill="1" applyBorder="1" applyAlignment="1">
      <alignment/>
    </xf>
    <xf numFmtId="3" fontId="7" fillId="2" borderId="25" xfId="0" applyNumberFormat="1" applyFont="1" applyFill="1" applyBorder="1" applyAlignment="1">
      <alignment/>
    </xf>
    <xf numFmtId="10" fontId="7" fillId="2" borderId="19" xfId="0" applyNumberFormat="1" applyFont="1" applyFill="1" applyBorder="1" applyAlignment="1">
      <alignment/>
    </xf>
    <xf numFmtId="1" fontId="9" fillId="0" borderId="19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10" fontId="9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1" fontId="7" fillId="0" borderId="26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10" fontId="9" fillId="0" borderId="2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1" fontId="7" fillId="2" borderId="19" xfId="0" applyNumberFormat="1" applyFont="1" applyFill="1" applyBorder="1" applyAlignment="1">
      <alignment/>
    </xf>
    <xf numFmtId="3" fontId="7" fillId="2" borderId="23" xfId="0" applyNumberFormat="1" applyFont="1" applyFill="1" applyBorder="1" applyAlignment="1">
      <alignment wrapText="1"/>
    </xf>
    <xf numFmtId="3" fontId="9" fillId="0" borderId="2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3" fontId="9" fillId="0" borderId="49" xfId="0" applyNumberFormat="1" applyFont="1" applyBorder="1" applyAlignment="1">
      <alignment/>
    </xf>
    <xf numFmtId="10" fontId="9" fillId="0" borderId="26" xfId="0" applyNumberFormat="1" applyFont="1" applyBorder="1" applyAlignment="1">
      <alignment/>
    </xf>
    <xf numFmtId="1" fontId="7" fillId="0" borderId="14" xfId="0" applyNumberFormat="1" applyFont="1" applyBorder="1" applyAlignment="1">
      <alignment vertical="top"/>
    </xf>
    <xf numFmtId="3" fontId="7" fillId="0" borderId="20" xfId="0" applyNumberFormat="1" applyFont="1" applyBorder="1" applyAlignment="1">
      <alignment wrapText="1"/>
    </xf>
    <xf numFmtId="10" fontId="7" fillId="0" borderId="14" xfId="0" applyNumberFormat="1" applyFont="1" applyBorder="1" applyAlignment="1">
      <alignment/>
    </xf>
    <xf numFmtId="1" fontId="7" fillId="0" borderId="19" xfId="0" applyNumberFormat="1" applyFont="1" applyBorder="1" applyAlignment="1">
      <alignment/>
    </xf>
    <xf numFmtId="10" fontId="9" fillId="0" borderId="14" xfId="0" applyNumberFormat="1" applyFont="1" applyBorder="1" applyAlignment="1">
      <alignment/>
    </xf>
    <xf numFmtId="1" fontId="7" fillId="2" borderId="14" xfId="0" applyNumberFormat="1" applyFont="1" applyFill="1" applyBorder="1" applyAlignment="1">
      <alignment/>
    </xf>
    <xf numFmtId="1" fontId="7" fillId="2" borderId="14" xfId="0" applyNumberFormat="1" applyFont="1" applyFill="1" applyBorder="1" applyAlignment="1">
      <alignment/>
    </xf>
    <xf numFmtId="3" fontId="7" fillId="2" borderId="19" xfId="0" applyNumberFormat="1" applyFont="1" applyFill="1" applyBorder="1" applyAlignment="1">
      <alignment wrapText="1"/>
    </xf>
    <xf numFmtId="3" fontId="9" fillId="0" borderId="50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 wrapText="1"/>
    </xf>
    <xf numFmtId="3" fontId="7" fillId="2" borderId="20" xfId="0" applyNumberFormat="1" applyFont="1" applyFill="1" applyBorder="1" applyAlignment="1">
      <alignment wrapText="1"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0" fontId="7" fillId="3" borderId="19" xfId="0" applyNumberFormat="1" applyFont="1" applyFill="1" applyBorder="1" applyAlignment="1">
      <alignment/>
    </xf>
    <xf numFmtId="10" fontId="9" fillId="3" borderId="19" xfId="0" applyNumberFormat="1" applyFont="1" applyFill="1" applyBorder="1" applyAlignment="1">
      <alignment/>
    </xf>
    <xf numFmtId="1" fontId="10" fillId="0" borderId="2" xfId="0" applyNumberFormat="1" applyFont="1" applyBorder="1" applyAlignment="1">
      <alignment/>
    </xf>
    <xf numFmtId="3" fontId="10" fillId="0" borderId="5" xfId="0" applyNumberFormat="1" applyFont="1" applyBorder="1" applyAlignment="1">
      <alignment wrapText="1"/>
    </xf>
    <xf numFmtId="3" fontId="10" fillId="0" borderId="2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10" fontId="10" fillId="0" borderId="2" xfId="0" applyNumberFormat="1" applyFont="1" applyBorder="1" applyAlignment="1">
      <alignment/>
    </xf>
    <xf numFmtId="1" fontId="7" fillId="2" borderId="23" xfId="0" applyNumberFormat="1" applyFont="1" applyFill="1" applyBorder="1" applyAlignment="1">
      <alignment/>
    </xf>
    <xf numFmtId="3" fontId="10" fillId="0" borderId="23" xfId="0" applyNumberFormat="1" applyFont="1" applyBorder="1" applyAlignment="1">
      <alignment wrapText="1"/>
    </xf>
    <xf numFmtId="3" fontId="10" fillId="0" borderId="19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10" fontId="10" fillId="0" borderId="19" xfId="0" applyNumberFormat="1" applyFont="1" applyBorder="1" applyAlignment="1">
      <alignment/>
    </xf>
    <xf numFmtId="10" fontId="9" fillId="0" borderId="14" xfId="0" applyNumberFormat="1" applyFont="1" applyBorder="1" applyAlignment="1">
      <alignment/>
    </xf>
    <xf numFmtId="10" fontId="9" fillId="0" borderId="29" xfId="0" applyNumberFormat="1" applyFont="1" applyBorder="1" applyAlignment="1">
      <alignment/>
    </xf>
    <xf numFmtId="10" fontId="9" fillId="0" borderId="37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10" fontId="9" fillId="4" borderId="19" xfId="0" applyNumberFormat="1" applyFont="1" applyFill="1" applyBorder="1" applyAlignment="1">
      <alignment/>
    </xf>
    <xf numFmtId="10" fontId="7" fillId="4" borderId="19" xfId="0" applyNumberFormat="1" applyFont="1" applyFill="1" applyBorder="1" applyAlignment="1">
      <alignment/>
    </xf>
    <xf numFmtId="10" fontId="7" fillId="0" borderId="44" xfId="0" applyNumberFormat="1" applyFont="1" applyBorder="1" applyAlignment="1">
      <alignment/>
    </xf>
    <xf numFmtId="10" fontId="7" fillId="0" borderId="27" xfId="0" applyNumberFormat="1" applyFont="1" applyBorder="1" applyAlignment="1">
      <alignment/>
    </xf>
    <xf numFmtId="10" fontId="7" fillId="0" borderId="26" xfId="0" applyNumberFormat="1" applyFont="1" applyBorder="1" applyAlignment="1">
      <alignment/>
    </xf>
    <xf numFmtId="1" fontId="3" fillId="0" borderId="51" xfId="0" applyNumberFormat="1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1" xfId="0" applyFont="1" applyBorder="1" applyAlignment="1">
      <alignment/>
    </xf>
    <xf numFmtId="0" fontId="1" fillId="0" borderId="0" xfId="0" applyFont="1" applyAlignment="1">
      <alignment/>
    </xf>
    <xf numFmtId="1" fontId="3" fillId="0" borderId="57" xfId="0" applyNumberFormat="1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1" fontId="1" fillId="0" borderId="60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61" xfId="0" applyFont="1" applyBorder="1" applyAlignment="1">
      <alignment horizontal="center" vertical="top" wrapText="1"/>
    </xf>
    <xf numFmtId="1" fontId="1" fillId="0" borderId="62" xfId="0" applyNumberFormat="1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3" fontId="7" fillId="0" borderId="12" xfId="0" applyNumberFormat="1" applyFont="1" applyBorder="1" applyAlignment="1">
      <alignment horizontal="right"/>
    </xf>
    <xf numFmtId="3" fontId="9" fillId="0" borderId="30" xfId="0" applyNumberFormat="1" applyFont="1" applyBorder="1" applyAlignment="1">
      <alignment/>
    </xf>
    <xf numFmtId="3" fontId="9" fillId="0" borderId="35" xfId="0" applyNumberFormat="1" applyFont="1" applyBorder="1" applyAlignment="1">
      <alignment wrapText="1"/>
    </xf>
    <xf numFmtId="3" fontId="9" fillId="0" borderId="32" xfId="0" applyNumberFormat="1" applyFont="1" applyBorder="1" applyAlignment="1">
      <alignment wrapText="1"/>
    </xf>
    <xf numFmtId="3" fontId="9" fillId="0" borderId="37" xfId="0" applyNumberFormat="1" applyFont="1" applyBorder="1" applyAlignment="1">
      <alignment wrapText="1"/>
    </xf>
    <xf numFmtId="3" fontId="9" fillId="0" borderId="23" xfId="0" applyNumberFormat="1" applyFont="1" applyBorder="1" applyAlignment="1">
      <alignment wrapText="1"/>
    </xf>
    <xf numFmtId="3" fontId="9" fillId="0" borderId="30" xfId="0" applyNumberFormat="1" applyFont="1" applyBorder="1" applyAlignment="1">
      <alignment wrapText="1"/>
    </xf>
    <xf numFmtId="3" fontId="9" fillId="0" borderId="20" xfId="0" applyNumberFormat="1" applyFont="1" applyBorder="1" applyAlignment="1">
      <alignment wrapText="1"/>
    </xf>
    <xf numFmtId="3" fontId="9" fillId="0" borderId="5" xfId="0" applyNumberFormat="1" applyFont="1" applyBorder="1" applyAlignment="1">
      <alignment wrapText="1"/>
    </xf>
    <xf numFmtId="3" fontId="9" fillId="0" borderId="45" xfId="0" applyNumberFormat="1" applyFont="1" applyBorder="1" applyAlignment="1">
      <alignment wrapText="1"/>
    </xf>
    <xf numFmtId="3" fontId="9" fillId="0" borderId="41" xfId="0" applyNumberFormat="1" applyFont="1" applyBorder="1" applyAlignment="1">
      <alignment wrapText="1"/>
    </xf>
    <xf numFmtId="3" fontId="9" fillId="0" borderId="48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9" fillId="0" borderId="23" xfId="0" applyFont="1" applyBorder="1" applyAlignment="1">
      <alignment horizontal="left" wrapText="1"/>
    </xf>
    <xf numFmtId="3" fontId="9" fillId="0" borderId="48" xfId="0" applyNumberFormat="1" applyFont="1" applyBorder="1" applyAlignment="1">
      <alignment wrapText="1"/>
    </xf>
    <xf numFmtId="1" fontId="11" fillId="0" borderId="0" xfId="0" applyNumberFormat="1" applyFont="1" applyAlignment="1">
      <alignment/>
    </xf>
    <xf numFmtId="10" fontId="10" fillId="0" borderId="14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7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6" fillId="4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plan98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1"/>
  <sheetViews>
    <sheetView tabSelected="1" zoomScale="75" zoomScaleNormal="75" workbookViewId="0" topLeftCell="A1">
      <selection activeCell="P207" sqref="P207"/>
    </sheetView>
  </sheetViews>
  <sheetFormatPr defaultColWidth="9.00390625" defaultRowHeight="12.75"/>
  <cols>
    <col min="1" max="1" width="6.25390625" style="1" customWidth="1"/>
    <col min="2" max="2" width="7.75390625" style="1" customWidth="1"/>
    <col min="3" max="3" width="48.375" style="0" customWidth="1"/>
    <col min="4" max="4" width="15.75390625" style="0" customWidth="1"/>
    <col min="5" max="7" width="15.75390625" style="0" hidden="1" customWidth="1"/>
    <col min="8" max="8" width="15.25390625" style="0" customWidth="1"/>
    <col min="9" max="9" width="15.125" style="0" customWidth="1"/>
    <col min="10" max="10" width="15.00390625" style="0" customWidth="1"/>
    <col min="11" max="11" width="14.125" style="0" customWidth="1"/>
    <col min="12" max="13" width="15.00390625" style="0" customWidth="1"/>
    <col min="14" max="14" width="14.625" style="0" customWidth="1"/>
    <col min="15" max="15" width="14.25390625" style="0" customWidth="1"/>
    <col min="16" max="17" width="11.75390625" style="0" customWidth="1"/>
  </cols>
  <sheetData>
    <row r="1" spans="5:15" ht="19.5" customHeight="1">
      <c r="E1" s="17"/>
      <c r="I1" s="17"/>
      <c r="M1" s="17"/>
      <c r="O1" s="17" t="s">
        <v>149</v>
      </c>
    </row>
    <row r="2" spans="1:15" s="3" customFormat="1" ht="19.5" customHeight="1">
      <c r="A2" s="2"/>
      <c r="B2" s="201" t="s">
        <v>78</v>
      </c>
      <c r="C2" s="14"/>
      <c r="E2" s="17"/>
      <c r="I2" s="17"/>
      <c r="M2" s="17"/>
      <c r="O2" s="17" t="s">
        <v>135</v>
      </c>
    </row>
    <row r="3" spans="5:15" ht="19.5" customHeight="1">
      <c r="E3" s="17"/>
      <c r="I3" s="17"/>
      <c r="M3" s="17"/>
      <c r="O3" s="17" t="s">
        <v>136</v>
      </c>
    </row>
    <row r="4" spans="5:15" ht="19.5" customHeight="1">
      <c r="E4" s="17"/>
      <c r="I4" s="17"/>
      <c r="M4" s="17"/>
      <c r="O4" s="17" t="s">
        <v>137</v>
      </c>
    </row>
    <row r="5" spans="5:13" ht="19.5" customHeight="1">
      <c r="E5" s="14"/>
      <c r="I5" s="14"/>
      <c r="M5" s="14"/>
    </row>
    <row r="6" spans="6:17" ht="19.5" customHeight="1" thickBot="1">
      <c r="F6" s="4"/>
      <c r="G6" s="4" t="s">
        <v>0</v>
      </c>
      <c r="J6" s="4"/>
      <c r="K6" s="4"/>
      <c r="N6" s="4"/>
      <c r="O6" s="4"/>
      <c r="Q6" s="18" t="s">
        <v>0</v>
      </c>
    </row>
    <row r="7" spans="1:17" s="169" customFormat="1" ht="21.75" customHeight="1" thickBot="1" thickTop="1">
      <c r="A7" s="161"/>
      <c r="B7" s="161"/>
      <c r="C7" s="162"/>
      <c r="D7" s="214" t="s">
        <v>150</v>
      </c>
      <c r="E7" s="163" t="s">
        <v>1</v>
      </c>
      <c r="F7" s="163"/>
      <c r="G7" s="164"/>
      <c r="H7" s="213" t="s">
        <v>88</v>
      </c>
      <c r="I7" s="165" t="s">
        <v>1</v>
      </c>
      <c r="J7" s="166"/>
      <c r="K7" s="167"/>
      <c r="L7" s="213" t="s">
        <v>151</v>
      </c>
      <c r="M7" s="165" t="s">
        <v>1</v>
      </c>
      <c r="N7" s="166"/>
      <c r="O7" s="167"/>
      <c r="P7" s="168"/>
      <c r="Q7" s="168"/>
    </row>
    <row r="8" spans="1:17" s="169" customFormat="1" ht="21.75" customHeight="1" thickTop="1">
      <c r="A8" s="170" t="s">
        <v>2</v>
      </c>
      <c r="B8" s="170" t="s">
        <v>3</v>
      </c>
      <c r="C8" s="171" t="s">
        <v>80</v>
      </c>
      <c r="D8" s="215"/>
      <c r="E8" s="172" t="s">
        <v>4</v>
      </c>
      <c r="F8" s="173" t="s">
        <v>5</v>
      </c>
      <c r="G8" s="174" t="s">
        <v>6</v>
      </c>
      <c r="H8" s="207"/>
      <c r="I8" s="211" t="s">
        <v>76</v>
      </c>
      <c r="J8" s="203" t="s">
        <v>86</v>
      </c>
      <c r="K8" s="205" t="s">
        <v>77</v>
      </c>
      <c r="L8" s="207"/>
      <c r="M8" s="211" t="s">
        <v>76</v>
      </c>
      <c r="N8" s="203" t="s">
        <v>86</v>
      </c>
      <c r="O8" s="205" t="s">
        <v>77</v>
      </c>
      <c r="P8" s="207" t="s">
        <v>79</v>
      </c>
      <c r="Q8" s="207" t="s">
        <v>82</v>
      </c>
    </row>
    <row r="9" spans="1:17" s="169" customFormat="1" ht="21.75" customHeight="1">
      <c r="A9" s="175"/>
      <c r="B9" s="175"/>
      <c r="C9" s="171" t="s">
        <v>81</v>
      </c>
      <c r="D9" s="215"/>
      <c r="E9" s="176" t="s">
        <v>7</v>
      </c>
      <c r="F9" s="177" t="s">
        <v>67</v>
      </c>
      <c r="G9" s="178" t="s">
        <v>8</v>
      </c>
      <c r="H9" s="207"/>
      <c r="I9" s="211"/>
      <c r="J9" s="203"/>
      <c r="K9" s="205"/>
      <c r="L9" s="207"/>
      <c r="M9" s="211"/>
      <c r="N9" s="203"/>
      <c r="O9" s="205"/>
      <c r="P9" s="208"/>
      <c r="Q9" s="207"/>
    </row>
    <row r="10" spans="1:17" s="169" customFormat="1" ht="30.75" customHeight="1" thickBot="1">
      <c r="A10" s="179"/>
      <c r="B10" s="179"/>
      <c r="C10" s="180"/>
      <c r="D10" s="216"/>
      <c r="E10" s="181" t="s">
        <v>54</v>
      </c>
      <c r="F10" s="182" t="s">
        <v>68</v>
      </c>
      <c r="G10" s="183" t="s">
        <v>9</v>
      </c>
      <c r="H10" s="210"/>
      <c r="I10" s="212"/>
      <c r="J10" s="204"/>
      <c r="K10" s="206"/>
      <c r="L10" s="210"/>
      <c r="M10" s="212"/>
      <c r="N10" s="204"/>
      <c r="O10" s="206"/>
      <c r="P10" s="209"/>
      <c r="Q10" s="210"/>
    </row>
    <row r="11" spans="1:17" s="18" customFormat="1" ht="15.75" thickBot="1" thickTop="1">
      <c r="A11" s="184">
        <v>1</v>
      </c>
      <c r="B11" s="184">
        <v>2</v>
      </c>
      <c r="C11" s="185">
        <v>3</v>
      </c>
      <c r="D11" s="185">
        <v>4</v>
      </c>
      <c r="E11" s="185"/>
      <c r="F11" s="185"/>
      <c r="G11" s="185"/>
      <c r="H11" s="185">
        <v>5</v>
      </c>
      <c r="I11" s="185">
        <v>6</v>
      </c>
      <c r="J11" s="185">
        <v>7</v>
      </c>
      <c r="K11" s="185">
        <v>8</v>
      </c>
      <c r="L11" s="185">
        <v>9</v>
      </c>
      <c r="M11" s="185">
        <v>10</v>
      </c>
      <c r="N11" s="185">
        <v>11</v>
      </c>
      <c r="O11" s="185">
        <v>12</v>
      </c>
      <c r="P11" s="185">
        <v>13</v>
      </c>
      <c r="Q11" s="185">
        <v>14</v>
      </c>
    </row>
    <row r="12" spans="1:17" s="6" customFormat="1" ht="27" customHeight="1" thickBot="1" thickTop="1">
      <c r="A12" s="5"/>
      <c r="B12" s="5"/>
      <c r="C12" s="186" t="s">
        <v>55</v>
      </c>
      <c r="D12" s="27">
        <f>D14+D168</f>
        <v>88785450</v>
      </c>
      <c r="E12" s="28" t="e">
        <f>E14+E168+#REF!</f>
        <v>#REF!</v>
      </c>
      <c r="F12" s="27">
        <f>F14+F168</f>
        <v>65305868</v>
      </c>
      <c r="G12" s="29" t="e">
        <f>G14+G168</f>
        <v>#REF!</v>
      </c>
      <c r="H12" s="27">
        <f>I12+J12+K12</f>
        <v>99152686</v>
      </c>
      <c r="I12" s="28">
        <f>I14+I168</f>
        <v>67394512</v>
      </c>
      <c r="J12" s="28">
        <f>J14+J168</f>
        <v>23911515</v>
      </c>
      <c r="K12" s="28">
        <f>K14+K168</f>
        <v>7846659</v>
      </c>
      <c r="L12" s="30">
        <f>SUM(M12:O12)</f>
        <v>94502485.94</v>
      </c>
      <c r="M12" s="27">
        <f>M14+M168</f>
        <v>53997719.04</v>
      </c>
      <c r="N12" s="27">
        <f>N14+N168</f>
        <v>33509213</v>
      </c>
      <c r="O12" s="27">
        <f>O14+O168</f>
        <v>6995553.9</v>
      </c>
      <c r="P12" s="31">
        <f>L12/H12</f>
        <v>0.9531006143393835</v>
      </c>
      <c r="Q12" s="31">
        <f>M12/I12</f>
        <v>0.8012183401520884</v>
      </c>
    </row>
    <row r="13" spans="1:17" s="9" customFormat="1" ht="15" customHeight="1">
      <c r="A13" s="7"/>
      <c r="B13" s="7"/>
      <c r="C13" s="133" t="s">
        <v>1</v>
      </c>
      <c r="D13" s="22"/>
      <c r="E13" s="21"/>
      <c r="F13" s="22"/>
      <c r="G13" s="23"/>
      <c r="H13" s="22"/>
      <c r="I13" s="16"/>
      <c r="J13" s="8"/>
      <c r="K13" s="8"/>
      <c r="L13" s="20"/>
      <c r="M13" s="16"/>
      <c r="N13" s="8"/>
      <c r="O13" s="8"/>
      <c r="P13" s="24"/>
      <c r="Q13" s="24"/>
    </row>
    <row r="14" spans="1:17" s="10" customFormat="1" ht="21.75" customHeight="1" thickBot="1">
      <c r="A14" s="32"/>
      <c r="B14" s="32"/>
      <c r="C14" s="33" t="s">
        <v>10</v>
      </c>
      <c r="D14" s="34">
        <f>D15+D39+D44+D51+D56+D60+D68+D94+D101+D118+D125+D147+D158</f>
        <v>88769450</v>
      </c>
      <c r="E14" s="35" t="e">
        <f>E15+E44+E56+E60+E68+E94+E101+E118+E125+E147+E158</f>
        <v>#REF!</v>
      </c>
      <c r="F14" s="34">
        <f>F15+F44+F56+F60+F68+F94+F101+F118+F125+F147+F158</f>
        <v>65305868</v>
      </c>
      <c r="G14" s="33">
        <f>G15+G44+G56+G60+G68+G94+G101+G118+G125+G147+G158</f>
        <v>25069034</v>
      </c>
      <c r="H14" s="34">
        <f aca="true" t="shared" si="0" ref="H14:H41">I14+J14+K14</f>
        <v>98838196</v>
      </c>
      <c r="I14" s="35">
        <f>I15+I44+I56+I60+I68+I94+I101+I118+I125+I147+I158+I39+I51</f>
        <v>67394512</v>
      </c>
      <c r="J14" s="34">
        <f>J15+J44+J56+J60+J68+J94+J101+J118+J125+J147+J158+J39</f>
        <v>23911515</v>
      </c>
      <c r="K14" s="34">
        <f>K15+K44+K56+K60+K68+K94+K101+K118+K125+K147+K158</f>
        <v>7532169</v>
      </c>
      <c r="L14" s="36">
        <f aca="true" t="shared" si="1" ref="L14:L29">SUM(M14:O14)</f>
        <v>94188247.94</v>
      </c>
      <c r="M14" s="35">
        <f>M15+M44+M56+M60+M68+M94+M101+M118+M125+M147+M158+M39+M51</f>
        <v>53997719.04</v>
      </c>
      <c r="N14" s="35">
        <f>N15+N44+N56+N60+N68+N94+N101+N118+N125+N147+N158+N39</f>
        <v>33509213</v>
      </c>
      <c r="O14" s="35">
        <f>O15+O101+O125</f>
        <v>6681315.9</v>
      </c>
      <c r="P14" s="37">
        <f>L14/H14</f>
        <v>0.9529539363506796</v>
      </c>
      <c r="Q14" s="37">
        <f>M14/I14</f>
        <v>0.8012183401520884</v>
      </c>
    </row>
    <row r="15" spans="1:17" s="11" customFormat="1" ht="22.5" customHeight="1" thickTop="1">
      <c r="A15" s="38">
        <v>600</v>
      </c>
      <c r="B15" s="38"/>
      <c r="C15" s="39" t="s">
        <v>12</v>
      </c>
      <c r="D15" s="40">
        <f>D16+D30</f>
        <v>34699850</v>
      </c>
      <c r="E15" s="41">
        <f>E16+E30</f>
        <v>10000</v>
      </c>
      <c r="F15" s="40">
        <f>F16+F30</f>
        <v>17129800</v>
      </c>
      <c r="G15" s="39"/>
      <c r="H15" s="40">
        <f t="shared" si="0"/>
        <v>31525023</v>
      </c>
      <c r="I15" s="41">
        <f>I16+I30</f>
        <v>24439150</v>
      </c>
      <c r="J15" s="40">
        <f>J16+J30</f>
        <v>540000</v>
      </c>
      <c r="K15" s="40">
        <f>K16+K30</f>
        <v>6545873</v>
      </c>
      <c r="L15" s="42">
        <f>SUM(M15:O15)</f>
        <v>31225329.009999998</v>
      </c>
      <c r="M15" s="40">
        <f>M16+M30</f>
        <v>14159745.109999998</v>
      </c>
      <c r="N15" s="40">
        <f>N16+N30</f>
        <v>10519711</v>
      </c>
      <c r="O15" s="40">
        <f>O16</f>
        <v>6545872.9</v>
      </c>
      <c r="P15" s="43">
        <f>L15/H15</f>
        <v>0.9904934568961297</v>
      </c>
      <c r="Q15" s="43">
        <f>M15/I15</f>
        <v>0.5793877900827156</v>
      </c>
    </row>
    <row r="16" spans="1:17" s="10" customFormat="1" ht="33" customHeight="1">
      <c r="A16" s="44"/>
      <c r="B16" s="45">
        <v>60015</v>
      </c>
      <c r="C16" s="46" t="s">
        <v>13</v>
      </c>
      <c r="D16" s="47">
        <f>SUM(D17:D29)</f>
        <v>31559000</v>
      </c>
      <c r="E16" s="48">
        <f>SUM(E17:E29)</f>
        <v>10000</v>
      </c>
      <c r="F16" s="47">
        <f>SUM(F17:F29)</f>
        <v>15279800</v>
      </c>
      <c r="G16" s="49"/>
      <c r="H16" s="47">
        <f t="shared" si="0"/>
        <v>30285973</v>
      </c>
      <c r="I16" s="48">
        <f>SUM(I17:I29)</f>
        <v>23740100</v>
      </c>
      <c r="J16" s="47"/>
      <c r="K16" s="47">
        <f>SUM(K17:K29)</f>
        <v>6545873</v>
      </c>
      <c r="L16" s="50">
        <f>SUM(M16:O16)</f>
        <v>30035228.589999996</v>
      </c>
      <c r="M16" s="47">
        <f>SUM(M17:M29)</f>
        <v>13509644.689999998</v>
      </c>
      <c r="N16" s="47">
        <f>N18+N19+N24</f>
        <v>9979711</v>
      </c>
      <c r="O16" s="47">
        <f>O18+O20</f>
        <v>6545872.9</v>
      </c>
      <c r="P16" s="51">
        <f aca="true" t="shared" si="2" ref="P16:Q21">L16/H16</f>
        <v>0.9917207741682922</v>
      </c>
      <c r="Q16" s="51">
        <f t="shared" si="2"/>
        <v>0.569064354825801</v>
      </c>
    </row>
    <row r="17" spans="1:17" s="11" customFormat="1" ht="21" customHeight="1">
      <c r="A17" s="52"/>
      <c r="B17" s="53"/>
      <c r="C17" s="187" t="s">
        <v>51</v>
      </c>
      <c r="D17" s="54">
        <v>500000</v>
      </c>
      <c r="E17" s="55"/>
      <c r="F17" s="56">
        <f>1071000+2500000</f>
        <v>3571000</v>
      </c>
      <c r="G17" s="57"/>
      <c r="H17" s="54">
        <f t="shared" si="0"/>
        <v>795000</v>
      </c>
      <c r="I17" s="56">
        <v>795000</v>
      </c>
      <c r="J17" s="56"/>
      <c r="K17" s="56"/>
      <c r="L17" s="58">
        <f>SUM(M17:O17)</f>
        <v>793687</v>
      </c>
      <c r="M17" s="55">
        <v>793687</v>
      </c>
      <c r="N17" s="56"/>
      <c r="O17" s="56"/>
      <c r="P17" s="59">
        <f t="shared" si="2"/>
        <v>0.998348427672956</v>
      </c>
      <c r="Q17" s="59">
        <f t="shared" si="2"/>
        <v>0.998348427672956</v>
      </c>
    </row>
    <row r="18" spans="1:17" s="11" customFormat="1" ht="21" customHeight="1">
      <c r="A18" s="52"/>
      <c r="B18" s="52"/>
      <c r="C18" s="60" t="s">
        <v>58</v>
      </c>
      <c r="D18" s="54">
        <f>3000000+10500000</f>
        <v>13500000</v>
      </c>
      <c r="E18" s="61"/>
      <c r="F18" s="62">
        <v>3600000</v>
      </c>
      <c r="G18" s="60"/>
      <c r="H18" s="54">
        <f t="shared" si="0"/>
        <v>12507340</v>
      </c>
      <c r="I18" s="62">
        <v>8961467</v>
      </c>
      <c r="J18" s="62"/>
      <c r="K18" s="62">
        <v>3545873</v>
      </c>
      <c r="L18" s="58">
        <f t="shared" si="1"/>
        <v>12344365.899999999</v>
      </c>
      <c r="M18" s="61">
        <f>1284758.63+7513734.27-7979711</f>
        <v>818781.8999999985</v>
      </c>
      <c r="N18" s="62">
        <v>7979711</v>
      </c>
      <c r="O18" s="62">
        <v>3545873</v>
      </c>
      <c r="P18" s="63">
        <f t="shared" si="2"/>
        <v>0.986969723378432</v>
      </c>
      <c r="Q18" s="63">
        <f t="shared" si="2"/>
        <v>0.09136694918365469</v>
      </c>
    </row>
    <row r="19" spans="1:17" s="11" customFormat="1" ht="21" customHeight="1">
      <c r="A19" s="52"/>
      <c r="B19" s="52"/>
      <c r="C19" s="64" t="s">
        <v>47</v>
      </c>
      <c r="D19" s="54">
        <v>1100000</v>
      </c>
      <c r="E19" s="65"/>
      <c r="F19" s="66">
        <v>2540000</v>
      </c>
      <c r="G19" s="64"/>
      <c r="H19" s="54">
        <f t="shared" si="0"/>
        <v>2290000</v>
      </c>
      <c r="I19" s="66">
        <v>2290000</v>
      </c>
      <c r="J19" s="66"/>
      <c r="K19" s="66"/>
      <c r="L19" s="58">
        <f t="shared" si="1"/>
        <v>2226220</v>
      </c>
      <c r="M19" s="65">
        <f>2226220-852436</f>
        <v>1373784</v>
      </c>
      <c r="N19" s="66">
        <v>852436</v>
      </c>
      <c r="O19" s="66"/>
      <c r="P19" s="67">
        <f t="shared" si="2"/>
        <v>0.9721484716157205</v>
      </c>
      <c r="Q19" s="67">
        <f t="shared" si="2"/>
        <v>0.5999056768558952</v>
      </c>
    </row>
    <row r="20" spans="1:17" s="11" customFormat="1" ht="31.5" customHeight="1">
      <c r="A20" s="52"/>
      <c r="B20" s="52"/>
      <c r="C20" s="188" t="s">
        <v>56</v>
      </c>
      <c r="D20" s="54">
        <v>1000000</v>
      </c>
      <c r="E20" s="65"/>
      <c r="F20" s="66">
        <v>1250000</v>
      </c>
      <c r="G20" s="64"/>
      <c r="H20" s="54">
        <f t="shared" si="0"/>
        <v>4000533</v>
      </c>
      <c r="I20" s="66">
        <v>1000533</v>
      </c>
      <c r="J20" s="66"/>
      <c r="K20" s="66">
        <v>3000000</v>
      </c>
      <c r="L20" s="58">
        <f t="shared" si="1"/>
        <v>4000532.9</v>
      </c>
      <c r="M20" s="65">
        <v>1000533</v>
      </c>
      <c r="N20" s="66"/>
      <c r="O20" s="66">
        <f>2758651.9+241348</f>
        <v>2999999.9</v>
      </c>
      <c r="P20" s="67">
        <f t="shared" si="2"/>
        <v>0.9999999750033308</v>
      </c>
      <c r="Q20" s="67">
        <f t="shared" si="2"/>
        <v>1</v>
      </c>
    </row>
    <row r="21" spans="1:17" s="11" customFormat="1" ht="31.5" customHeight="1">
      <c r="A21" s="52"/>
      <c r="B21" s="52"/>
      <c r="C21" s="188" t="s">
        <v>117</v>
      </c>
      <c r="D21" s="54">
        <f>600000+100000</f>
        <v>700000</v>
      </c>
      <c r="E21" s="65"/>
      <c r="F21" s="66">
        <v>1158800</v>
      </c>
      <c r="G21" s="64"/>
      <c r="H21" s="54">
        <f t="shared" si="0"/>
        <v>1655850</v>
      </c>
      <c r="I21" s="66">
        <f>1550000+105850</f>
        <v>1655850</v>
      </c>
      <c r="J21" s="66"/>
      <c r="K21" s="66"/>
      <c r="L21" s="58">
        <f t="shared" si="1"/>
        <v>1655136.79</v>
      </c>
      <c r="M21" s="65">
        <f>1549293.35+105843.44</f>
        <v>1655136.79</v>
      </c>
      <c r="N21" s="66"/>
      <c r="O21" s="66"/>
      <c r="P21" s="67">
        <f t="shared" si="2"/>
        <v>0.9995692786182323</v>
      </c>
      <c r="Q21" s="67">
        <f t="shared" si="2"/>
        <v>0.9995692786182323</v>
      </c>
    </row>
    <row r="22" spans="1:17" s="11" customFormat="1" ht="31.5" customHeight="1">
      <c r="A22" s="52"/>
      <c r="B22" s="52"/>
      <c r="C22" s="188" t="s">
        <v>122</v>
      </c>
      <c r="D22" s="54">
        <v>979000</v>
      </c>
      <c r="E22" s="65"/>
      <c r="F22" s="66">
        <v>1000000</v>
      </c>
      <c r="G22" s="64"/>
      <c r="H22" s="54">
        <f t="shared" si="0"/>
        <v>979000</v>
      </c>
      <c r="I22" s="66">
        <v>979000</v>
      </c>
      <c r="J22" s="66"/>
      <c r="K22" s="66"/>
      <c r="L22" s="58">
        <f t="shared" si="1"/>
        <v>970792</v>
      </c>
      <c r="M22" s="65">
        <v>970792</v>
      </c>
      <c r="N22" s="66"/>
      <c r="O22" s="66"/>
      <c r="P22" s="67">
        <f aca="true" t="shared" si="3" ref="P22:P38">L22/H22</f>
        <v>0.9916159346271706</v>
      </c>
      <c r="Q22" s="67">
        <f aca="true" t="shared" si="4" ref="Q22:Q38">M22/I22</f>
        <v>0.9916159346271706</v>
      </c>
    </row>
    <row r="23" spans="1:17" s="11" customFormat="1" ht="48" customHeight="1">
      <c r="A23" s="52"/>
      <c r="B23" s="52"/>
      <c r="C23" s="188" t="s">
        <v>129</v>
      </c>
      <c r="D23" s="66">
        <v>3000000</v>
      </c>
      <c r="E23" s="65"/>
      <c r="F23" s="66">
        <v>270000</v>
      </c>
      <c r="G23" s="64"/>
      <c r="H23" s="66">
        <f t="shared" si="0"/>
        <v>63950</v>
      </c>
      <c r="I23" s="66">
        <v>63950</v>
      </c>
      <c r="J23" s="66"/>
      <c r="K23" s="68"/>
      <c r="L23" s="58">
        <f t="shared" si="1"/>
        <v>63598</v>
      </c>
      <c r="M23" s="65">
        <v>63598</v>
      </c>
      <c r="N23" s="66"/>
      <c r="O23" s="66"/>
      <c r="P23" s="67">
        <f t="shared" si="3"/>
        <v>0.9944956997654417</v>
      </c>
      <c r="Q23" s="67">
        <f t="shared" si="4"/>
        <v>0.9944956997654417</v>
      </c>
    </row>
    <row r="24" spans="1:17" s="11" customFormat="1" ht="31.5" customHeight="1">
      <c r="A24" s="52"/>
      <c r="B24" s="52"/>
      <c r="C24" s="188" t="s">
        <v>130</v>
      </c>
      <c r="D24" s="66">
        <v>7500000</v>
      </c>
      <c r="E24" s="65"/>
      <c r="F24" s="66">
        <v>200000</v>
      </c>
      <c r="G24" s="64"/>
      <c r="H24" s="66">
        <f t="shared" si="0"/>
        <v>5978000</v>
      </c>
      <c r="I24" s="66">
        <v>5978000</v>
      </c>
      <c r="J24" s="66"/>
      <c r="K24" s="66"/>
      <c r="L24" s="58">
        <f t="shared" si="1"/>
        <v>5975853</v>
      </c>
      <c r="M24" s="65">
        <f>5975853-1147564</f>
        <v>4828289</v>
      </c>
      <c r="N24" s="66">
        <v>1147564</v>
      </c>
      <c r="O24" s="66"/>
      <c r="P24" s="67">
        <f t="shared" si="3"/>
        <v>0.999640849782536</v>
      </c>
      <c r="Q24" s="67">
        <f t="shared" si="4"/>
        <v>0.8076763131482101</v>
      </c>
    </row>
    <row r="25" spans="1:17" s="11" customFormat="1" ht="31.5" customHeight="1">
      <c r="A25" s="52"/>
      <c r="B25" s="52"/>
      <c r="C25" s="189" t="s">
        <v>89</v>
      </c>
      <c r="D25" s="70">
        <v>1500000</v>
      </c>
      <c r="E25" s="61"/>
      <c r="F25" s="62">
        <v>600000</v>
      </c>
      <c r="G25" s="60"/>
      <c r="H25" s="70">
        <f t="shared" si="0"/>
        <v>142000</v>
      </c>
      <c r="I25" s="62">
        <v>142000</v>
      </c>
      <c r="J25" s="62"/>
      <c r="K25" s="62"/>
      <c r="L25" s="58">
        <f t="shared" si="1"/>
        <v>141452</v>
      </c>
      <c r="M25" s="61">
        <v>141452</v>
      </c>
      <c r="N25" s="62"/>
      <c r="O25" s="62"/>
      <c r="P25" s="67">
        <f t="shared" si="3"/>
        <v>0.9961408450704226</v>
      </c>
      <c r="Q25" s="67">
        <f t="shared" si="4"/>
        <v>0.9961408450704226</v>
      </c>
    </row>
    <row r="26" spans="1:17" s="11" customFormat="1" ht="48" customHeight="1">
      <c r="A26" s="52"/>
      <c r="B26" s="52"/>
      <c r="C26" s="190" t="s">
        <v>123</v>
      </c>
      <c r="D26" s="54">
        <v>1000000</v>
      </c>
      <c r="E26" s="65"/>
      <c r="F26" s="66">
        <v>500000</v>
      </c>
      <c r="G26" s="64"/>
      <c r="H26" s="54">
        <f t="shared" si="0"/>
        <v>760000</v>
      </c>
      <c r="I26" s="66">
        <v>760000</v>
      </c>
      <c r="J26" s="66"/>
      <c r="K26" s="66"/>
      <c r="L26" s="58">
        <f t="shared" si="1"/>
        <v>753980</v>
      </c>
      <c r="M26" s="65">
        <v>753980</v>
      </c>
      <c r="N26" s="66"/>
      <c r="O26" s="66"/>
      <c r="P26" s="67">
        <f t="shared" si="3"/>
        <v>0.9920789473684211</v>
      </c>
      <c r="Q26" s="67">
        <f t="shared" si="4"/>
        <v>0.9920789473684211</v>
      </c>
    </row>
    <row r="27" spans="1:17" s="11" customFormat="1" ht="31.5" customHeight="1">
      <c r="A27" s="52"/>
      <c r="B27" s="52"/>
      <c r="C27" s="190" t="s">
        <v>69</v>
      </c>
      <c r="D27" s="54">
        <v>300000</v>
      </c>
      <c r="E27" s="72">
        <v>10000</v>
      </c>
      <c r="F27" s="54">
        <v>360000</v>
      </c>
      <c r="G27" s="73"/>
      <c r="H27" s="54">
        <f t="shared" si="0"/>
        <v>330000</v>
      </c>
      <c r="I27" s="66">
        <v>330000</v>
      </c>
      <c r="J27" s="66"/>
      <c r="K27" s="68"/>
      <c r="L27" s="58">
        <f t="shared" si="1"/>
        <v>329426</v>
      </c>
      <c r="M27" s="72">
        <v>329426</v>
      </c>
      <c r="N27" s="54"/>
      <c r="O27" s="54"/>
      <c r="P27" s="67">
        <f t="shared" si="3"/>
        <v>0.9982606060606061</v>
      </c>
      <c r="Q27" s="67">
        <f t="shared" si="4"/>
        <v>0.9982606060606061</v>
      </c>
    </row>
    <row r="28" spans="1:17" s="11" customFormat="1" ht="31.5" customHeight="1">
      <c r="A28" s="52"/>
      <c r="B28" s="52"/>
      <c r="C28" s="188" t="s">
        <v>124</v>
      </c>
      <c r="D28" s="66">
        <v>380000</v>
      </c>
      <c r="E28" s="65"/>
      <c r="F28" s="66">
        <v>200000</v>
      </c>
      <c r="G28" s="64"/>
      <c r="H28" s="66">
        <f t="shared" si="0"/>
        <v>400000</v>
      </c>
      <c r="I28" s="66">
        <v>400000</v>
      </c>
      <c r="J28" s="66"/>
      <c r="K28" s="66"/>
      <c r="L28" s="58">
        <f t="shared" si="1"/>
        <v>399831</v>
      </c>
      <c r="M28" s="65">
        <v>399831</v>
      </c>
      <c r="N28" s="66"/>
      <c r="O28" s="66"/>
      <c r="P28" s="67">
        <f t="shared" si="3"/>
        <v>0.9995775</v>
      </c>
      <c r="Q28" s="67">
        <f t="shared" si="4"/>
        <v>0.9995775</v>
      </c>
    </row>
    <row r="29" spans="1:17" s="11" customFormat="1" ht="20.25" customHeight="1">
      <c r="A29" s="52"/>
      <c r="B29" s="81"/>
      <c r="C29" s="84" t="s">
        <v>14</v>
      </c>
      <c r="D29" s="83">
        <v>100000</v>
      </c>
      <c r="E29" s="82"/>
      <c r="F29" s="83">
        <v>30000</v>
      </c>
      <c r="G29" s="84"/>
      <c r="H29" s="83">
        <f t="shared" si="0"/>
        <v>384300</v>
      </c>
      <c r="I29" s="83">
        <v>384300</v>
      </c>
      <c r="J29" s="83"/>
      <c r="K29" s="83"/>
      <c r="L29" s="128">
        <f t="shared" si="1"/>
        <v>380354</v>
      </c>
      <c r="M29" s="82">
        <v>380354</v>
      </c>
      <c r="N29" s="83"/>
      <c r="O29" s="83"/>
      <c r="P29" s="86">
        <f t="shared" si="3"/>
        <v>0.9897319802237835</v>
      </c>
      <c r="Q29" s="86">
        <f t="shared" si="4"/>
        <v>0.9897319802237835</v>
      </c>
    </row>
    <row r="30" spans="1:17" s="10" customFormat="1" ht="22.5" customHeight="1">
      <c r="A30" s="44"/>
      <c r="B30" s="32">
        <v>60016</v>
      </c>
      <c r="C30" s="103" t="s">
        <v>15</v>
      </c>
      <c r="D30" s="104">
        <f>SUM(D31:D37)</f>
        <v>3140850</v>
      </c>
      <c r="E30" s="105">
        <f>SUM(E31:E37)</f>
        <v>0</v>
      </c>
      <c r="F30" s="104">
        <f>SUM(F31:F37)</f>
        <v>1850000</v>
      </c>
      <c r="G30" s="103"/>
      <c r="H30" s="104">
        <f t="shared" si="0"/>
        <v>1239050</v>
      </c>
      <c r="I30" s="105">
        <f>SUM(I31:I38)</f>
        <v>699050</v>
      </c>
      <c r="J30" s="104">
        <f>SUM(J31:J37)</f>
        <v>540000</v>
      </c>
      <c r="K30" s="104"/>
      <c r="L30" s="106">
        <f aca="true" t="shared" si="5" ref="L30:L36">SUM(M30:O30)</f>
        <v>1190100.42</v>
      </c>
      <c r="M30" s="104">
        <f>SUM(M31:M38)</f>
        <v>650100.4199999999</v>
      </c>
      <c r="N30" s="104">
        <f>SUM(N31:N37)</f>
        <v>540000</v>
      </c>
      <c r="O30" s="104"/>
      <c r="P30" s="122">
        <f t="shared" si="3"/>
        <v>0.9604942657681288</v>
      </c>
      <c r="Q30" s="122">
        <f t="shared" si="4"/>
        <v>0.9299769973535511</v>
      </c>
    </row>
    <row r="31" spans="1:17" s="11" customFormat="1" ht="31.5" customHeight="1">
      <c r="A31" s="81"/>
      <c r="B31" s="97"/>
      <c r="C31" s="191" t="s">
        <v>132</v>
      </c>
      <c r="D31" s="98">
        <v>1500000</v>
      </c>
      <c r="E31" s="99"/>
      <c r="F31" s="98">
        <v>500000</v>
      </c>
      <c r="G31" s="100"/>
      <c r="H31" s="98">
        <f t="shared" si="0"/>
        <v>3000</v>
      </c>
      <c r="I31" s="99">
        <v>3000</v>
      </c>
      <c r="J31" s="98"/>
      <c r="K31" s="98"/>
      <c r="L31" s="85">
        <f t="shared" si="5"/>
        <v>2196</v>
      </c>
      <c r="M31" s="99">
        <v>2196</v>
      </c>
      <c r="N31" s="98"/>
      <c r="O31" s="98"/>
      <c r="P31" s="151">
        <f t="shared" si="3"/>
        <v>0.732</v>
      </c>
      <c r="Q31" s="151">
        <f t="shared" si="4"/>
        <v>0.732</v>
      </c>
    </row>
    <row r="32" spans="1:17" s="11" customFormat="1" ht="21" customHeight="1">
      <c r="A32" s="52"/>
      <c r="B32" s="52"/>
      <c r="C32" s="78" t="s">
        <v>90</v>
      </c>
      <c r="D32" s="79">
        <v>570000</v>
      </c>
      <c r="E32" s="80"/>
      <c r="F32" s="79">
        <v>300000</v>
      </c>
      <c r="G32" s="78"/>
      <c r="H32" s="79">
        <f t="shared" si="0"/>
        <v>755000</v>
      </c>
      <c r="I32" s="80">
        <v>215000</v>
      </c>
      <c r="J32" s="79">
        <v>540000</v>
      </c>
      <c r="K32" s="79"/>
      <c r="L32" s="76">
        <f t="shared" si="5"/>
        <v>754178.4199999999</v>
      </c>
      <c r="M32" s="80">
        <f>14177.5+7199.92+192800+1</f>
        <v>214178.41999999998</v>
      </c>
      <c r="N32" s="79">
        <v>540000</v>
      </c>
      <c r="O32" s="79"/>
      <c r="P32" s="77">
        <f t="shared" si="3"/>
        <v>0.9989118145695364</v>
      </c>
      <c r="Q32" s="152">
        <f t="shared" si="4"/>
        <v>0.9961786976744186</v>
      </c>
    </row>
    <row r="33" spans="1:17" s="11" customFormat="1" ht="21" customHeight="1">
      <c r="A33" s="52"/>
      <c r="B33" s="52"/>
      <c r="C33" s="188" t="s">
        <v>118</v>
      </c>
      <c r="D33" s="87">
        <v>70850</v>
      </c>
      <c r="E33" s="65"/>
      <c r="F33" s="66">
        <v>250000</v>
      </c>
      <c r="G33" s="64"/>
      <c r="H33" s="87">
        <f t="shared" si="0"/>
        <v>70850</v>
      </c>
      <c r="I33" s="65">
        <v>70850</v>
      </c>
      <c r="J33" s="66"/>
      <c r="K33" s="66"/>
      <c r="L33" s="76">
        <f t="shared" si="5"/>
        <v>59828</v>
      </c>
      <c r="M33" s="65">
        <v>59828</v>
      </c>
      <c r="N33" s="66"/>
      <c r="O33" s="66"/>
      <c r="P33" s="77">
        <f t="shared" si="3"/>
        <v>0.8444318983768525</v>
      </c>
      <c r="Q33" s="153">
        <f t="shared" si="4"/>
        <v>0.8444318983768525</v>
      </c>
    </row>
    <row r="34" spans="1:17" s="11" customFormat="1" ht="31.5" customHeight="1">
      <c r="A34" s="52"/>
      <c r="B34" s="52"/>
      <c r="C34" s="189" t="s">
        <v>157</v>
      </c>
      <c r="D34" s="79">
        <v>150000</v>
      </c>
      <c r="E34" s="61"/>
      <c r="F34" s="62">
        <v>200000</v>
      </c>
      <c r="G34" s="60"/>
      <c r="H34" s="79">
        <f t="shared" si="0"/>
        <v>45000</v>
      </c>
      <c r="I34" s="61">
        <v>45000</v>
      </c>
      <c r="J34" s="62"/>
      <c r="K34" s="62"/>
      <c r="L34" s="76">
        <f t="shared" si="5"/>
        <v>11590</v>
      </c>
      <c r="M34" s="61">
        <v>11590</v>
      </c>
      <c r="N34" s="62"/>
      <c r="O34" s="62"/>
      <c r="P34" s="77">
        <f t="shared" si="3"/>
        <v>0.25755555555555554</v>
      </c>
      <c r="Q34" s="153">
        <f t="shared" si="4"/>
        <v>0.25755555555555554</v>
      </c>
    </row>
    <row r="35" spans="1:17" s="11" customFormat="1" ht="21.75" customHeight="1">
      <c r="A35" s="52"/>
      <c r="B35" s="52"/>
      <c r="C35" s="188" t="s">
        <v>119</v>
      </c>
      <c r="D35" s="87">
        <v>500000</v>
      </c>
      <c r="E35" s="65"/>
      <c r="F35" s="66">
        <v>200000</v>
      </c>
      <c r="G35" s="64"/>
      <c r="H35" s="87">
        <f t="shared" si="0"/>
        <v>230000</v>
      </c>
      <c r="I35" s="65">
        <v>230000</v>
      </c>
      <c r="J35" s="66"/>
      <c r="K35" s="66"/>
      <c r="L35" s="69">
        <f t="shared" si="5"/>
        <v>229631</v>
      </c>
      <c r="M35" s="65">
        <v>229631</v>
      </c>
      <c r="N35" s="66"/>
      <c r="O35" s="66"/>
      <c r="P35" s="77">
        <f t="shared" si="3"/>
        <v>0.998395652173913</v>
      </c>
      <c r="Q35" s="153">
        <f t="shared" si="4"/>
        <v>0.998395652173913</v>
      </c>
    </row>
    <row r="36" spans="1:17" s="11" customFormat="1" ht="21" customHeight="1">
      <c r="A36" s="52"/>
      <c r="B36" s="88"/>
      <c r="C36" s="189" t="s">
        <v>39</v>
      </c>
      <c r="D36" s="79">
        <v>50000</v>
      </c>
      <c r="E36" s="80"/>
      <c r="F36" s="79">
        <v>200000</v>
      </c>
      <c r="G36" s="78"/>
      <c r="H36" s="79">
        <f t="shared" si="0"/>
        <v>58850</v>
      </c>
      <c r="I36" s="80">
        <v>58850</v>
      </c>
      <c r="J36" s="79"/>
      <c r="K36" s="79"/>
      <c r="L36" s="69">
        <f t="shared" si="5"/>
        <v>57250</v>
      </c>
      <c r="M36" s="80">
        <v>57250</v>
      </c>
      <c r="N36" s="79"/>
      <c r="O36" s="79"/>
      <c r="P36" s="77">
        <f t="shared" si="3"/>
        <v>0.9728122344944775</v>
      </c>
      <c r="Q36" s="153">
        <f t="shared" si="4"/>
        <v>0.9728122344944775</v>
      </c>
    </row>
    <row r="37" spans="1:17" s="11" customFormat="1" ht="21" customHeight="1">
      <c r="A37" s="52"/>
      <c r="B37" s="88"/>
      <c r="C37" s="155" t="s">
        <v>59</v>
      </c>
      <c r="D37" s="87">
        <v>300000</v>
      </c>
      <c r="E37" s="154"/>
      <c r="F37" s="87">
        <v>200000</v>
      </c>
      <c r="G37" s="155"/>
      <c r="H37" s="87">
        <f t="shared" si="0"/>
        <v>70000</v>
      </c>
      <c r="I37" s="154">
        <v>70000</v>
      </c>
      <c r="J37" s="87"/>
      <c r="K37" s="87"/>
      <c r="L37" s="69">
        <f aca="true" t="shared" si="6" ref="L37:L43">SUM(M37:O37)</f>
        <v>69259</v>
      </c>
      <c r="M37" s="154">
        <v>69259</v>
      </c>
      <c r="N37" s="87"/>
      <c r="O37" s="87"/>
      <c r="P37" s="67">
        <f t="shared" si="3"/>
        <v>0.9894142857142857</v>
      </c>
      <c r="Q37" s="63">
        <f t="shared" si="4"/>
        <v>0.9894142857142857</v>
      </c>
    </row>
    <row r="38" spans="1:17" s="11" customFormat="1" ht="21" customHeight="1">
      <c r="A38" s="52"/>
      <c r="B38" s="88"/>
      <c r="C38" s="89" t="s">
        <v>138</v>
      </c>
      <c r="D38" s="91"/>
      <c r="E38" s="90"/>
      <c r="F38" s="91"/>
      <c r="G38" s="89"/>
      <c r="H38" s="91">
        <f>I38</f>
        <v>6350</v>
      </c>
      <c r="I38" s="90">
        <v>6350</v>
      </c>
      <c r="J38" s="91"/>
      <c r="K38" s="91"/>
      <c r="L38" s="71">
        <f>M38</f>
        <v>6168</v>
      </c>
      <c r="M38" s="90">
        <v>6168</v>
      </c>
      <c r="N38" s="90"/>
      <c r="O38" s="91"/>
      <c r="P38" s="67">
        <f t="shared" si="3"/>
        <v>0.9713385826771653</v>
      </c>
      <c r="Q38" s="63">
        <f t="shared" si="4"/>
        <v>0.9713385826771653</v>
      </c>
    </row>
    <row r="39" spans="1:17" s="11" customFormat="1" ht="21" customHeight="1">
      <c r="A39" s="38">
        <v>630</v>
      </c>
      <c r="B39" s="38"/>
      <c r="C39" s="92" t="s">
        <v>114</v>
      </c>
      <c r="D39" s="93">
        <f>D40</f>
        <v>12000</v>
      </c>
      <c r="E39" s="94">
        <f>E44+E46+E40</f>
        <v>4600000</v>
      </c>
      <c r="F39" s="93"/>
      <c r="G39" s="92"/>
      <c r="H39" s="93">
        <f t="shared" si="0"/>
        <v>16056</v>
      </c>
      <c r="I39" s="94">
        <f>I40</f>
        <v>12000</v>
      </c>
      <c r="J39" s="93">
        <f>J42</f>
        <v>4056</v>
      </c>
      <c r="K39" s="93"/>
      <c r="L39" s="95">
        <f t="shared" si="6"/>
        <v>16056</v>
      </c>
      <c r="M39" s="94">
        <f>M40+M42</f>
        <v>12000</v>
      </c>
      <c r="N39" s="94">
        <f>N40+N42</f>
        <v>4056</v>
      </c>
      <c r="O39" s="93"/>
      <c r="P39" s="96">
        <f aca="true" t="shared" si="7" ref="P39:Q43">L39/H39</f>
        <v>1</v>
      </c>
      <c r="Q39" s="96">
        <f t="shared" si="7"/>
        <v>1</v>
      </c>
    </row>
    <row r="40" spans="1:17" s="10" customFormat="1" ht="22.5" customHeight="1">
      <c r="A40" s="44"/>
      <c r="B40" s="75">
        <v>63001</v>
      </c>
      <c r="C40" s="49" t="s">
        <v>115</v>
      </c>
      <c r="D40" s="47">
        <f>D41</f>
        <v>12000</v>
      </c>
      <c r="E40" s="48">
        <f>E41</f>
        <v>300000</v>
      </c>
      <c r="F40" s="47"/>
      <c r="G40" s="49"/>
      <c r="H40" s="47">
        <f t="shared" si="0"/>
        <v>12000</v>
      </c>
      <c r="I40" s="48">
        <f>I41</f>
        <v>12000</v>
      </c>
      <c r="J40" s="47"/>
      <c r="K40" s="47"/>
      <c r="L40" s="50">
        <f t="shared" si="6"/>
        <v>12000</v>
      </c>
      <c r="M40" s="48">
        <f>M41</f>
        <v>12000</v>
      </c>
      <c r="N40" s="47"/>
      <c r="O40" s="47"/>
      <c r="P40" s="51">
        <f t="shared" si="7"/>
        <v>1</v>
      </c>
      <c r="Q40" s="51">
        <f t="shared" si="7"/>
        <v>1</v>
      </c>
    </row>
    <row r="41" spans="1:17" s="11" customFormat="1" ht="21" customHeight="1">
      <c r="A41" s="52"/>
      <c r="B41" s="97"/>
      <c r="C41" s="191" t="s">
        <v>16</v>
      </c>
      <c r="D41" s="98">
        <v>12000</v>
      </c>
      <c r="E41" s="99">
        <v>300000</v>
      </c>
      <c r="F41" s="98"/>
      <c r="G41" s="100"/>
      <c r="H41" s="98">
        <f t="shared" si="0"/>
        <v>12000</v>
      </c>
      <c r="I41" s="99">
        <v>12000</v>
      </c>
      <c r="J41" s="98"/>
      <c r="K41" s="98"/>
      <c r="L41" s="101">
        <f t="shared" si="6"/>
        <v>12000</v>
      </c>
      <c r="M41" s="99">
        <v>12000</v>
      </c>
      <c r="N41" s="98"/>
      <c r="O41" s="98"/>
      <c r="P41" s="102">
        <f t="shared" si="7"/>
        <v>1</v>
      </c>
      <c r="Q41" s="102">
        <f>M41/I41</f>
        <v>1</v>
      </c>
    </row>
    <row r="42" spans="1:17" s="10" customFormat="1" ht="33.75" customHeight="1">
      <c r="A42" s="44"/>
      <c r="B42" s="75">
        <v>63003</v>
      </c>
      <c r="C42" s="46" t="s">
        <v>116</v>
      </c>
      <c r="D42" s="47"/>
      <c r="E42" s="48">
        <f>E43</f>
        <v>300000</v>
      </c>
      <c r="F42" s="47"/>
      <c r="G42" s="49"/>
      <c r="H42" s="47">
        <f>I42+J42+K42</f>
        <v>4056</v>
      </c>
      <c r="I42" s="48"/>
      <c r="J42" s="47">
        <f>J43</f>
        <v>4056</v>
      </c>
      <c r="K42" s="47"/>
      <c r="L42" s="50">
        <f t="shared" si="6"/>
        <v>4056</v>
      </c>
      <c r="M42" s="48"/>
      <c r="N42" s="48">
        <f>N43</f>
        <v>4056</v>
      </c>
      <c r="O42" s="47"/>
      <c r="P42" s="51">
        <f t="shared" si="7"/>
        <v>1</v>
      </c>
      <c r="Q42" s="102"/>
    </row>
    <row r="43" spans="1:17" s="11" customFormat="1" ht="21.75" customHeight="1">
      <c r="A43" s="52"/>
      <c r="B43" s="97"/>
      <c r="C43" s="191" t="s">
        <v>16</v>
      </c>
      <c r="D43" s="98"/>
      <c r="E43" s="99">
        <v>300000</v>
      </c>
      <c r="F43" s="98"/>
      <c r="G43" s="100"/>
      <c r="H43" s="98">
        <f>I43+J43+K43</f>
        <v>4056</v>
      </c>
      <c r="I43" s="99"/>
      <c r="J43" s="98">
        <v>4056</v>
      </c>
      <c r="K43" s="98"/>
      <c r="L43" s="101">
        <f t="shared" si="6"/>
        <v>4056</v>
      </c>
      <c r="M43" s="99"/>
      <c r="N43" s="98">
        <v>4056</v>
      </c>
      <c r="O43" s="98"/>
      <c r="P43" s="102">
        <f t="shared" si="7"/>
        <v>1</v>
      </c>
      <c r="Q43" s="102"/>
    </row>
    <row r="44" spans="1:17" s="11" customFormat="1" ht="21.75" customHeight="1">
      <c r="A44" s="38">
        <v>700</v>
      </c>
      <c r="B44" s="38"/>
      <c r="C44" s="92" t="s">
        <v>17</v>
      </c>
      <c r="D44" s="93">
        <f>D45+D47+D49</f>
        <v>3350000</v>
      </c>
      <c r="E44" s="94">
        <f>E47+E49+E45</f>
        <v>4000000</v>
      </c>
      <c r="F44" s="93"/>
      <c r="G44" s="92"/>
      <c r="H44" s="93">
        <f aca="true" t="shared" si="8" ref="H44:H64">I44+J44+K44</f>
        <v>4095000</v>
      </c>
      <c r="I44" s="94">
        <f>I47+I49+I45</f>
        <v>4000000</v>
      </c>
      <c r="J44" s="93">
        <f>J45</f>
        <v>95000</v>
      </c>
      <c r="K44" s="93"/>
      <c r="L44" s="95">
        <f>SUM(M44:O44)</f>
        <v>4094694</v>
      </c>
      <c r="M44" s="94">
        <f>M45+M47+M49</f>
        <v>4028694</v>
      </c>
      <c r="N44" s="93">
        <f>N45</f>
        <v>66000</v>
      </c>
      <c r="O44" s="93"/>
      <c r="P44" s="96">
        <f aca="true" t="shared" si="9" ref="P44:Q48">L44/H44</f>
        <v>0.9999252747252747</v>
      </c>
      <c r="Q44" s="96">
        <f t="shared" si="9"/>
        <v>1.0071735</v>
      </c>
    </row>
    <row r="45" spans="1:17" s="10" customFormat="1" ht="22.5" customHeight="1">
      <c r="A45" s="44"/>
      <c r="B45" s="75">
        <v>70001</v>
      </c>
      <c r="C45" s="49" t="s">
        <v>63</v>
      </c>
      <c r="D45" s="47">
        <f>D46</f>
        <v>350000</v>
      </c>
      <c r="E45" s="48">
        <f>E46</f>
        <v>300000</v>
      </c>
      <c r="F45" s="47"/>
      <c r="G45" s="49"/>
      <c r="H45" s="47">
        <f t="shared" si="8"/>
        <v>445000</v>
      </c>
      <c r="I45" s="48">
        <f>I46</f>
        <v>350000</v>
      </c>
      <c r="J45" s="47">
        <f>J46</f>
        <v>95000</v>
      </c>
      <c r="K45" s="47"/>
      <c r="L45" s="50">
        <f>SUM(M45:O45)</f>
        <v>445000</v>
      </c>
      <c r="M45" s="48">
        <f>M46</f>
        <v>379000</v>
      </c>
      <c r="N45" s="47">
        <f>N46</f>
        <v>66000</v>
      </c>
      <c r="O45" s="47"/>
      <c r="P45" s="157">
        <f t="shared" si="9"/>
        <v>1</v>
      </c>
      <c r="Q45" s="157">
        <f t="shared" si="9"/>
        <v>1.082857142857143</v>
      </c>
    </row>
    <row r="46" spans="1:17" s="11" customFormat="1" ht="21.75" customHeight="1">
      <c r="A46" s="52"/>
      <c r="B46" s="97"/>
      <c r="C46" s="191" t="s">
        <v>64</v>
      </c>
      <c r="D46" s="98">
        <v>350000</v>
      </c>
      <c r="E46" s="99">
        <v>300000</v>
      </c>
      <c r="F46" s="98"/>
      <c r="G46" s="100"/>
      <c r="H46" s="98">
        <f t="shared" si="8"/>
        <v>445000</v>
      </c>
      <c r="I46" s="99">
        <v>350000</v>
      </c>
      <c r="J46" s="98">
        <v>95000</v>
      </c>
      <c r="K46" s="98"/>
      <c r="L46" s="101">
        <f>SUM(M46:O46)</f>
        <v>445000</v>
      </c>
      <c r="M46" s="99">
        <v>379000</v>
      </c>
      <c r="N46" s="98">
        <v>66000</v>
      </c>
      <c r="O46" s="98"/>
      <c r="P46" s="156">
        <f t="shared" si="9"/>
        <v>1</v>
      </c>
      <c r="Q46" s="156">
        <f t="shared" si="9"/>
        <v>1.082857142857143</v>
      </c>
    </row>
    <row r="47" spans="1:17" s="10" customFormat="1" ht="33" customHeight="1">
      <c r="A47" s="44"/>
      <c r="B47" s="32">
        <v>70021</v>
      </c>
      <c r="C47" s="121" t="s">
        <v>133</v>
      </c>
      <c r="D47" s="104">
        <f>D48</f>
        <v>1000000</v>
      </c>
      <c r="E47" s="105">
        <f>E48</f>
        <v>2000000</v>
      </c>
      <c r="F47" s="104"/>
      <c r="G47" s="103"/>
      <c r="H47" s="104">
        <f t="shared" si="8"/>
        <v>1000000</v>
      </c>
      <c r="I47" s="105">
        <f>I48</f>
        <v>1000000</v>
      </c>
      <c r="J47" s="104"/>
      <c r="K47" s="104"/>
      <c r="L47" s="106">
        <f>M47</f>
        <v>1000000</v>
      </c>
      <c r="M47" s="105">
        <f>M48</f>
        <v>1000000</v>
      </c>
      <c r="N47" s="104"/>
      <c r="O47" s="104"/>
      <c r="P47" s="51">
        <f t="shared" si="9"/>
        <v>1</v>
      </c>
      <c r="Q47" s="51">
        <f t="shared" si="9"/>
        <v>1</v>
      </c>
    </row>
    <row r="48" spans="1:17" s="11" customFormat="1" ht="48" customHeight="1">
      <c r="A48" s="52"/>
      <c r="B48" s="97"/>
      <c r="C48" s="191" t="s">
        <v>60</v>
      </c>
      <c r="D48" s="98">
        <v>1000000</v>
      </c>
      <c r="E48" s="99">
        <v>2000000</v>
      </c>
      <c r="F48" s="98"/>
      <c r="G48" s="100"/>
      <c r="H48" s="98">
        <f t="shared" si="8"/>
        <v>1000000</v>
      </c>
      <c r="I48" s="99">
        <v>1000000</v>
      </c>
      <c r="J48" s="98"/>
      <c r="K48" s="98"/>
      <c r="L48" s="101">
        <f>M48</f>
        <v>1000000</v>
      </c>
      <c r="M48" s="99">
        <v>1000000</v>
      </c>
      <c r="N48" s="98"/>
      <c r="O48" s="98"/>
      <c r="P48" s="102">
        <f t="shared" si="9"/>
        <v>1</v>
      </c>
      <c r="Q48" s="102">
        <f t="shared" si="9"/>
        <v>1</v>
      </c>
    </row>
    <row r="49" spans="1:17" s="10" customFormat="1" ht="22.5" customHeight="1">
      <c r="A49" s="44"/>
      <c r="B49" s="75">
        <v>70095</v>
      </c>
      <c r="C49" s="49" t="s">
        <v>11</v>
      </c>
      <c r="D49" s="47">
        <f>D50</f>
        <v>2000000</v>
      </c>
      <c r="E49" s="48">
        <f>E50</f>
        <v>1700000</v>
      </c>
      <c r="F49" s="47"/>
      <c r="G49" s="49"/>
      <c r="H49" s="47">
        <f t="shared" si="8"/>
        <v>2650000</v>
      </c>
      <c r="I49" s="48">
        <f>I50</f>
        <v>2650000</v>
      </c>
      <c r="J49" s="47"/>
      <c r="K49" s="47"/>
      <c r="L49" s="50">
        <f aca="true" t="shared" si="10" ref="L49:L60">SUM(M49:O49)</f>
        <v>2649694</v>
      </c>
      <c r="M49" s="48">
        <f>M50</f>
        <v>2649694</v>
      </c>
      <c r="N49" s="47"/>
      <c r="O49" s="47"/>
      <c r="P49" s="51">
        <f aca="true" t="shared" si="11" ref="P49:Q57">L49/H49</f>
        <v>0.9998845283018868</v>
      </c>
      <c r="Q49" s="51">
        <f t="shared" si="11"/>
        <v>0.9998845283018868</v>
      </c>
    </row>
    <row r="50" spans="1:17" s="11" customFormat="1" ht="31.5" customHeight="1">
      <c r="A50" s="81"/>
      <c r="B50" s="97"/>
      <c r="C50" s="191" t="s">
        <v>52</v>
      </c>
      <c r="D50" s="98">
        <v>2000000</v>
      </c>
      <c r="E50" s="99">
        <v>1700000</v>
      </c>
      <c r="F50" s="98"/>
      <c r="G50" s="100"/>
      <c r="H50" s="98">
        <f t="shared" si="8"/>
        <v>2650000</v>
      </c>
      <c r="I50" s="99">
        <v>2650000</v>
      </c>
      <c r="J50" s="98"/>
      <c r="K50" s="98"/>
      <c r="L50" s="101">
        <f t="shared" si="10"/>
        <v>2649694</v>
      </c>
      <c r="M50" s="99">
        <v>2649694</v>
      </c>
      <c r="N50" s="98"/>
      <c r="O50" s="98"/>
      <c r="P50" s="102">
        <f t="shared" si="11"/>
        <v>0.9998845283018868</v>
      </c>
      <c r="Q50" s="102">
        <f t="shared" si="11"/>
        <v>0.9998845283018868</v>
      </c>
    </row>
    <row r="51" spans="1:17" s="11" customFormat="1" ht="21" customHeight="1">
      <c r="A51" s="38">
        <v>710</v>
      </c>
      <c r="B51" s="38"/>
      <c r="C51" s="92" t="s">
        <v>91</v>
      </c>
      <c r="D51" s="93">
        <f>D54</f>
        <v>44000</v>
      </c>
      <c r="E51" s="94">
        <f>E54</f>
        <v>1000000</v>
      </c>
      <c r="F51" s="93"/>
      <c r="G51" s="92"/>
      <c r="H51" s="93">
        <f>I51+J51+K51</f>
        <v>294000</v>
      </c>
      <c r="I51" s="94">
        <f>I54+I52</f>
        <v>294000</v>
      </c>
      <c r="J51" s="93"/>
      <c r="K51" s="93"/>
      <c r="L51" s="95">
        <f t="shared" si="10"/>
        <v>102902</v>
      </c>
      <c r="M51" s="94">
        <f>M52+M54</f>
        <v>102902</v>
      </c>
      <c r="N51" s="93"/>
      <c r="O51" s="93"/>
      <c r="P51" s="96">
        <f t="shared" si="11"/>
        <v>0.3500068027210884</v>
      </c>
      <c r="Q51" s="96">
        <f t="shared" si="11"/>
        <v>0.3500068027210884</v>
      </c>
    </row>
    <row r="52" spans="1:17" s="10" customFormat="1" ht="21" customHeight="1">
      <c r="A52" s="107"/>
      <c r="B52" s="75">
        <v>71035</v>
      </c>
      <c r="C52" s="46" t="s">
        <v>148</v>
      </c>
      <c r="D52" s="47"/>
      <c r="E52" s="48">
        <f>SUM(E53:E54)</f>
        <v>1400000</v>
      </c>
      <c r="F52" s="47"/>
      <c r="G52" s="49"/>
      <c r="H52" s="47">
        <f>I52+J52+K52</f>
        <v>250000</v>
      </c>
      <c r="I52" s="48">
        <f>I53</f>
        <v>250000</v>
      </c>
      <c r="J52" s="47"/>
      <c r="K52" s="47"/>
      <c r="L52" s="50">
        <f t="shared" si="10"/>
        <v>58902</v>
      </c>
      <c r="M52" s="48">
        <f>M53</f>
        <v>58902</v>
      </c>
      <c r="N52" s="47"/>
      <c r="O52" s="47"/>
      <c r="P52" s="51">
        <f t="shared" si="11"/>
        <v>0.235608</v>
      </c>
      <c r="Q52" s="51">
        <f t="shared" si="11"/>
        <v>0.235608</v>
      </c>
    </row>
    <row r="53" spans="1:17" s="11" customFormat="1" ht="21" customHeight="1">
      <c r="A53" s="52"/>
      <c r="B53" s="52"/>
      <c r="C53" s="189" t="s">
        <v>152</v>
      </c>
      <c r="D53" s="62"/>
      <c r="E53" s="61">
        <v>400000</v>
      </c>
      <c r="F53" s="62"/>
      <c r="G53" s="60"/>
      <c r="H53" s="62">
        <f>I53+J53+K53</f>
        <v>250000</v>
      </c>
      <c r="I53" s="61">
        <v>250000</v>
      </c>
      <c r="J53" s="62"/>
      <c r="K53" s="62"/>
      <c r="L53" s="76">
        <f t="shared" si="10"/>
        <v>58902</v>
      </c>
      <c r="M53" s="61">
        <v>58902</v>
      </c>
      <c r="N53" s="62"/>
      <c r="O53" s="62"/>
      <c r="P53" s="102">
        <f t="shared" si="11"/>
        <v>0.235608</v>
      </c>
      <c r="Q53" s="102">
        <f t="shared" si="11"/>
        <v>0.235608</v>
      </c>
    </row>
    <row r="54" spans="1:17" s="10" customFormat="1" ht="21" customHeight="1">
      <c r="A54" s="44"/>
      <c r="B54" s="75">
        <v>71095</v>
      </c>
      <c r="C54" s="46" t="s">
        <v>11</v>
      </c>
      <c r="D54" s="47">
        <f>D55</f>
        <v>44000</v>
      </c>
      <c r="E54" s="48">
        <f>SUM(E55:E56)</f>
        <v>1000000</v>
      </c>
      <c r="F54" s="47"/>
      <c r="G54" s="49"/>
      <c r="H54" s="47">
        <f>I54+J54+K54</f>
        <v>44000</v>
      </c>
      <c r="I54" s="48">
        <f>I55</f>
        <v>44000</v>
      </c>
      <c r="J54" s="47"/>
      <c r="K54" s="47"/>
      <c r="L54" s="50">
        <f t="shared" si="10"/>
        <v>44000</v>
      </c>
      <c r="M54" s="48">
        <f>M55</f>
        <v>44000</v>
      </c>
      <c r="N54" s="47"/>
      <c r="O54" s="47"/>
      <c r="P54" s="51">
        <f t="shared" si="11"/>
        <v>1</v>
      </c>
      <c r="Q54" s="51">
        <f t="shared" si="11"/>
        <v>1</v>
      </c>
    </row>
    <row r="55" spans="1:17" s="11" customFormat="1" ht="31.5" customHeight="1">
      <c r="A55" s="52"/>
      <c r="B55" s="52"/>
      <c r="C55" s="189" t="s">
        <v>92</v>
      </c>
      <c r="D55" s="62">
        <v>44000</v>
      </c>
      <c r="E55" s="61">
        <v>400000</v>
      </c>
      <c r="F55" s="62"/>
      <c r="G55" s="60"/>
      <c r="H55" s="62">
        <f>I55+J55+K55</f>
        <v>44000</v>
      </c>
      <c r="I55" s="61">
        <v>44000</v>
      </c>
      <c r="J55" s="62"/>
      <c r="K55" s="62"/>
      <c r="L55" s="76">
        <f t="shared" si="10"/>
        <v>44000</v>
      </c>
      <c r="M55" s="61">
        <v>44000</v>
      </c>
      <c r="N55" s="62"/>
      <c r="O55" s="62"/>
      <c r="P55" s="102">
        <f t="shared" si="11"/>
        <v>1</v>
      </c>
      <c r="Q55" s="102">
        <f t="shared" si="11"/>
        <v>1</v>
      </c>
    </row>
    <row r="56" spans="1:17" s="11" customFormat="1" ht="21" customHeight="1">
      <c r="A56" s="38">
        <v>750</v>
      </c>
      <c r="B56" s="38"/>
      <c r="C56" s="92" t="s">
        <v>18</v>
      </c>
      <c r="D56" s="93">
        <f>D57</f>
        <v>1800000</v>
      </c>
      <c r="E56" s="94">
        <f>E57</f>
        <v>600000</v>
      </c>
      <c r="F56" s="93"/>
      <c r="G56" s="92"/>
      <c r="H56" s="93">
        <f t="shared" si="8"/>
        <v>1050000</v>
      </c>
      <c r="I56" s="94">
        <f>I57</f>
        <v>1050000</v>
      </c>
      <c r="J56" s="93"/>
      <c r="K56" s="93"/>
      <c r="L56" s="95">
        <f t="shared" si="10"/>
        <v>924794</v>
      </c>
      <c r="M56" s="94">
        <f>M57</f>
        <v>924794</v>
      </c>
      <c r="N56" s="93"/>
      <c r="O56" s="93"/>
      <c r="P56" s="96">
        <f t="shared" si="11"/>
        <v>0.8807561904761905</v>
      </c>
      <c r="Q56" s="96">
        <f t="shared" si="11"/>
        <v>0.8807561904761905</v>
      </c>
    </row>
    <row r="57" spans="1:17" s="10" customFormat="1" ht="33.75" customHeight="1">
      <c r="A57" s="107"/>
      <c r="B57" s="75">
        <v>75023</v>
      </c>
      <c r="C57" s="46" t="s">
        <v>53</v>
      </c>
      <c r="D57" s="47">
        <f>D58+D59</f>
        <v>1800000</v>
      </c>
      <c r="E57" s="48">
        <f>SUM(E58:E59)</f>
        <v>600000</v>
      </c>
      <c r="F57" s="47"/>
      <c r="G57" s="49"/>
      <c r="H57" s="47">
        <f t="shared" si="8"/>
        <v>1050000</v>
      </c>
      <c r="I57" s="48">
        <f>SUM(I58:I59)</f>
        <v>1050000</v>
      </c>
      <c r="J57" s="47"/>
      <c r="K57" s="47"/>
      <c r="L57" s="50">
        <f t="shared" si="10"/>
        <v>924794</v>
      </c>
      <c r="M57" s="48">
        <f>M59+M58</f>
        <v>924794</v>
      </c>
      <c r="N57" s="47"/>
      <c r="O57" s="47"/>
      <c r="P57" s="51">
        <f t="shared" si="11"/>
        <v>0.8807561904761905</v>
      </c>
      <c r="Q57" s="51">
        <f t="shared" si="11"/>
        <v>0.8807561904761905</v>
      </c>
    </row>
    <row r="58" spans="1:17" s="11" customFormat="1" ht="21" customHeight="1">
      <c r="A58" s="52"/>
      <c r="B58" s="52"/>
      <c r="C58" s="60" t="s">
        <v>65</v>
      </c>
      <c r="D58" s="62">
        <v>960000</v>
      </c>
      <c r="E58" s="61">
        <v>400000</v>
      </c>
      <c r="F58" s="62"/>
      <c r="G58" s="60"/>
      <c r="H58" s="62">
        <f t="shared" si="8"/>
        <v>51001</v>
      </c>
      <c r="I58" s="61">
        <v>51001</v>
      </c>
      <c r="J58" s="62"/>
      <c r="K58" s="62"/>
      <c r="L58" s="108">
        <f t="shared" si="10"/>
        <v>51001</v>
      </c>
      <c r="M58" s="61">
        <v>51001</v>
      </c>
      <c r="N58" s="62"/>
      <c r="O58" s="62"/>
      <c r="P58" s="109">
        <f aca="true" t="shared" si="12" ref="P58:Q60">L58/H58</f>
        <v>1</v>
      </c>
      <c r="Q58" s="109">
        <f t="shared" si="12"/>
        <v>1</v>
      </c>
    </row>
    <row r="59" spans="1:17" s="11" customFormat="1" ht="21" customHeight="1">
      <c r="A59" s="81"/>
      <c r="B59" s="81"/>
      <c r="C59" s="110" t="s">
        <v>16</v>
      </c>
      <c r="D59" s="111">
        <v>840000</v>
      </c>
      <c r="E59" s="112">
        <v>200000</v>
      </c>
      <c r="F59" s="111"/>
      <c r="G59" s="110"/>
      <c r="H59" s="111">
        <f t="shared" si="8"/>
        <v>998999</v>
      </c>
      <c r="I59" s="112">
        <v>998999</v>
      </c>
      <c r="J59" s="111"/>
      <c r="K59" s="111"/>
      <c r="L59" s="85">
        <f t="shared" si="10"/>
        <v>873793</v>
      </c>
      <c r="M59" s="112">
        <v>873793</v>
      </c>
      <c r="N59" s="111"/>
      <c r="O59" s="111"/>
      <c r="P59" s="86">
        <f t="shared" si="12"/>
        <v>0.8746685432117549</v>
      </c>
      <c r="Q59" s="86">
        <f t="shared" si="12"/>
        <v>0.8746685432117549</v>
      </c>
    </row>
    <row r="60" spans="1:17" s="11" customFormat="1" ht="36.75" customHeight="1">
      <c r="A60" s="125">
        <v>754</v>
      </c>
      <c r="B60" s="126"/>
      <c r="C60" s="131" t="s">
        <v>19</v>
      </c>
      <c r="D60" s="40">
        <f>D61+D63+D65</f>
        <v>827600</v>
      </c>
      <c r="E60" s="41">
        <f>E61+E63+E65</f>
        <v>650000</v>
      </c>
      <c r="F60" s="40"/>
      <c r="G60" s="39"/>
      <c r="H60" s="40">
        <f t="shared" si="8"/>
        <v>872818</v>
      </c>
      <c r="I60" s="41">
        <f>I61+I63+I65</f>
        <v>872818</v>
      </c>
      <c r="J60" s="40"/>
      <c r="K60" s="40"/>
      <c r="L60" s="42">
        <f t="shared" si="10"/>
        <v>631725</v>
      </c>
      <c r="M60" s="41">
        <f>M65+M63</f>
        <v>631725</v>
      </c>
      <c r="N60" s="40"/>
      <c r="O60" s="40"/>
      <c r="P60" s="43">
        <f t="shared" si="12"/>
        <v>0.723776319920075</v>
      </c>
      <c r="Q60" s="43">
        <f t="shared" si="12"/>
        <v>0.723776319920075</v>
      </c>
    </row>
    <row r="61" spans="1:17" s="10" customFormat="1" ht="25.5" customHeight="1">
      <c r="A61" s="107"/>
      <c r="B61" s="75">
        <v>75405</v>
      </c>
      <c r="C61" s="46" t="s">
        <v>20</v>
      </c>
      <c r="D61" s="47">
        <f>D62</f>
        <v>100000</v>
      </c>
      <c r="E61" s="48">
        <f>SUM(E62:E62)</f>
        <v>400000</v>
      </c>
      <c r="F61" s="47"/>
      <c r="G61" s="49"/>
      <c r="H61" s="47">
        <f t="shared" si="8"/>
        <v>100000</v>
      </c>
      <c r="I61" s="48">
        <f>SUM(I62:I62)</f>
        <v>100000</v>
      </c>
      <c r="J61" s="47"/>
      <c r="K61" s="47"/>
      <c r="L61" s="50"/>
      <c r="M61" s="48"/>
      <c r="N61" s="47"/>
      <c r="O61" s="47"/>
      <c r="P61" s="51"/>
      <c r="Q61" s="51"/>
    </row>
    <row r="62" spans="1:17" s="11" customFormat="1" ht="34.5" customHeight="1">
      <c r="A62" s="52"/>
      <c r="B62" s="97"/>
      <c r="C62" s="191" t="s">
        <v>125</v>
      </c>
      <c r="D62" s="98">
        <v>100000</v>
      </c>
      <c r="E62" s="99">
        <f>300000+100000</f>
        <v>400000</v>
      </c>
      <c r="F62" s="98"/>
      <c r="G62" s="100"/>
      <c r="H62" s="98">
        <f t="shared" si="8"/>
        <v>100000</v>
      </c>
      <c r="I62" s="99">
        <v>100000</v>
      </c>
      <c r="J62" s="98"/>
      <c r="K62" s="98"/>
      <c r="L62" s="101"/>
      <c r="M62" s="99"/>
      <c r="N62" s="98"/>
      <c r="O62" s="98"/>
      <c r="P62" s="102"/>
      <c r="Q62" s="102"/>
    </row>
    <row r="63" spans="1:17" s="10" customFormat="1" ht="32.25" customHeight="1">
      <c r="A63" s="44"/>
      <c r="B63" s="120">
        <v>75411</v>
      </c>
      <c r="C63" s="121" t="s">
        <v>21</v>
      </c>
      <c r="D63" s="104">
        <f>E63+F63+G63</f>
        <v>100000</v>
      </c>
      <c r="E63" s="105">
        <f>E64</f>
        <v>100000</v>
      </c>
      <c r="F63" s="104"/>
      <c r="G63" s="103"/>
      <c r="H63" s="104">
        <f t="shared" si="8"/>
        <v>75000</v>
      </c>
      <c r="I63" s="105">
        <f>I64</f>
        <v>75000</v>
      </c>
      <c r="J63" s="104"/>
      <c r="K63" s="104"/>
      <c r="L63" s="106">
        <f>M63</f>
        <v>75000</v>
      </c>
      <c r="M63" s="105">
        <f>M64</f>
        <v>75000</v>
      </c>
      <c r="N63" s="104"/>
      <c r="O63" s="104"/>
      <c r="P63" s="122">
        <f aca="true" t="shared" si="13" ref="P63:Q75">L63/H63</f>
        <v>1</v>
      </c>
      <c r="Q63" s="122">
        <f t="shared" si="13"/>
        <v>1</v>
      </c>
    </row>
    <row r="64" spans="1:17" s="11" customFormat="1" ht="23.25" customHeight="1">
      <c r="A64" s="52"/>
      <c r="B64" s="97"/>
      <c r="C64" s="191" t="s">
        <v>153</v>
      </c>
      <c r="D64" s="98">
        <f>E64+F64+G64</f>
        <v>100000</v>
      </c>
      <c r="E64" s="99">
        <v>100000</v>
      </c>
      <c r="F64" s="98"/>
      <c r="G64" s="100"/>
      <c r="H64" s="98">
        <f t="shared" si="8"/>
        <v>75000</v>
      </c>
      <c r="I64" s="99">
        <v>75000</v>
      </c>
      <c r="J64" s="98"/>
      <c r="K64" s="98"/>
      <c r="L64" s="101">
        <f>M64</f>
        <v>75000</v>
      </c>
      <c r="M64" s="99">
        <v>75000</v>
      </c>
      <c r="N64" s="98"/>
      <c r="O64" s="98"/>
      <c r="P64" s="124">
        <f t="shared" si="13"/>
        <v>1</v>
      </c>
      <c r="Q64" s="124">
        <f t="shared" si="13"/>
        <v>1</v>
      </c>
    </row>
    <row r="65" spans="1:17" s="10" customFormat="1" ht="23.25" customHeight="1">
      <c r="A65" s="44"/>
      <c r="B65" s="123">
        <v>75495</v>
      </c>
      <c r="C65" s="121" t="s">
        <v>11</v>
      </c>
      <c r="D65" s="104">
        <f>D66</f>
        <v>627600</v>
      </c>
      <c r="E65" s="105">
        <f>E66</f>
        <v>150000</v>
      </c>
      <c r="F65" s="104"/>
      <c r="G65" s="103"/>
      <c r="H65" s="104">
        <f>I65+J65+K65</f>
        <v>697818</v>
      </c>
      <c r="I65" s="105">
        <f>I66+I67</f>
        <v>697818</v>
      </c>
      <c r="J65" s="104"/>
      <c r="K65" s="104"/>
      <c r="L65" s="106">
        <f aca="true" t="shared" si="14" ref="L65:L73">SUM(M65:O65)</f>
        <v>556725</v>
      </c>
      <c r="M65" s="105">
        <f>M66+M67</f>
        <v>556725</v>
      </c>
      <c r="N65" s="104"/>
      <c r="O65" s="104"/>
      <c r="P65" s="122">
        <f t="shared" si="13"/>
        <v>0.797808311049586</v>
      </c>
      <c r="Q65" s="122">
        <f t="shared" si="13"/>
        <v>0.797808311049586</v>
      </c>
    </row>
    <row r="66" spans="1:17" s="11" customFormat="1" ht="21.75" customHeight="1">
      <c r="A66" s="52"/>
      <c r="B66" s="52"/>
      <c r="C66" s="192" t="s">
        <v>61</v>
      </c>
      <c r="D66" s="56">
        <v>627600</v>
      </c>
      <c r="E66" s="55">
        <v>150000</v>
      </c>
      <c r="F66" s="56"/>
      <c r="G66" s="57"/>
      <c r="H66" s="56">
        <f>I66+J66+K66</f>
        <v>627234</v>
      </c>
      <c r="I66" s="55">
        <v>627234</v>
      </c>
      <c r="J66" s="56"/>
      <c r="K66" s="56"/>
      <c r="L66" s="108">
        <f t="shared" si="14"/>
        <v>486141</v>
      </c>
      <c r="M66" s="55">
        <v>486141</v>
      </c>
      <c r="N66" s="56"/>
      <c r="O66" s="56"/>
      <c r="P66" s="119">
        <f t="shared" si="13"/>
        <v>0.7750552425410613</v>
      </c>
      <c r="Q66" s="119">
        <f t="shared" si="13"/>
        <v>0.7750552425410613</v>
      </c>
    </row>
    <row r="67" spans="1:17" s="11" customFormat="1" ht="33.75" customHeight="1">
      <c r="A67" s="81"/>
      <c r="B67" s="81"/>
      <c r="C67" s="193" t="s">
        <v>93</v>
      </c>
      <c r="D67" s="111"/>
      <c r="E67" s="112"/>
      <c r="F67" s="112"/>
      <c r="G67" s="110"/>
      <c r="H67" s="111">
        <f>I67</f>
        <v>70584</v>
      </c>
      <c r="I67" s="112">
        <v>70584</v>
      </c>
      <c r="J67" s="112"/>
      <c r="K67" s="111"/>
      <c r="L67" s="85">
        <f>M67</f>
        <v>70584</v>
      </c>
      <c r="M67" s="112">
        <v>70584</v>
      </c>
      <c r="N67" s="112"/>
      <c r="O67" s="112"/>
      <c r="P67" s="86">
        <f t="shared" si="13"/>
        <v>1</v>
      </c>
      <c r="Q67" s="86">
        <f t="shared" si="13"/>
        <v>1</v>
      </c>
    </row>
    <row r="68" spans="1:17" s="11" customFormat="1" ht="24" customHeight="1">
      <c r="A68" s="125">
        <v>801</v>
      </c>
      <c r="B68" s="126"/>
      <c r="C68" s="127" t="s">
        <v>22</v>
      </c>
      <c r="D68" s="41">
        <f aca="true" t="shared" si="15" ref="D68:J68">D69+D81+D89+D77+D86</f>
        <v>28660000</v>
      </c>
      <c r="E68" s="41">
        <f t="shared" si="15"/>
        <v>92495619</v>
      </c>
      <c r="F68" s="41">
        <f t="shared" si="15"/>
        <v>40676068</v>
      </c>
      <c r="G68" s="41">
        <f t="shared" si="15"/>
        <v>24413034</v>
      </c>
      <c r="H68" s="41">
        <f t="shared" si="15"/>
        <v>32130306</v>
      </c>
      <c r="I68" s="41">
        <f t="shared" si="15"/>
        <v>14173306</v>
      </c>
      <c r="J68" s="41">
        <f t="shared" si="15"/>
        <v>17957000</v>
      </c>
      <c r="K68" s="40"/>
      <c r="L68" s="42">
        <f t="shared" si="14"/>
        <v>30650779.259999998</v>
      </c>
      <c r="M68" s="41">
        <f>M69+M81+M86+M89+M77</f>
        <v>13933869.26</v>
      </c>
      <c r="N68" s="41">
        <f>N69+N81+N86+N89</f>
        <v>16716910</v>
      </c>
      <c r="O68" s="41"/>
      <c r="P68" s="43">
        <f t="shared" si="13"/>
        <v>0.9539522984935157</v>
      </c>
      <c r="Q68" s="43">
        <f t="shared" si="13"/>
        <v>0.9831065003464964</v>
      </c>
    </row>
    <row r="69" spans="1:17" s="10" customFormat="1" ht="22.5" customHeight="1">
      <c r="A69" s="107"/>
      <c r="B69" s="123">
        <v>80101</v>
      </c>
      <c r="C69" s="46" t="s">
        <v>23</v>
      </c>
      <c r="D69" s="47">
        <f>SUM(D70:D76)</f>
        <v>10340000</v>
      </c>
      <c r="E69" s="48">
        <f>SUM(E73:E75)</f>
        <v>2400000</v>
      </c>
      <c r="F69" s="47"/>
      <c r="G69" s="49"/>
      <c r="H69" s="47">
        <f>I69+J69+K69</f>
        <v>10973763</v>
      </c>
      <c r="I69" s="48">
        <f>SUM(I70:I76)</f>
        <v>4577122</v>
      </c>
      <c r="J69" s="48">
        <f>SUM(J73:J76)</f>
        <v>6396641</v>
      </c>
      <c r="K69" s="47"/>
      <c r="L69" s="50">
        <f>SUM(M69:O69)</f>
        <v>9772454.07</v>
      </c>
      <c r="M69" s="48">
        <f>SUM(M70:M76)</f>
        <v>4458018.07</v>
      </c>
      <c r="N69" s="48">
        <f>SUM(N70:N76)</f>
        <v>5314436</v>
      </c>
      <c r="O69" s="47"/>
      <c r="P69" s="51">
        <f t="shared" si="13"/>
        <v>0.8905289890076905</v>
      </c>
      <c r="Q69" s="51">
        <f t="shared" si="13"/>
        <v>0.9739784235596081</v>
      </c>
    </row>
    <row r="70" spans="1:17" s="11" customFormat="1" ht="33.75" customHeight="1">
      <c r="A70" s="52"/>
      <c r="B70" s="52"/>
      <c r="C70" s="188" t="s">
        <v>161</v>
      </c>
      <c r="D70" s="66">
        <v>300000</v>
      </c>
      <c r="E70" s="65">
        <f>400000+62000</f>
        <v>462000</v>
      </c>
      <c r="F70" s="66"/>
      <c r="G70" s="64"/>
      <c r="H70" s="66">
        <f>K70+J70+I70</f>
        <v>400000</v>
      </c>
      <c r="I70" s="65">
        <v>400000</v>
      </c>
      <c r="J70" s="66"/>
      <c r="K70" s="66"/>
      <c r="L70" s="76">
        <f>SUM(M70:O70)</f>
        <v>399994</v>
      </c>
      <c r="M70" s="65">
        <v>399994</v>
      </c>
      <c r="N70" s="66"/>
      <c r="O70" s="66"/>
      <c r="P70" s="67">
        <v>0.9999</v>
      </c>
      <c r="Q70" s="67">
        <v>0.9999</v>
      </c>
    </row>
    <row r="71" spans="1:17" s="11" customFormat="1" ht="33.75" customHeight="1">
      <c r="A71" s="52"/>
      <c r="B71" s="52"/>
      <c r="C71" s="188" t="s">
        <v>162</v>
      </c>
      <c r="D71" s="66">
        <v>500000</v>
      </c>
      <c r="E71" s="65">
        <v>200000</v>
      </c>
      <c r="F71" s="66"/>
      <c r="G71" s="64"/>
      <c r="H71" s="66">
        <f>I71+J71+K71</f>
        <v>814000</v>
      </c>
      <c r="I71" s="65">
        <v>814000</v>
      </c>
      <c r="J71" s="66"/>
      <c r="K71" s="66"/>
      <c r="L71" s="76">
        <f>SUM(M71:O71)</f>
        <v>813903</v>
      </c>
      <c r="M71" s="65">
        <v>813903</v>
      </c>
      <c r="N71" s="66"/>
      <c r="O71" s="66"/>
      <c r="P71" s="67">
        <f>L71/H71</f>
        <v>0.9998808353808354</v>
      </c>
      <c r="Q71" s="67">
        <f>M71/I71</f>
        <v>0.9998808353808354</v>
      </c>
    </row>
    <row r="72" spans="1:17" s="11" customFormat="1" ht="21.75" customHeight="1">
      <c r="A72" s="52"/>
      <c r="B72" s="52"/>
      <c r="C72" s="188" t="s">
        <v>163</v>
      </c>
      <c r="D72" s="66">
        <v>800000</v>
      </c>
      <c r="E72" s="65">
        <v>500000</v>
      </c>
      <c r="F72" s="66"/>
      <c r="G72" s="64"/>
      <c r="H72" s="66">
        <f>I72+J72+K72</f>
        <v>386000</v>
      </c>
      <c r="I72" s="65">
        <v>386000</v>
      </c>
      <c r="J72" s="66"/>
      <c r="K72" s="66"/>
      <c r="L72" s="76">
        <f>SUM(M72:O72)</f>
        <v>384662</v>
      </c>
      <c r="M72" s="65">
        <v>384662</v>
      </c>
      <c r="N72" s="66"/>
      <c r="O72" s="66"/>
      <c r="P72" s="67">
        <f>L72/H72</f>
        <v>0.9965336787564767</v>
      </c>
      <c r="Q72" s="67">
        <f>M72/I72</f>
        <v>0.9965336787564767</v>
      </c>
    </row>
    <row r="73" spans="1:17" s="11" customFormat="1" ht="21.75" customHeight="1">
      <c r="A73" s="52"/>
      <c r="B73" s="52"/>
      <c r="C73" s="189" t="s">
        <v>164</v>
      </c>
      <c r="D73" s="62">
        <v>850000</v>
      </c>
      <c r="E73" s="61">
        <v>2000000</v>
      </c>
      <c r="F73" s="62"/>
      <c r="G73" s="60"/>
      <c r="H73" s="62">
        <f>K73+J73+I73</f>
        <v>936000</v>
      </c>
      <c r="I73" s="61">
        <v>936000</v>
      </c>
      <c r="J73" s="62"/>
      <c r="K73" s="62"/>
      <c r="L73" s="76">
        <f t="shared" si="14"/>
        <v>935059</v>
      </c>
      <c r="M73" s="61">
        <v>935059</v>
      </c>
      <c r="N73" s="62"/>
      <c r="O73" s="62"/>
      <c r="P73" s="63">
        <f t="shared" si="13"/>
        <v>0.9989946581196582</v>
      </c>
      <c r="Q73" s="63">
        <f t="shared" si="13"/>
        <v>0.9989946581196582</v>
      </c>
    </row>
    <row r="74" spans="1:17" s="11" customFormat="1" ht="21.75" customHeight="1">
      <c r="A74" s="52"/>
      <c r="B74" s="52"/>
      <c r="C74" s="188" t="s">
        <v>94</v>
      </c>
      <c r="D74" s="66">
        <v>7890000</v>
      </c>
      <c r="E74" s="65">
        <v>200000</v>
      </c>
      <c r="F74" s="66"/>
      <c r="G74" s="64"/>
      <c r="H74" s="66">
        <f>I74+J74+K74</f>
        <v>8070813</v>
      </c>
      <c r="I74" s="65">
        <v>1674172</v>
      </c>
      <c r="J74" s="66">
        <f>4482641+1914000</f>
        <v>6396641</v>
      </c>
      <c r="K74" s="66"/>
      <c r="L74" s="76">
        <f>SUM(M74:O74)</f>
        <v>6871983.07</v>
      </c>
      <c r="M74" s="65">
        <f>1509025.86+48521.21</f>
        <v>1557547.07</v>
      </c>
      <c r="N74" s="66">
        <f>3400436+1914000</f>
        <v>5314436</v>
      </c>
      <c r="O74" s="66"/>
      <c r="P74" s="67">
        <f t="shared" si="13"/>
        <v>0.8514610696592773</v>
      </c>
      <c r="Q74" s="67">
        <f t="shared" si="13"/>
        <v>0.9303387405834048</v>
      </c>
    </row>
    <row r="75" spans="1:17" s="11" customFormat="1" ht="32.25" customHeight="1">
      <c r="A75" s="52"/>
      <c r="B75" s="52"/>
      <c r="C75" s="188" t="s">
        <v>165</v>
      </c>
      <c r="D75" s="66"/>
      <c r="E75" s="65">
        <v>200000</v>
      </c>
      <c r="F75" s="66"/>
      <c r="G75" s="64"/>
      <c r="H75" s="66">
        <f>I75+J75+K75</f>
        <v>343450</v>
      </c>
      <c r="I75" s="65">
        <v>343450</v>
      </c>
      <c r="J75" s="66"/>
      <c r="K75" s="66"/>
      <c r="L75" s="76">
        <f>M75</f>
        <v>343450</v>
      </c>
      <c r="M75" s="65">
        <v>343450</v>
      </c>
      <c r="N75" s="66"/>
      <c r="O75" s="66"/>
      <c r="P75" s="67">
        <f t="shared" si="13"/>
        <v>1</v>
      </c>
      <c r="Q75" s="67">
        <f t="shared" si="13"/>
        <v>1</v>
      </c>
    </row>
    <row r="76" spans="1:17" s="11" customFormat="1" ht="22.5" customHeight="1">
      <c r="A76" s="52"/>
      <c r="B76" s="81"/>
      <c r="C76" s="84" t="s">
        <v>16</v>
      </c>
      <c r="D76" s="83"/>
      <c r="E76" s="82"/>
      <c r="F76" s="83"/>
      <c r="G76" s="84"/>
      <c r="H76" s="83">
        <f>I76</f>
        <v>23500</v>
      </c>
      <c r="I76" s="82">
        <v>23500</v>
      </c>
      <c r="J76" s="83"/>
      <c r="K76" s="83"/>
      <c r="L76" s="128">
        <f>SUM(M76:O76)</f>
        <v>23403</v>
      </c>
      <c r="M76" s="82">
        <v>23403</v>
      </c>
      <c r="N76" s="83"/>
      <c r="O76" s="83"/>
      <c r="P76" s="86">
        <f aca="true" t="shared" si="16" ref="P76:Q80">L76/H76</f>
        <v>0.995872340425532</v>
      </c>
      <c r="Q76" s="86">
        <f t="shared" si="16"/>
        <v>0.995872340425532</v>
      </c>
    </row>
    <row r="77" spans="1:17" s="11" customFormat="1" ht="22.5" customHeight="1">
      <c r="A77" s="52"/>
      <c r="B77" s="32">
        <v>80104</v>
      </c>
      <c r="C77" s="103" t="s">
        <v>95</v>
      </c>
      <c r="D77" s="104"/>
      <c r="E77" s="112">
        <f>SUM(E78:E82)</f>
        <v>10000000</v>
      </c>
      <c r="F77" s="111"/>
      <c r="G77" s="110"/>
      <c r="H77" s="104">
        <f aca="true" t="shared" si="17" ref="H77:H84">I77+J77+K77</f>
        <v>44596</v>
      </c>
      <c r="I77" s="105">
        <f>I78+I79+I80</f>
        <v>44596</v>
      </c>
      <c r="J77" s="111"/>
      <c r="K77" s="111"/>
      <c r="L77" s="106">
        <f>M77</f>
        <v>44595</v>
      </c>
      <c r="M77" s="105">
        <f>M78+M79+M80</f>
        <v>44595</v>
      </c>
      <c r="N77" s="104"/>
      <c r="O77" s="104"/>
      <c r="P77" s="158">
        <v>0.9999</v>
      </c>
      <c r="Q77" s="158">
        <v>0.9999</v>
      </c>
    </row>
    <row r="78" spans="1:17" s="11" customFormat="1" ht="22.5" customHeight="1">
      <c r="A78" s="52"/>
      <c r="B78" s="53"/>
      <c r="C78" s="117" t="s">
        <v>96</v>
      </c>
      <c r="D78" s="115"/>
      <c r="E78" s="116">
        <v>1800000</v>
      </c>
      <c r="F78" s="115"/>
      <c r="G78" s="117"/>
      <c r="H78" s="115">
        <f t="shared" si="17"/>
        <v>10980</v>
      </c>
      <c r="I78" s="116">
        <v>10980</v>
      </c>
      <c r="J78" s="115"/>
      <c r="K78" s="115"/>
      <c r="L78" s="118">
        <f>M78</f>
        <v>10980</v>
      </c>
      <c r="M78" s="116">
        <v>10980</v>
      </c>
      <c r="N78" s="115"/>
      <c r="O78" s="115"/>
      <c r="P78" s="74">
        <f t="shared" si="16"/>
        <v>1</v>
      </c>
      <c r="Q78" s="74">
        <f t="shared" si="16"/>
        <v>1</v>
      </c>
    </row>
    <row r="79" spans="1:17" s="11" customFormat="1" ht="22.5" customHeight="1">
      <c r="A79" s="52"/>
      <c r="B79" s="52"/>
      <c r="C79" s="64" t="s">
        <v>139</v>
      </c>
      <c r="D79" s="66"/>
      <c r="E79" s="65">
        <v>1800000</v>
      </c>
      <c r="F79" s="66"/>
      <c r="G79" s="64"/>
      <c r="H79" s="66">
        <f>I79+J79+K79</f>
        <v>29623</v>
      </c>
      <c r="I79" s="65">
        <v>29623</v>
      </c>
      <c r="J79" s="66"/>
      <c r="K79" s="66"/>
      <c r="L79" s="69">
        <f>M79</f>
        <v>29623</v>
      </c>
      <c r="M79" s="65">
        <v>29623</v>
      </c>
      <c r="N79" s="66"/>
      <c r="O79" s="66"/>
      <c r="P79" s="67">
        <f t="shared" si="16"/>
        <v>1</v>
      </c>
      <c r="Q79" s="67">
        <f t="shared" si="16"/>
        <v>1</v>
      </c>
    </row>
    <row r="80" spans="1:17" s="11" customFormat="1" ht="22.5" customHeight="1">
      <c r="A80" s="52"/>
      <c r="B80" s="81"/>
      <c r="C80" s="110" t="s">
        <v>16</v>
      </c>
      <c r="D80" s="111"/>
      <c r="E80" s="112">
        <v>1800000</v>
      </c>
      <c r="F80" s="111"/>
      <c r="G80" s="110"/>
      <c r="H80" s="111">
        <f>I80+J80+K80</f>
        <v>3993</v>
      </c>
      <c r="I80" s="112">
        <v>3993</v>
      </c>
      <c r="J80" s="111"/>
      <c r="K80" s="111"/>
      <c r="L80" s="85">
        <f>M80</f>
        <v>3992</v>
      </c>
      <c r="M80" s="112">
        <v>3992</v>
      </c>
      <c r="N80" s="111"/>
      <c r="O80" s="111"/>
      <c r="P80" s="124">
        <f t="shared" si="16"/>
        <v>0.9997495617330328</v>
      </c>
      <c r="Q80" s="124">
        <f t="shared" si="16"/>
        <v>0.9997495617330328</v>
      </c>
    </row>
    <row r="81" spans="1:17" s="11" customFormat="1" ht="22.5" customHeight="1">
      <c r="A81" s="52"/>
      <c r="B81" s="32">
        <v>80110</v>
      </c>
      <c r="C81" s="103" t="s">
        <v>24</v>
      </c>
      <c r="D81" s="104">
        <f>SUM(D82:D84)</f>
        <v>6990000</v>
      </c>
      <c r="E81" s="112">
        <f>SUM(E82:E84)</f>
        <v>2800000</v>
      </c>
      <c r="F81" s="111"/>
      <c r="G81" s="110"/>
      <c r="H81" s="104">
        <f t="shared" si="17"/>
        <v>8855930</v>
      </c>
      <c r="I81" s="105">
        <f>SUM(I82:I85)</f>
        <v>5445571</v>
      </c>
      <c r="J81" s="105">
        <f>SUM(J82:J84)</f>
        <v>3410359</v>
      </c>
      <c r="K81" s="111"/>
      <c r="L81" s="106">
        <f>SUM(M81:O81)</f>
        <v>8767408</v>
      </c>
      <c r="M81" s="105">
        <f>SUM(M82:M85)</f>
        <v>5357050</v>
      </c>
      <c r="N81" s="105">
        <f>SUM(N82:N84)</f>
        <v>3410358</v>
      </c>
      <c r="O81" s="104"/>
      <c r="P81" s="122">
        <f aca="true" t="shared" si="18" ref="P81:Q84">L81/H81</f>
        <v>0.9900042118670767</v>
      </c>
      <c r="Q81" s="122">
        <f t="shared" si="18"/>
        <v>0.9837444043976288</v>
      </c>
    </row>
    <row r="82" spans="1:17" s="11" customFormat="1" ht="22.5" customHeight="1">
      <c r="A82" s="52"/>
      <c r="B82" s="53"/>
      <c r="C82" s="57" t="s">
        <v>166</v>
      </c>
      <c r="D82" s="56">
        <v>1500000</v>
      </c>
      <c r="E82" s="55">
        <v>1800000</v>
      </c>
      <c r="F82" s="56"/>
      <c r="G82" s="57"/>
      <c r="H82" s="56">
        <f t="shared" si="17"/>
        <v>3153000</v>
      </c>
      <c r="I82" s="55">
        <v>3153000</v>
      </c>
      <c r="J82" s="56"/>
      <c r="K82" s="56"/>
      <c r="L82" s="108">
        <f>SUM(M82:O82)</f>
        <v>3152193</v>
      </c>
      <c r="M82" s="55">
        <v>3152193</v>
      </c>
      <c r="N82" s="56"/>
      <c r="O82" s="56"/>
      <c r="P82" s="59">
        <f t="shared" si="18"/>
        <v>0.999744053282588</v>
      </c>
      <c r="Q82" s="59">
        <f t="shared" si="18"/>
        <v>0.999744053282588</v>
      </c>
    </row>
    <row r="83" spans="1:17" s="11" customFormat="1" ht="22.5" customHeight="1">
      <c r="A83" s="52"/>
      <c r="B83" s="52"/>
      <c r="C83" s="64" t="s">
        <v>50</v>
      </c>
      <c r="D83" s="66">
        <v>900000</v>
      </c>
      <c r="E83" s="65">
        <v>500000</v>
      </c>
      <c r="F83" s="66"/>
      <c r="G83" s="64"/>
      <c r="H83" s="66">
        <f t="shared" si="17"/>
        <v>391000</v>
      </c>
      <c r="I83" s="65">
        <v>391000</v>
      </c>
      <c r="J83" s="66"/>
      <c r="K83" s="66"/>
      <c r="L83" s="69">
        <f>SUM(M83:O83)</f>
        <v>390327</v>
      </c>
      <c r="M83" s="65">
        <v>390327</v>
      </c>
      <c r="N83" s="66"/>
      <c r="O83" s="66"/>
      <c r="P83" s="67">
        <f t="shared" si="18"/>
        <v>0.9982787723785166</v>
      </c>
      <c r="Q83" s="67">
        <f t="shared" si="18"/>
        <v>0.9982787723785166</v>
      </c>
    </row>
    <row r="84" spans="1:17" s="11" customFormat="1" ht="22.5" customHeight="1">
      <c r="A84" s="52"/>
      <c r="B84" s="52"/>
      <c r="C84" s="73" t="s">
        <v>94</v>
      </c>
      <c r="D84" s="54">
        <v>4590000</v>
      </c>
      <c r="E84" s="72">
        <v>500000</v>
      </c>
      <c r="F84" s="54"/>
      <c r="G84" s="73"/>
      <c r="H84" s="54">
        <f t="shared" si="17"/>
        <v>4305098</v>
      </c>
      <c r="I84" s="72">
        <v>894739</v>
      </c>
      <c r="J84" s="54">
        <f>2273359+1137000</f>
        <v>3410359</v>
      </c>
      <c r="K84" s="54"/>
      <c r="L84" s="58">
        <f>SUM(M84:O84)</f>
        <v>4218056</v>
      </c>
      <c r="M84" s="72">
        <f>783681+24017</f>
        <v>807698</v>
      </c>
      <c r="N84" s="54">
        <f>2273358+1137000</f>
        <v>3410358</v>
      </c>
      <c r="O84" s="54"/>
      <c r="P84" s="74">
        <f t="shared" si="18"/>
        <v>0.979781644924227</v>
      </c>
      <c r="Q84" s="74">
        <f t="shared" si="18"/>
        <v>0.9027191169715414</v>
      </c>
    </row>
    <row r="85" spans="1:17" s="11" customFormat="1" ht="22.5" customHeight="1">
      <c r="A85" s="81"/>
      <c r="B85" s="81"/>
      <c r="C85" s="84" t="s">
        <v>140</v>
      </c>
      <c r="D85" s="83"/>
      <c r="E85" s="82">
        <v>500000</v>
      </c>
      <c r="F85" s="83"/>
      <c r="G85" s="84"/>
      <c r="H85" s="83">
        <f>I85+J85+K85</f>
        <v>1006832</v>
      </c>
      <c r="I85" s="82">
        <v>1006832</v>
      </c>
      <c r="J85" s="83"/>
      <c r="K85" s="83"/>
      <c r="L85" s="128">
        <f>SUM(M85:O85)</f>
        <v>1006832</v>
      </c>
      <c r="M85" s="82">
        <f>37454+949858+19520</f>
        <v>1006832</v>
      </c>
      <c r="N85" s="83"/>
      <c r="O85" s="83"/>
      <c r="P85" s="86">
        <f aca="true" t="shared" si="19" ref="P85:Q88">L85/H85</f>
        <v>1</v>
      </c>
      <c r="Q85" s="86">
        <f t="shared" si="19"/>
        <v>1</v>
      </c>
    </row>
    <row r="86" spans="1:17" s="11" customFormat="1" ht="22.5" customHeight="1">
      <c r="A86" s="52"/>
      <c r="B86" s="32">
        <v>80120</v>
      </c>
      <c r="C86" s="103" t="s">
        <v>75</v>
      </c>
      <c r="D86" s="104">
        <f>D87</f>
        <v>180000</v>
      </c>
      <c r="E86" s="112"/>
      <c r="F86" s="111"/>
      <c r="G86" s="110"/>
      <c r="H86" s="104">
        <f>I86</f>
        <v>49500</v>
      </c>
      <c r="I86" s="105">
        <f>I87+I88</f>
        <v>49500</v>
      </c>
      <c r="J86" s="111"/>
      <c r="K86" s="111"/>
      <c r="L86" s="106">
        <f>M86</f>
        <v>49161</v>
      </c>
      <c r="M86" s="105">
        <f>M87+M88</f>
        <v>49161</v>
      </c>
      <c r="N86" s="104"/>
      <c r="O86" s="104"/>
      <c r="P86" s="158">
        <f t="shared" si="19"/>
        <v>0.9931515151515151</v>
      </c>
      <c r="Q86" s="158">
        <f t="shared" si="19"/>
        <v>0.9931515151515151</v>
      </c>
    </row>
    <row r="87" spans="1:17" s="11" customFormat="1" ht="48" customHeight="1">
      <c r="A87" s="52"/>
      <c r="B87" s="52"/>
      <c r="C87" s="194" t="s">
        <v>120</v>
      </c>
      <c r="D87" s="70">
        <v>180000</v>
      </c>
      <c r="E87" s="132"/>
      <c r="F87" s="70"/>
      <c r="G87" s="133"/>
      <c r="H87" s="70">
        <f>I87</f>
        <v>30000</v>
      </c>
      <c r="I87" s="132">
        <v>30000</v>
      </c>
      <c r="J87" s="70"/>
      <c r="K87" s="70"/>
      <c r="L87" s="71">
        <f>M87</f>
        <v>29661</v>
      </c>
      <c r="M87" s="132">
        <v>29661</v>
      </c>
      <c r="N87" s="70"/>
      <c r="O87" s="70"/>
      <c r="P87" s="74">
        <f t="shared" si="19"/>
        <v>0.9887</v>
      </c>
      <c r="Q87" s="74">
        <f t="shared" si="19"/>
        <v>0.9887</v>
      </c>
    </row>
    <row r="88" spans="1:17" s="11" customFormat="1" ht="22.5" customHeight="1">
      <c r="A88" s="52"/>
      <c r="B88" s="81"/>
      <c r="C88" s="84" t="s">
        <v>96</v>
      </c>
      <c r="D88" s="83"/>
      <c r="E88" s="82">
        <v>1800000</v>
      </c>
      <c r="F88" s="83"/>
      <c r="G88" s="84"/>
      <c r="H88" s="83">
        <f>I88+J88+K88</f>
        <v>19500</v>
      </c>
      <c r="I88" s="82">
        <v>19500</v>
      </c>
      <c r="J88" s="83"/>
      <c r="K88" s="83"/>
      <c r="L88" s="128">
        <f>M88</f>
        <v>19500</v>
      </c>
      <c r="M88" s="82">
        <v>19500</v>
      </c>
      <c r="N88" s="83"/>
      <c r="O88" s="83"/>
      <c r="P88" s="86">
        <f t="shared" si="19"/>
        <v>1</v>
      </c>
      <c r="Q88" s="86">
        <f t="shared" si="19"/>
        <v>1</v>
      </c>
    </row>
    <row r="89" spans="1:17" s="10" customFormat="1" ht="22.5" customHeight="1">
      <c r="A89" s="44"/>
      <c r="B89" s="123">
        <v>80130</v>
      </c>
      <c r="C89" s="46" t="s">
        <v>48</v>
      </c>
      <c r="D89" s="47">
        <f>D90+D91</f>
        <v>11150000</v>
      </c>
      <c r="E89" s="47">
        <f>F89+G89+H89</f>
        <v>77295619</v>
      </c>
      <c r="F89" s="47">
        <f>G89+H89+I89</f>
        <v>40676068</v>
      </c>
      <c r="G89" s="47">
        <f>H89+I89+J89</f>
        <v>24413034</v>
      </c>
      <c r="H89" s="47">
        <f>I89+J89+K89</f>
        <v>12206517</v>
      </c>
      <c r="I89" s="48">
        <f>SUM(I90:I93)</f>
        <v>4056517</v>
      </c>
      <c r="J89" s="48">
        <f>SUM(J91:J92)</f>
        <v>8150000</v>
      </c>
      <c r="K89" s="47"/>
      <c r="L89" s="50">
        <f>SUM(M89:O89)</f>
        <v>12017161.19</v>
      </c>
      <c r="M89" s="48">
        <f>M90+M92+M91+M93</f>
        <v>4025045.19</v>
      </c>
      <c r="N89" s="48">
        <f>N90+N92+N91</f>
        <v>7992116</v>
      </c>
      <c r="O89" s="47"/>
      <c r="P89" s="51">
        <f aca="true" t="shared" si="20" ref="P89:Q96">L89/H89</f>
        <v>0.9844873185364834</v>
      </c>
      <c r="Q89" s="51">
        <f t="shared" si="20"/>
        <v>0.9922416669275637</v>
      </c>
    </row>
    <row r="90" spans="1:17" s="11" customFormat="1" ht="21.75" customHeight="1">
      <c r="A90" s="52"/>
      <c r="B90" s="53"/>
      <c r="C90" s="57" t="s">
        <v>167</v>
      </c>
      <c r="D90" s="56">
        <v>500000</v>
      </c>
      <c r="E90" s="55"/>
      <c r="F90" s="56">
        <v>1000000</v>
      </c>
      <c r="G90" s="57"/>
      <c r="H90" s="56">
        <f aca="true" t="shared" si="21" ref="H90:H96">I90+J90+K90</f>
        <v>1000000</v>
      </c>
      <c r="I90" s="55">
        <v>1000000</v>
      </c>
      <c r="J90" s="56"/>
      <c r="K90" s="56"/>
      <c r="L90" s="118">
        <f>SUM(M90:O90)</f>
        <v>1000000</v>
      </c>
      <c r="M90" s="55">
        <v>1000000</v>
      </c>
      <c r="N90" s="56"/>
      <c r="O90" s="56"/>
      <c r="P90" s="119">
        <f t="shared" si="20"/>
        <v>1</v>
      </c>
      <c r="Q90" s="119">
        <f t="shared" si="20"/>
        <v>1</v>
      </c>
    </row>
    <row r="91" spans="1:17" s="11" customFormat="1" ht="21.75" customHeight="1">
      <c r="A91" s="52"/>
      <c r="B91" s="52"/>
      <c r="C91" s="64" t="s">
        <v>168</v>
      </c>
      <c r="D91" s="66">
        <v>10650000</v>
      </c>
      <c r="E91" s="65">
        <v>200000</v>
      </c>
      <c r="F91" s="66"/>
      <c r="G91" s="64"/>
      <c r="H91" s="66">
        <f t="shared" si="21"/>
        <v>11036550</v>
      </c>
      <c r="I91" s="65">
        <v>2886550</v>
      </c>
      <c r="J91" s="66">
        <v>8150000</v>
      </c>
      <c r="K91" s="66"/>
      <c r="L91" s="69">
        <f>SUM(M91:O91)</f>
        <v>10847195.19</v>
      </c>
      <c r="M91" s="65">
        <f>2706549.16+148530.03</f>
        <v>2855079.19</v>
      </c>
      <c r="N91" s="66">
        <v>7992116</v>
      </c>
      <c r="O91" s="66"/>
      <c r="P91" s="67">
        <f t="shared" si="20"/>
        <v>0.9828429346127187</v>
      </c>
      <c r="Q91" s="67">
        <f t="shared" si="20"/>
        <v>0.9890974311894822</v>
      </c>
    </row>
    <row r="92" spans="1:17" s="11" customFormat="1" ht="21.75" customHeight="1">
      <c r="A92" s="52"/>
      <c r="B92" s="52"/>
      <c r="C92" s="133" t="s">
        <v>16</v>
      </c>
      <c r="D92" s="70"/>
      <c r="E92" s="132"/>
      <c r="F92" s="70"/>
      <c r="G92" s="133"/>
      <c r="H92" s="70">
        <f t="shared" si="21"/>
        <v>21000</v>
      </c>
      <c r="I92" s="132">
        <v>21000</v>
      </c>
      <c r="J92" s="70"/>
      <c r="K92" s="70"/>
      <c r="L92" s="71">
        <f aca="true" t="shared" si="22" ref="L92:L98">SUM(M92:O92)</f>
        <v>20999</v>
      </c>
      <c r="M92" s="132">
        <v>20999</v>
      </c>
      <c r="N92" s="70"/>
      <c r="O92" s="70"/>
      <c r="P92" s="109">
        <v>0.9999</v>
      </c>
      <c r="Q92" s="109">
        <v>0.9999</v>
      </c>
    </row>
    <row r="93" spans="1:17" s="11" customFormat="1" ht="22.5" customHeight="1">
      <c r="A93" s="81"/>
      <c r="B93" s="81"/>
      <c r="C93" s="84" t="s">
        <v>140</v>
      </c>
      <c r="D93" s="83"/>
      <c r="E93" s="82">
        <v>500000</v>
      </c>
      <c r="F93" s="83"/>
      <c r="G93" s="84"/>
      <c r="H93" s="83">
        <f t="shared" si="21"/>
        <v>148967</v>
      </c>
      <c r="I93" s="82">
        <v>148967</v>
      </c>
      <c r="J93" s="83"/>
      <c r="K93" s="83"/>
      <c r="L93" s="128">
        <f>SUM(M93:O93)</f>
        <v>148967</v>
      </c>
      <c r="M93" s="82">
        <v>148967</v>
      </c>
      <c r="N93" s="83"/>
      <c r="O93" s="83"/>
      <c r="P93" s="86">
        <f t="shared" si="20"/>
        <v>1</v>
      </c>
      <c r="Q93" s="86">
        <f t="shared" si="20"/>
        <v>1</v>
      </c>
    </row>
    <row r="94" spans="1:17" s="11" customFormat="1" ht="22.5" customHeight="1">
      <c r="A94" s="38">
        <v>851</v>
      </c>
      <c r="B94" s="38"/>
      <c r="C94" s="92" t="s">
        <v>25</v>
      </c>
      <c r="D94" s="93">
        <f>D95+D98</f>
        <v>1580000</v>
      </c>
      <c r="E94" s="94">
        <f>E95</f>
        <v>300000</v>
      </c>
      <c r="F94" s="93"/>
      <c r="G94" s="92"/>
      <c r="H94" s="93">
        <f t="shared" si="21"/>
        <v>2212076</v>
      </c>
      <c r="I94" s="94">
        <f>I95+I98</f>
        <v>2212076</v>
      </c>
      <c r="J94" s="93"/>
      <c r="K94" s="93"/>
      <c r="L94" s="95">
        <f t="shared" si="22"/>
        <v>2204318</v>
      </c>
      <c r="M94" s="94">
        <f>M95+M98</f>
        <v>2204318</v>
      </c>
      <c r="N94" s="93"/>
      <c r="O94" s="93"/>
      <c r="P94" s="96">
        <f t="shared" si="20"/>
        <v>0.9964928872244896</v>
      </c>
      <c r="Q94" s="96">
        <f t="shared" si="20"/>
        <v>0.9964928872244896</v>
      </c>
    </row>
    <row r="95" spans="1:17" s="10" customFormat="1" ht="22.5" customHeight="1">
      <c r="A95" s="107"/>
      <c r="B95" s="75">
        <v>85121</v>
      </c>
      <c r="C95" s="49" t="s">
        <v>26</v>
      </c>
      <c r="D95" s="47">
        <f>SUM(D96:D97)</f>
        <v>180000</v>
      </c>
      <c r="E95" s="48">
        <f>E96</f>
        <v>300000</v>
      </c>
      <c r="F95" s="47"/>
      <c r="G95" s="49"/>
      <c r="H95" s="47">
        <f t="shared" si="21"/>
        <v>240000</v>
      </c>
      <c r="I95" s="48">
        <f>I96+I97</f>
        <v>240000</v>
      </c>
      <c r="J95" s="47"/>
      <c r="K95" s="47"/>
      <c r="L95" s="50">
        <f>M95</f>
        <v>236201</v>
      </c>
      <c r="M95" s="48">
        <f>M96</f>
        <v>236201</v>
      </c>
      <c r="N95" s="47"/>
      <c r="O95" s="47"/>
      <c r="P95" s="122">
        <f t="shared" si="20"/>
        <v>0.9841708333333333</v>
      </c>
      <c r="Q95" s="122">
        <f t="shared" si="20"/>
        <v>0.9841708333333333</v>
      </c>
    </row>
    <row r="96" spans="1:17" s="11" customFormat="1" ht="21.75" customHeight="1">
      <c r="A96" s="52"/>
      <c r="B96" s="52"/>
      <c r="C96" s="192" t="s">
        <v>97</v>
      </c>
      <c r="D96" s="56">
        <v>100000</v>
      </c>
      <c r="E96" s="55">
        <v>300000</v>
      </c>
      <c r="F96" s="56"/>
      <c r="G96" s="57"/>
      <c r="H96" s="56">
        <f t="shared" si="21"/>
        <v>240000</v>
      </c>
      <c r="I96" s="55">
        <v>240000</v>
      </c>
      <c r="J96" s="56"/>
      <c r="K96" s="56"/>
      <c r="L96" s="108">
        <f>M96</f>
        <v>236201</v>
      </c>
      <c r="M96" s="55">
        <f>156201+80000</f>
        <v>236201</v>
      </c>
      <c r="N96" s="56"/>
      <c r="O96" s="56"/>
      <c r="P96" s="109">
        <f t="shared" si="20"/>
        <v>0.9841708333333333</v>
      </c>
      <c r="Q96" s="109">
        <f t="shared" si="20"/>
        <v>0.9841708333333333</v>
      </c>
    </row>
    <row r="97" spans="1:17" s="11" customFormat="1" ht="21.75" customHeight="1">
      <c r="A97" s="52"/>
      <c r="B97" s="81"/>
      <c r="C97" s="193" t="s">
        <v>16</v>
      </c>
      <c r="D97" s="111">
        <v>80000</v>
      </c>
      <c r="E97" s="112">
        <v>300000</v>
      </c>
      <c r="F97" s="111"/>
      <c r="G97" s="110"/>
      <c r="H97" s="111"/>
      <c r="I97" s="112"/>
      <c r="J97" s="111"/>
      <c r="K97" s="111"/>
      <c r="L97" s="85"/>
      <c r="M97" s="112"/>
      <c r="N97" s="111"/>
      <c r="O97" s="111"/>
      <c r="P97" s="158"/>
      <c r="Q97" s="158"/>
    </row>
    <row r="98" spans="1:17" s="11" customFormat="1" ht="22.5" customHeight="1">
      <c r="A98" s="52"/>
      <c r="B98" s="32">
        <v>85154</v>
      </c>
      <c r="C98" s="130" t="s">
        <v>83</v>
      </c>
      <c r="D98" s="104">
        <f>D99</f>
        <v>1400000</v>
      </c>
      <c r="E98" s="112"/>
      <c r="F98" s="111"/>
      <c r="G98" s="110"/>
      <c r="H98" s="104">
        <f>SUM(H99:H100)</f>
        <v>1972076</v>
      </c>
      <c r="I98" s="104">
        <f>SUM(I99:I100)</f>
        <v>1972076</v>
      </c>
      <c r="J98" s="111"/>
      <c r="K98" s="111"/>
      <c r="L98" s="106">
        <f t="shared" si="22"/>
        <v>1968117</v>
      </c>
      <c r="M98" s="105">
        <f>M100+M99</f>
        <v>1968117</v>
      </c>
      <c r="N98" s="104"/>
      <c r="O98" s="104"/>
      <c r="P98" s="122">
        <f aca="true" t="shared" si="23" ref="P98:Q103">L98/H98</f>
        <v>0.9979924708784043</v>
      </c>
      <c r="Q98" s="122">
        <f t="shared" si="23"/>
        <v>0.9979924708784043</v>
      </c>
    </row>
    <row r="99" spans="1:17" s="11" customFormat="1" ht="21.75" customHeight="1">
      <c r="A99" s="52"/>
      <c r="B99" s="53"/>
      <c r="C99" s="192" t="s">
        <v>84</v>
      </c>
      <c r="D99" s="56">
        <v>1400000</v>
      </c>
      <c r="E99" s="55"/>
      <c r="F99" s="56"/>
      <c r="G99" s="57"/>
      <c r="H99" s="56">
        <f>I99</f>
        <v>1900000</v>
      </c>
      <c r="I99" s="55">
        <v>1900000</v>
      </c>
      <c r="J99" s="56"/>
      <c r="K99" s="56"/>
      <c r="L99" s="108">
        <f>M99</f>
        <v>1900000</v>
      </c>
      <c r="M99" s="55">
        <f>1642251+257749</f>
        <v>1900000</v>
      </c>
      <c r="N99" s="56"/>
      <c r="O99" s="56"/>
      <c r="P99" s="119">
        <f t="shared" si="23"/>
        <v>1</v>
      </c>
      <c r="Q99" s="119">
        <f t="shared" si="23"/>
        <v>1</v>
      </c>
    </row>
    <row r="100" spans="1:17" s="11" customFormat="1" ht="21.75" customHeight="1">
      <c r="A100" s="81"/>
      <c r="B100" s="81"/>
      <c r="C100" s="195" t="s">
        <v>16</v>
      </c>
      <c r="D100" s="83"/>
      <c r="E100" s="82"/>
      <c r="F100" s="83"/>
      <c r="G100" s="84"/>
      <c r="H100" s="83">
        <f>I100</f>
        <v>72076</v>
      </c>
      <c r="I100" s="82">
        <v>72076</v>
      </c>
      <c r="J100" s="83"/>
      <c r="K100" s="111"/>
      <c r="L100" s="85">
        <f>M100</f>
        <v>68117</v>
      </c>
      <c r="M100" s="112">
        <v>68117</v>
      </c>
      <c r="N100" s="111"/>
      <c r="O100" s="111"/>
      <c r="P100" s="86">
        <f t="shared" si="23"/>
        <v>0.9450718685831622</v>
      </c>
      <c r="Q100" s="86">
        <f t="shared" si="23"/>
        <v>0.9450718685831622</v>
      </c>
    </row>
    <row r="101" spans="1:17" s="11" customFormat="1" ht="22.5" customHeight="1">
      <c r="A101" s="126">
        <v>852</v>
      </c>
      <c r="B101" s="38"/>
      <c r="C101" s="92" t="s">
        <v>98</v>
      </c>
      <c r="D101" s="93">
        <f>D106+D110+D114</f>
        <v>864000</v>
      </c>
      <c r="E101" s="94">
        <f>E106+E114</f>
        <v>1220000</v>
      </c>
      <c r="F101" s="93"/>
      <c r="G101" s="92"/>
      <c r="H101" s="93">
        <f aca="true" t="shared" si="24" ref="H101:H108">I101+J101+K101</f>
        <v>2661478</v>
      </c>
      <c r="I101" s="94">
        <f>I106+I114+I102+I110+I116</f>
        <v>1728625</v>
      </c>
      <c r="J101" s="94"/>
      <c r="K101" s="93">
        <f>K102+K106+K110</f>
        <v>932853</v>
      </c>
      <c r="L101" s="95">
        <f aca="true" t="shared" si="25" ref="L101:L107">SUM(M101:O101)</f>
        <v>1543685</v>
      </c>
      <c r="M101" s="94">
        <f>M106+M114+M110+M102</f>
        <v>1461685</v>
      </c>
      <c r="N101" s="94"/>
      <c r="O101" s="93">
        <f>O102+O106</f>
        <v>82000</v>
      </c>
      <c r="P101" s="96">
        <f t="shared" si="23"/>
        <v>0.580010430294746</v>
      </c>
      <c r="Q101" s="96">
        <f t="shared" si="23"/>
        <v>0.8455766866729337</v>
      </c>
    </row>
    <row r="102" spans="1:17" s="10" customFormat="1" ht="22.5" customHeight="1">
      <c r="A102" s="44"/>
      <c r="B102" s="32">
        <v>85201</v>
      </c>
      <c r="C102" s="103" t="s">
        <v>99</v>
      </c>
      <c r="D102" s="104"/>
      <c r="E102" s="105">
        <f>E103</f>
        <v>1120000</v>
      </c>
      <c r="F102" s="104"/>
      <c r="G102" s="103"/>
      <c r="H102" s="104">
        <f t="shared" si="24"/>
        <v>518853</v>
      </c>
      <c r="I102" s="105">
        <f>I103+I105</f>
        <v>286000</v>
      </c>
      <c r="J102" s="105"/>
      <c r="K102" s="104">
        <f>K103+K104</f>
        <v>232853</v>
      </c>
      <c r="L102" s="106">
        <f t="shared" si="25"/>
        <v>308000</v>
      </c>
      <c r="M102" s="105">
        <f>M103+M105</f>
        <v>286000</v>
      </c>
      <c r="N102" s="105"/>
      <c r="O102" s="104">
        <f>O104</f>
        <v>22000</v>
      </c>
      <c r="P102" s="159">
        <f t="shared" si="23"/>
        <v>0.5936170745856726</v>
      </c>
      <c r="Q102" s="159">
        <f t="shared" si="23"/>
        <v>1</v>
      </c>
    </row>
    <row r="103" spans="1:256" s="13" customFormat="1" ht="21.75" customHeight="1">
      <c r="A103" s="52"/>
      <c r="B103" s="53"/>
      <c r="C103" s="117" t="s">
        <v>27</v>
      </c>
      <c r="D103" s="115"/>
      <c r="E103" s="116">
        <v>1120000</v>
      </c>
      <c r="F103" s="115"/>
      <c r="G103" s="117"/>
      <c r="H103" s="115">
        <f>I103+J103+K103</f>
        <v>490853</v>
      </c>
      <c r="I103" s="116">
        <v>280000</v>
      </c>
      <c r="J103" s="115"/>
      <c r="K103" s="115">
        <v>210853</v>
      </c>
      <c r="L103" s="118">
        <f t="shared" si="25"/>
        <v>280000</v>
      </c>
      <c r="M103" s="116">
        <v>280000</v>
      </c>
      <c r="N103" s="115"/>
      <c r="O103" s="115"/>
      <c r="P103" s="59">
        <f t="shared" si="23"/>
        <v>0.5704355479135301</v>
      </c>
      <c r="Q103" s="59">
        <f t="shared" si="23"/>
        <v>1</v>
      </c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18" s="9" customFormat="1" ht="21.75" customHeight="1">
      <c r="A104" s="52"/>
      <c r="B104" s="52"/>
      <c r="C104" s="64" t="s">
        <v>141</v>
      </c>
      <c r="D104" s="66"/>
      <c r="E104" s="65">
        <v>1120000</v>
      </c>
      <c r="F104" s="66"/>
      <c r="G104" s="64"/>
      <c r="H104" s="66">
        <f>I104+J104+K104</f>
        <v>22000</v>
      </c>
      <c r="I104" s="65"/>
      <c r="J104" s="66"/>
      <c r="K104" s="66">
        <v>22000</v>
      </c>
      <c r="L104" s="69">
        <f t="shared" si="25"/>
        <v>22000</v>
      </c>
      <c r="M104" s="65"/>
      <c r="N104" s="66"/>
      <c r="O104" s="66">
        <v>22000</v>
      </c>
      <c r="P104" s="67">
        <f aca="true" t="shared" si="26" ref="P104:P110">L104/H104</f>
        <v>1</v>
      </c>
      <c r="Q104" s="67"/>
      <c r="R104" s="19"/>
    </row>
    <row r="105" spans="1:18" s="9" customFormat="1" ht="21.75" customHeight="1">
      <c r="A105" s="52"/>
      <c r="B105" s="52"/>
      <c r="C105" s="64" t="s">
        <v>16</v>
      </c>
      <c r="D105" s="66"/>
      <c r="E105" s="65">
        <v>1120000</v>
      </c>
      <c r="F105" s="66"/>
      <c r="G105" s="64"/>
      <c r="H105" s="66">
        <f>I105+J105+K105</f>
        <v>6000</v>
      </c>
      <c r="I105" s="65">
        <v>6000</v>
      </c>
      <c r="J105" s="66"/>
      <c r="K105" s="66"/>
      <c r="L105" s="69">
        <f t="shared" si="25"/>
        <v>6000</v>
      </c>
      <c r="M105" s="65">
        <v>6000</v>
      </c>
      <c r="N105" s="66"/>
      <c r="O105" s="66"/>
      <c r="P105" s="67">
        <f t="shared" si="26"/>
        <v>1</v>
      </c>
      <c r="Q105" s="67">
        <f>M105/I105</f>
        <v>1</v>
      </c>
      <c r="R105" s="19"/>
    </row>
    <row r="106" spans="1:18" s="26" customFormat="1" ht="22.5" customHeight="1">
      <c r="A106" s="44"/>
      <c r="B106" s="75">
        <v>85202</v>
      </c>
      <c r="C106" s="49" t="s">
        <v>28</v>
      </c>
      <c r="D106" s="47">
        <f>D107</f>
        <v>160000</v>
      </c>
      <c r="E106" s="48">
        <f>E107</f>
        <v>1120000</v>
      </c>
      <c r="F106" s="47"/>
      <c r="G106" s="49"/>
      <c r="H106" s="47">
        <f t="shared" si="24"/>
        <v>581288</v>
      </c>
      <c r="I106" s="48">
        <f>I107+I109+I108</f>
        <v>481288</v>
      </c>
      <c r="J106" s="48"/>
      <c r="K106" s="47">
        <f>K107</f>
        <v>100000</v>
      </c>
      <c r="L106" s="50">
        <f t="shared" si="25"/>
        <v>414349</v>
      </c>
      <c r="M106" s="48">
        <f>SUM(M107:M109)</f>
        <v>354349</v>
      </c>
      <c r="N106" s="48"/>
      <c r="O106" s="47">
        <f>O107</f>
        <v>60000</v>
      </c>
      <c r="P106" s="51">
        <f t="shared" si="26"/>
        <v>0.7128118935880321</v>
      </c>
      <c r="Q106" s="51">
        <f>M106/I106</f>
        <v>0.7362514752081913</v>
      </c>
      <c r="R106" s="25"/>
    </row>
    <row r="107" spans="1:18" s="9" customFormat="1" ht="21.75" customHeight="1">
      <c r="A107" s="52"/>
      <c r="B107" s="53"/>
      <c r="C107" s="117" t="s">
        <v>27</v>
      </c>
      <c r="D107" s="115">
        <v>160000</v>
      </c>
      <c r="E107" s="116">
        <v>1120000</v>
      </c>
      <c r="F107" s="115"/>
      <c r="G107" s="117"/>
      <c r="H107" s="115">
        <f t="shared" si="24"/>
        <v>509088</v>
      </c>
      <c r="I107" s="116">
        <v>409088</v>
      </c>
      <c r="J107" s="115"/>
      <c r="K107" s="115">
        <v>100000</v>
      </c>
      <c r="L107" s="118">
        <f t="shared" si="25"/>
        <v>343765</v>
      </c>
      <c r="M107" s="116">
        <f>87083+196682</f>
        <v>283765</v>
      </c>
      <c r="N107" s="115"/>
      <c r="O107" s="115">
        <v>60000</v>
      </c>
      <c r="P107" s="119">
        <f t="shared" si="26"/>
        <v>0.6752565371802125</v>
      </c>
      <c r="Q107" s="119">
        <f>M107/I107</f>
        <v>0.6936527104192741</v>
      </c>
      <c r="R107" s="19"/>
    </row>
    <row r="108" spans="1:18" s="9" customFormat="1" ht="21.75" customHeight="1">
      <c r="A108" s="52"/>
      <c r="B108" s="52"/>
      <c r="C108" s="64" t="s">
        <v>100</v>
      </c>
      <c r="D108" s="66"/>
      <c r="E108" s="65">
        <v>1120000</v>
      </c>
      <c r="F108" s="66"/>
      <c r="G108" s="64"/>
      <c r="H108" s="66">
        <f t="shared" si="24"/>
        <v>41940</v>
      </c>
      <c r="I108" s="65">
        <v>41940</v>
      </c>
      <c r="J108" s="66"/>
      <c r="K108" s="66"/>
      <c r="L108" s="69">
        <f>M108</f>
        <v>40344</v>
      </c>
      <c r="M108" s="65">
        <v>40344</v>
      </c>
      <c r="N108" s="66"/>
      <c r="O108" s="66"/>
      <c r="P108" s="67">
        <f t="shared" si="26"/>
        <v>0.9619456366237482</v>
      </c>
      <c r="Q108" s="67">
        <f>M108/I108</f>
        <v>0.9619456366237482</v>
      </c>
      <c r="R108" s="19"/>
    </row>
    <row r="109" spans="1:18" s="9" customFormat="1" ht="21.75" customHeight="1">
      <c r="A109" s="52"/>
      <c r="B109" s="81"/>
      <c r="C109" s="110" t="s">
        <v>16</v>
      </c>
      <c r="D109" s="111"/>
      <c r="E109" s="112"/>
      <c r="F109" s="111"/>
      <c r="G109" s="110"/>
      <c r="H109" s="111">
        <f>I109</f>
        <v>30260</v>
      </c>
      <c r="I109" s="112">
        <v>30260</v>
      </c>
      <c r="J109" s="111"/>
      <c r="K109" s="111"/>
      <c r="L109" s="85">
        <f>SUM(M109:O109)</f>
        <v>30240</v>
      </c>
      <c r="M109" s="112">
        <v>30240</v>
      </c>
      <c r="N109" s="111"/>
      <c r="O109" s="111"/>
      <c r="P109" s="109">
        <f t="shared" si="26"/>
        <v>0.9993390614672836</v>
      </c>
      <c r="Q109" s="109">
        <f>M109/I109</f>
        <v>0.9993390614672836</v>
      </c>
      <c r="R109" s="19"/>
    </row>
    <row r="110" spans="1:18" s="26" customFormat="1" ht="22.5" customHeight="1">
      <c r="A110" s="44"/>
      <c r="B110" s="32">
        <v>85203</v>
      </c>
      <c r="C110" s="103" t="s">
        <v>49</v>
      </c>
      <c r="D110" s="104">
        <f>D111</f>
        <v>700000</v>
      </c>
      <c r="E110" s="105">
        <f>E111</f>
        <v>1120000</v>
      </c>
      <c r="F110" s="104"/>
      <c r="G110" s="103"/>
      <c r="H110" s="104">
        <f>I110+J110+K110</f>
        <v>1417337</v>
      </c>
      <c r="I110" s="105">
        <f>I111</f>
        <v>817337</v>
      </c>
      <c r="J110" s="105"/>
      <c r="K110" s="104">
        <f>K112+K113</f>
        <v>600000</v>
      </c>
      <c r="L110" s="106">
        <f>SUM(M110:O110)</f>
        <v>817336</v>
      </c>
      <c r="M110" s="105">
        <f>SUM(M111:M113)</f>
        <v>817336</v>
      </c>
      <c r="N110" s="105"/>
      <c r="O110" s="104"/>
      <c r="P110" s="51">
        <f t="shared" si="26"/>
        <v>0.5766701920573583</v>
      </c>
      <c r="Q110" s="51">
        <v>0.9999</v>
      </c>
      <c r="R110" s="25"/>
    </row>
    <row r="111" spans="1:18" s="9" customFormat="1" ht="21.75" customHeight="1">
      <c r="A111" s="52"/>
      <c r="B111" s="53"/>
      <c r="C111" s="117" t="s">
        <v>101</v>
      </c>
      <c r="D111" s="115">
        <v>700000</v>
      </c>
      <c r="E111" s="116">
        <v>1120000</v>
      </c>
      <c r="F111" s="115"/>
      <c r="G111" s="117"/>
      <c r="H111" s="115">
        <f>I111+J111+K111</f>
        <v>817337</v>
      </c>
      <c r="I111" s="116">
        <v>817337</v>
      </c>
      <c r="J111" s="115"/>
      <c r="K111" s="115"/>
      <c r="L111" s="118">
        <f>SUM(M111:O111)</f>
        <v>817336</v>
      </c>
      <c r="M111" s="116">
        <v>817336</v>
      </c>
      <c r="N111" s="115"/>
      <c r="O111" s="115"/>
      <c r="P111" s="119">
        <v>0.9999</v>
      </c>
      <c r="Q111" s="119">
        <v>0.9999</v>
      </c>
      <c r="R111" s="19"/>
    </row>
    <row r="112" spans="1:17" s="9" customFormat="1" ht="49.5" customHeight="1">
      <c r="A112" s="52"/>
      <c r="B112" s="52"/>
      <c r="C112" s="188" t="s">
        <v>142</v>
      </c>
      <c r="D112" s="66"/>
      <c r="E112" s="65">
        <v>1120000</v>
      </c>
      <c r="F112" s="66"/>
      <c r="G112" s="64"/>
      <c r="H112" s="66">
        <f>I112+J112+K112</f>
        <v>300000</v>
      </c>
      <c r="I112" s="65"/>
      <c r="J112" s="66"/>
      <c r="K112" s="66">
        <v>300000</v>
      </c>
      <c r="L112" s="69"/>
      <c r="M112" s="65"/>
      <c r="N112" s="66"/>
      <c r="O112" s="66"/>
      <c r="P112" s="67"/>
      <c r="Q112" s="67"/>
    </row>
    <row r="113" spans="1:17" s="9" customFormat="1" ht="33" customHeight="1">
      <c r="A113" s="81"/>
      <c r="B113" s="81"/>
      <c r="C113" s="193" t="s">
        <v>154</v>
      </c>
      <c r="D113" s="111"/>
      <c r="E113" s="112"/>
      <c r="F113" s="111"/>
      <c r="G113" s="110"/>
      <c r="H113" s="111">
        <f>K113</f>
        <v>300000</v>
      </c>
      <c r="I113" s="112"/>
      <c r="J113" s="111"/>
      <c r="K113" s="111">
        <v>300000</v>
      </c>
      <c r="L113" s="85"/>
      <c r="M113" s="112"/>
      <c r="N113" s="111"/>
      <c r="O113" s="111"/>
      <c r="P113" s="86"/>
      <c r="Q113" s="86"/>
    </row>
    <row r="114" spans="1:17" s="9" customFormat="1" ht="22.5" customHeight="1">
      <c r="A114" s="52"/>
      <c r="B114" s="32">
        <v>85219</v>
      </c>
      <c r="C114" s="103" t="s">
        <v>73</v>
      </c>
      <c r="D114" s="104">
        <f>D115</f>
        <v>4000</v>
      </c>
      <c r="E114" s="105">
        <f>E115</f>
        <v>100000</v>
      </c>
      <c r="F114" s="104"/>
      <c r="G114" s="103"/>
      <c r="H114" s="104">
        <f>H115</f>
        <v>4000</v>
      </c>
      <c r="I114" s="105">
        <f>I115</f>
        <v>4000</v>
      </c>
      <c r="J114" s="104"/>
      <c r="K114" s="104"/>
      <c r="L114" s="106">
        <f>M114</f>
        <v>4000</v>
      </c>
      <c r="M114" s="105">
        <f>M115</f>
        <v>4000</v>
      </c>
      <c r="N114" s="104"/>
      <c r="O114" s="104"/>
      <c r="P114" s="160">
        <v>1</v>
      </c>
      <c r="Q114" s="160">
        <v>1</v>
      </c>
    </row>
    <row r="115" spans="1:17" s="9" customFormat="1" ht="21" customHeight="1">
      <c r="A115" s="52"/>
      <c r="B115" s="97"/>
      <c r="C115" s="100" t="s">
        <v>74</v>
      </c>
      <c r="D115" s="98">
        <v>4000</v>
      </c>
      <c r="E115" s="99">
        <v>100000</v>
      </c>
      <c r="F115" s="98"/>
      <c r="G115" s="100"/>
      <c r="H115" s="98">
        <f>I115+J115+K115</f>
        <v>4000</v>
      </c>
      <c r="I115" s="99">
        <v>4000</v>
      </c>
      <c r="J115" s="98"/>
      <c r="K115" s="98"/>
      <c r="L115" s="101">
        <f>M115</f>
        <v>4000</v>
      </c>
      <c r="M115" s="99">
        <v>4000</v>
      </c>
      <c r="N115" s="98"/>
      <c r="O115" s="98"/>
      <c r="P115" s="102">
        <v>1</v>
      </c>
      <c r="Q115" s="102">
        <v>1</v>
      </c>
    </row>
    <row r="116" spans="1:17" s="9" customFormat="1" ht="39" customHeight="1">
      <c r="A116" s="52"/>
      <c r="B116" s="32">
        <v>85220</v>
      </c>
      <c r="C116" s="121" t="s">
        <v>158</v>
      </c>
      <c r="D116" s="104"/>
      <c r="E116" s="105">
        <f>E117</f>
        <v>100000</v>
      </c>
      <c r="F116" s="104"/>
      <c r="G116" s="103"/>
      <c r="H116" s="104">
        <f>H117</f>
        <v>140000</v>
      </c>
      <c r="I116" s="105">
        <f>I117</f>
        <v>140000</v>
      </c>
      <c r="J116" s="104"/>
      <c r="K116" s="104"/>
      <c r="L116" s="106"/>
      <c r="M116" s="105"/>
      <c r="N116" s="104"/>
      <c r="O116" s="104"/>
      <c r="P116" s="122"/>
      <c r="Q116" s="122"/>
    </row>
    <row r="117" spans="1:17" s="9" customFormat="1" ht="21.75" customHeight="1">
      <c r="A117" s="81"/>
      <c r="B117" s="97"/>
      <c r="C117" s="100" t="s">
        <v>160</v>
      </c>
      <c r="D117" s="98"/>
      <c r="E117" s="99">
        <v>100000</v>
      </c>
      <c r="F117" s="98"/>
      <c r="G117" s="100"/>
      <c r="H117" s="98">
        <f>I117+J117+K117</f>
        <v>140000</v>
      </c>
      <c r="I117" s="99">
        <v>140000</v>
      </c>
      <c r="J117" s="98"/>
      <c r="K117" s="98"/>
      <c r="L117" s="101"/>
      <c r="M117" s="99"/>
      <c r="N117" s="98"/>
      <c r="O117" s="98"/>
      <c r="P117" s="102"/>
      <c r="Q117" s="102"/>
    </row>
    <row r="118" spans="1:17" s="11" customFormat="1" ht="34.5" customHeight="1">
      <c r="A118" s="126">
        <v>853</v>
      </c>
      <c r="B118" s="38"/>
      <c r="C118" s="114" t="s">
        <v>102</v>
      </c>
      <c r="D118" s="93"/>
      <c r="E118" s="94">
        <f>E119</f>
        <v>189000</v>
      </c>
      <c r="F118" s="93"/>
      <c r="G118" s="92"/>
      <c r="H118" s="93">
        <f>I118+J118+K118</f>
        <v>83019</v>
      </c>
      <c r="I118" s="94">
        <f>I119+I121</f>
        <v>80560</v>
      </c>
      <c r="J118" s="93">
        <f>J121</f>
        <v>2459</v>
      </c>
      <c r="K118" s="93"/>
      <c r="L118" s="95">
        <f aca="true" t="shared" si="27" ref="L118:L123">M118</f>
        <v>70888</v>
      </c>
      <c r="M118" s="94">
        <f>M119+M121</f>
        <v>70888</v>
      </c>
      <c r="N118" s="93"/>
      <c r="O118" s="93"/>
      <c r="P118" s="96">
        <f>L118/H118</f>
        <v>0.853876823377781</v>
      </c>
      <c r="Q118" s="96">
        <f>M118/I118</f>
        <v>0.8799404170804369</v>
      </c>
    </row>
    <row r="119" spans="1:17" s="10" customFormat="1" ht="22.5" customHeight="1">
      <c r="A119" s="44"/>
      <c r="B119" s="123">
        <v>85305</v>
      </c>
      <c r="C119" s="46" t="s">
        <v>103</v>
      </c>
      <c r="D119" s="47"/>
      <c r="E119" s="48">
        <f>E120</f>
        <v>189000</v>
      </c>
      <c r="F119" s="47"/>
      <c r="G119" s="49"/>
      <c r="H119" s="47">
        <f>I119+J119+K119</f>
        <v>13560</v>
      </c>
      <c r="I119" s="48">
        <f>I120</f>
        <v>13560</v>
      </c>
      <c r="J119" s="47"/>
      <c r="K119" s="47"/>
      <c r="L119" s="50">
        <f t="shared" si="27"/>
        <v>13560</v>
      </c>
      <c r="M119" s="48">
        <f>M120</f>
        <v>13560</v>
      </c>
      <c r="N119" s="47"/>
      <c r="O119" s="47"/>
      <c r="P119" s="51">
        <f aca="true" t="shared" si="28" ref="P119:Q123">L119/H119</f>
        <v>1</v>
      </c>
      <c r="Q119" s="51">
        <f t="shared" si="28"/>
        <v>1</v>
      </c>
    </row>
    <row r="120" spans="1:17" s="11" customFormat="1" ht="21.75" customHeight="1">
      <c r="A120" s="52"/>
      <c r="B120" s="97"/>
      <c r="C120" s="100" t="s">
        <v>16</v>
      </c>
      <c r="D120" s="98"/>
      <c r="E120" s="99">
        <f>81000+108000</f>
        <v>189000</v>
      </c>
      <c r="F120" s="98"/>
      <c r="G120" s="100"/>
      <c r="H120" s="98">
        <f>I120+J120+K120</f>
        <v>13560</v>
      </c>
      <c r="I120" s="99">
        <v>13560</v>
      </c>
      <c r="J120" s="98"/>
      <c r="K120" s="98"/>
      <c r="L120" s="101">
        <f t="shared" si="27"/>
        <v>13560</v>
      </c>
      <c r="M120" s="99">
        <v>13560</v>
      </c>
      <c r="N120" s="98"/>
      <c r="O120" s="98"/>
      <c r="P120" s="102">
        <f t="shared" si="28"/>
        <v>1</v>
      </c>
      <c r="Q120" s="102">
        <f t="shared" si="28"/>
        <v>1</v>
      </c>
    </row>
    <row r="121" spans="1:17" s="11" customFormat="1" ht="22.5" customHeight="1">
      <c r="A121" s="52"/>
      <c r="B121" s="32">
        <v>85333</v>
      </c>
      <c r="C121" s="103" t="s">
        <v>104</v>
      </c>
      <c r="D121" s="111"/>
      <c r="E121" s="112"/>
      <c r="F121" s="111"/>
      <c r="G121" s="110"/>
      <c r="H121" s="104">
        <f>I121+J121</f>
        <v>69459</v>
      </c>
      <c r="I121" s="105">
        <f>I122+I123+I124</f>
        <v>67000</v>
      </c>
      <c r="J121" s="104">
        <f>J124</f>
        <v>2459</v>
      </c>
      <c r="K121" s="111"/>
      <c r="L121" s="106">
        <f t="shared" si="27"/>
        <v>57328</v>
      </c>
      <c r="M121" s="105">
        <f>M122+M123</f>
        <v>57328</v>
      </c>
      <c r="N121" s="111"/>
      <c r="O121" s="111"/>
      <c r="P121" s="51">
        <f t="shared" si="28"/>
        <v>0.8253502065966973</v>
      </c>
      <c r="Q121" s="51">
        <f t="shared" si="28"/>
        <v>0.8556417910447761</v>
      </c>
    </row>
    <row r="122" spans="1:17" s="11" customFormat="1" ht="21.75" customHeight="1">
      <c r="A122" s="52"/>
      <c r="B122" s="52"/>
      <c r="C122" s="133" t="s">
        <v>100</v>
      </c>
      <c r="D122" s="70"/>
      <c r="E122" s="132"/>
      <c r="F122" s="70"/>
      <c r="G122" s="133"/>
      <c r="H122" s="70">
        <f>I122</f>
        <v>40000</v>
      </c>
      <c r="I122" s="132">
        <v>40000</v>
      </c>
      <c r="J122" s="70"/>
      <c r="K122" s="70"/>
      <c r="L122" s="71">
        <f t="shared" si="27"/>
        <v>35624</v>
      </c>
      <c r="M122" s="132">
        <v>35624</v>
      </c>
      <c r="N122" s="70"/>
      <c r="O122" s="70"/>
      <c r="P122" s="119">
        <f t="shared" si="28"/>
        <v>0.8906</v>
      </c>
      <c r="Q122" s="119">
        <f t="shared" si="28"/>
        <v>0.8906</v>
      </c>
    </row>
    <row r="123" spans="1:17" s="9" customFormat="1" ht="21.75" customHeight="1">
      <c r="A123" s="52"/>
      <c r="B123" s="52"/>
      <c r="C123" s="188" t="s">
        <v>16</v>
      </c>
      <c r="D123" s="66"/>
      <c r="E123" s="65">
        <v>1120000</v>
      </c>
      <c r="F123" s="66"/>
      <c r="G123" s="64"/>
      <c r="H123" s="66">
        <f>I123+J123+K123</f>
        <v>22000</v>
      </c>
      <c r="I123" s="65">
        <v>22000</v>
      </c>
      <c r="J123" s="66"/>
      <c r="K123" s="66"/>
      <c r="L123" s="69">
        <f t="shared" si="27"/>
        <v>21704</v>
      </c>
      <c r="M123" s="65">
        <v>21704</v>
      </c>
      <c r="N123" s="66"/>
      <c r="O123" s="66"/>
      <c r="P123" s="67">
        <f t="shared" si="28"/>
        <v>0.9865454545454545</v>
      </c>
      <c r="Q123" s="67">
        <f t="shared" si="28"/>
        <v>0.9865454545454545</v>
      </c>
    </row>
    <row r="124" spans="1:17" s="9" customFormat="1" ht="48.75" customHeight="1">
      <c r="A124" s="81"/>
      <c r="B124" s="81"/>
      <c r="C124" s="193" t="s">
        <v>143</v>
      </c>
      <c r="D124" s="111"/>
      <c r="E124" s="112"/>
      <c r="F124" s="111"/>
      <c r="G124" s="110"/>
      <c r="H124" s="111">
        <f>I124+J124</f>
        <v>7459</v>
      </c>
      <c r="I124" s="112">
        <v>5000</v>
      </c>
      <c r="J124" s="111">
        <v>2459</v>
      </c>
      <c r="K124" s="111"/>
      <c r="L124" s="85"/>
      <c r="M124" s="112"/>
      <c r="N124" s="111"/>
      <c r="O124" s="111"/>
      <c r="P124" s="124"/>
      <c r="Q124" s="124"/>
    </row>
    <row r="125" spans="1:17" s="11" customFormat="1" ht="32.25" customHeight="1">
      <c r="A125" s="113">
        <v>900</v>
      </c>
      <c r="B125" s="126"/>
      <c r="C125" s="131" t="s">
        <v>29</v>
      </c>
      <c r="D125" s="40">
        <f>D126+D136+D139+D141</f>
        <v>10342000</v>
      </c>
      <c r="E125" s="41">
        <f>E126+E136+E141</f>
        <v>4968000</v>
      </c>
      <c r="F125" s="40">
        <f>F126+F136+F141</f>
        <v>700000</v>
      </c>
      <c r="G125" s="39">
        <f>G126+G136+G141</f>
        <v>656000</v>
      </c>
      <c r="H125" s="40">
        <f>I125+J125+K125</f>
        <v>16644820</v>
      </c>
      <c r="I125" s="41">
        <f>I126+I139+I141+I136</f>
        <v>11861377</v>
      </c>
      <c r="J125" s="40">
        <f>J126+J136+J141</f>
        <v>4730000</v>
      </c>
      <c r="K125" s="40">
        <f>K126</f>
        <v>53443</v>
      </c>
      <c r="L125" s="42">
        <f aca="true" t="shared" si="29" ref="L125:L133">SUM(M125:O125)</f>
        <v>16128199.67</v>
      </c>
      <c r="M125" s="41">
        <f>M126+M136+M139+M141</f>
        <v>11844756.67</v>
      </c>
      <c r="N125" s="41">
        <f>N126+N136+N139+N141</f>
        <v>4230000</v>
      </c>
      <c r="O125" s="40">
        <f>O126</f>
        <v>53443</v>
      </c>
      <c r="P125" s="43">
        <f aca="true" t="shared" si="30" ref="P125:P138">L125/H125</f>
        <v>0.9689620957150633</v>
      </c>
      <c r="Q125" s="43">
        <f aca="true" t="shared" si="31" ref="Q125:Q138">M125/I125</f>
        <v>0.9985987857902164</v>
      </c>
    </row>
    <row r="126" spans="1:17" s="10" customFormat="1" ht="21" customHeight="1">
      <c r="A126" s="44"/>
      <c r="B126" s="129">
        <v>90001</v>
      </c>
      <c r="C126" s="121" t="s">
        <v>30</v>
      </c>
      <c r="D126" s="104">
        <f>SUM(D127:D132)</f>
        <v>782000</v>
      </c>
      <c r="E126" s="105">
        <f>SUM(E127:E130)</f>
        <v>268000</v>
      </c>
      <c r="F126" s="104">
        <f>SUM(F127:F129)</f>
        <v>0</v>
      </c>
      <c r="G126" s="103"/>
      <c r="H126" s="104">
        <f>I126+J126+K126</f>
        <v>4324000</v>
      </c>
      <c r="I126" s="105">
        <f>SUM(I127:I135)</f>
        <v>4170557</v>
      </c>
      <c r="J126" s="104">
        <f>SUM(J127:J131)</f>
        <v>100000</v>
      </c>
      <c r="K126" s="104">
        <f>K135</f>
        <v>53443</v>
      </c>
      <c r="L126" s="106">
        <f>SUM(M126:O126)</f>
        <v>4313762</v>
      </c>
      <c r="M126" s="105">
        <f>SUM(M127:M135)</f>
        <v>4160319</v>
      </c>
      <c r="N126" s="105">
        <f>SUM(N127:N131)</f>
        <v>100000</v>
      </c>
      <c r="O126" s="104">
        <f>O135</f>
        <v>53443</v>
      </c>
      <c r="P126" s="122">
        <f t="shared" si="30"/>
        <v>0.9976322849213691</v>
      </c>
      <c r="Q126" s="122">
        <f t="shared" si="31"/>
        <v>0.9975451720237848</v>
      </c>
    </row>
    <row r="127" spans="1:17" s="11" customFormat="1" ht="21" customHeight="1">
      <c r="A127" s="52"/>
      <c r="B127" s="52"/>
      <c r="C127" s="196" t="s">
        <v>72</v>
      </c>
      <c r="D127" s="70">
        <v>112000</v>
      </c>
      <c r="E127" s="72">
        <v>100000</v>
      </c>
      <c r="F127" s="54"/>
      <c r="G127" s="73"/>
      <c r="H127" s="70">
        <f>I127+J127</f>
        <v>178000</v>
      </c>
      <c r="I127" s="72">
        <v>178000</v>
      </c>
      <c r="J127" s="54"/>
      <c r="K127" s="54"/>
      <c r="L127" s="58">
        <f t="shared" si="29"/>
        <v>177486</v>
      </c>
      <c r="M127" s="72">
        <v>177486</v>
      </c>
      <c r="N127" s="54"/>
      <c r="O127" s="54"/>
      <c r="P127" s="74">
        <f t="shared" si="30"/>
        <v>0.9971123595505618</v>
      </c>
      <c r="Q127" s="74">
        <f t="shared" si="31"/>
        <v>0.9971123595505618</v>
      </c>
    </row>
    <row r="128" spans="1:17" s="11" customFormat="1" ht="21" customHeight="1">
      <c r="A128" s="52"/>
      <c r="B128" s="52"/>
      <c r="C128" s="188" t="s">
        <v>62</v>
      </c>
      <c r="D128" s="66">
        <v>18000</v>
      </c>
      <c r="E128" s="65">
        <v>50000</v>
      </c>
      <c r="F128" s="66"/>
      <c r="G128" s="64"/>
      <c r="H128" s="66">
        <f>I128+J128</f>
        <v>53000</v>
      </c>
      <c r="I128" s="65">
        <v>53000</v>
      </c>
      <c r="J128" s="66"/>
      <c r="K128" s="66"/>
      <c r="L128" s="69">
        <f t="shared" si="29"/>
        <v>51205</v>
      </c>
      <c r="M128" s="65">
        <v>51205</v>
      </c>
      <c r="N128" s="66"/>
      <c r="O128" s="66"/>
      <c r="P128" s="67">
        <f t="shared" si="30"/>
        <v>0.9661320754716981</v>
      </c>
      <c r="Q128" s="67">
        <f t="shared" si="31"/>
        <v>0.9661320754716981</v>
      </c>
    </row>
    <row r="129" spans="1:256" s="13" customFormat="1" ht="48" customHeight="1">
      <c r="A129" s="52"/>
      <c r="B129" s="52"/>
      <c r="C129" s="196" t="s">
        <v>131</v>
      </c>
      <c r="D129" s="70">
        <v>400000</v>
      </c>
      <c r="E129" s="72">
        <v>50000</v>
      </c>
      <c r="F129" s="54"/>
      <c r="G129" s="73"/>
      <c r="H129" s="70">
        <f>I129+J129</f>
        <v>173000</v>
      </c>
      <c r="I129" s="72">
        <v>173000</v>
      </c>
      <c r="J129" s="54"/>
      <c r="K129" s="54"/>
      <c r="L129" s="69">
        <f t="shared" si="29"/>
        <v>172980</v>
      </c>
      <c r="M129" s="72">
        <v>172980</v>
      </c>
      <c r="N129" s="54"/>
      <c r="O129" s="54"/>
      <c r="P129" s="74">
        <f t="shared" si="30"/>
        <v>0.9998843930635838</v>
      </c>
      <c r="Q129" s="74">
        <f t="shared" si="31"/>
        <v>0.9998843930635838</v>
      </c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</row>
    <row r="130" spans="1:18" s="9" customFormat="1" ht="31.5" customHeight="1">
      <c r="A130" s="52"/>
      <c r="B130" s="52"/>
      <c r="C130" s="188" t="s">
        <v>126</v>
      </c>
      <c r="D130" s="66">
        <v>117000</v>
      </c>
      <c r="E130" s="65">
        <v>68000</v>
      </c>
      <c r="F130" s="66"/>
      <c r="G130" s="64"/>
      <c r="H130" s="66">
        <f>I130+J130+K130</f>
        <v>167000</v>
      </c>
      <c r="I130" s="65">
        <v>167000</v>
      </c>
      <c r="J130" s="66"/>
      <c r="K130" s="66"/>
      <c r="L130" s="69">
        <f t="shared" si="29"/>
        <v>166792</v>
      </c>
      <c r="M130" s="65">
        <v>166792</v>
      </c>
      <c r="N130" s="66"/>
      <c r="O130" s="66"/>
      <c r="P130" s="67">
        <f t="shared" si="30"/>
        <v>0.9987544910179641</v>
      </c>
      <c r="Q130" s="67">
        <f t="shared" si="31"/>
        <v>0.9987544910179641</v>
      </c>
      <c r="R130" s="19"/>
    </row>
    <row r="131" spans="1:18" s="9" customFormat="1" ht="31.5" customHeight="1">
      <c r="A131" s="52"/>
      <c r="B131" s="52"/>
      <c r="C131" s="194" t="s">
        <v>85</v>
      </c>
      <c r="D131" s="66">
        <v>103000</v>
      </c>
      <c r="E131" s="65"/>
      <c r="F131" s="66"/>
      <c r="G131" s="64"/>
      <c r="H131" s="66">
        <f>I131+J131+K131</f>
        <v>103000</v>
      </c>
      <c r="I131" s="132">
        <v>3000</v>
      </c>
      <c r="J131" s="70">
        <v>100000</v>
      </c>
      <c r="K131" s="70"/>
      <c r="L131" s="69">
        <f t="shared" si="29"/>
        <v>101468</v>
      </c>
      <c r="M131" s="132">
        <v>1468</v>
      </c>
      <c r="N131" s="70">
        <v>100000</v>
      </c>
      <c r="O131" s="70"/>
      <c r="P131" s="67">
        <f t="shared" si="30"/>
        <v>0.985126213592233</v>
      </c>
      <c r="Q131" s="67">
        <f t="shared" si="31"/>
        <v>0.48933333333333334</v>
      </c>
      <c r="R131" s="19"/>
    </row>
    <row r="132" spans="1:18" s="9" customFormat="1" ht="21.75" customHeight="1">
      <c r="A132" s="52"/>
      <c r="B132" s="52"/>
      <c r="C132" s="188" t="s">
        <v>105</v>
      </c>
      <c r="D132" s="66">
        <v>32000</v>
      </c>
      <c r="E132" s="65">
        <v>50000</v>
      </c>
      <c r="F132" s="66"/>
      <c r="G132" s="64"/>
      <c r="H132" s="66">
        <f>I132+J132</f>
        <v>37000</v>
      </c>
      <c r="I132" s="65">
        <v>37000</v>
      </c>
      <c r="J132" s="66"/>
      <c r="K132" s="66"/>
      <c r="L132" s="69">
        <f t="shared" si="29"/>
        <v>36208</v>
      </c>
      <c r="M132" s="65">
        <v>36208</v>
      </c>
      <c r="N132" s="66"/>
      <c r="O132" s="66"/>
      <c r="P132" s="67">
        <f t="shared" si="30"/>
        <v>0.9785945945945946</v>
      </c>
      <c r="Q132" s="67">
        <f t="shared" si="31"/>
        <v>0.9785945945945946</v>
      </c>
      <c r="R132" s="19"/>
    </row>
    <row r="133" spans="1:17" s="9" customFormat="1" ht="31.5" customHeight="1">
      <c r="A133" s="52"/>
      <c r="B133" s="52"/>
      <c r="C133" s="189" t="s">
        <v>134</v>
      </c>
      <c r="D133" s="62"/>
      <c r="E133" s="61">
        <v>68000</v>
      </c>
      <c r="F133" s="62"/>
      <c r="G133" s="60"/>
      <c r="H133" s="62">
        <f aca="true" t="shared" si="32" ref="H133:H138">I133+J133+K133</f>
        <v>3211000</v>
      </c>
      <c r="I133" s="61">
        <v>3211000</v>
      </c>
      <c r="J133" s="62"/>
      <c r="K133" s="62"/>
      <c r="L133" s="76">
        <f t="shared" si="29"/>
        <v>3210501</v>
      </c>
      <c r="M133" s="61">
        <v>3210501</v>
      </c>
      <c r="N133" s="62"/>
      <c r="O133" s="62"/>
      <c r="P133" s="63">
        <f t="shared" si="30"/>
        <v>0.9998445966988477</v>
      </c>
      <c r="Q133" s="63">
        <f t="shared" si="31"/>
        <v>0.9998445966988477</v>
      </c>
    </row>
    <row r="134" spans="1:17" s="9" customFormat="1" ht="21.75" customHeight="1">
      <c r="A134" s="52"/>
      <c r="B134" s="52"/>
      <c r="C134" s="196" t="s">
        <v>106</v>
      </c>
      <c r="D134" s="70"/>
      <c r="E134" s="132"/>
      <c r="F134" s="70"/>
      <c r="G134" s="133"/>
      <c r="H134" s="70">
        <f t="shared" si="32"/>
        <v>330000</v>
      </c>
      <c r="I134" s="132">
        <v>330000</v>
      </c>
      <c r="J134" s="70"/>
      <c r="K134" s="70"/>
      <c r="L134" s="71">
        <f>M134</f>
        <v>325122</v>
      </c>
      <c r="M134" s="132">
        <v>325122</v>
      </c>
      <c r="N134" s="70"/>
      <c r="O134" s="70"/>
      <c r="P134" s="74">
        <f t="shared" si="30"/>
        <v>0.9852181818181818</v>
      </c>
      <c r="Q134" s="74">
        <f t="shared" si="31"/>
        <v>0.9852181818181818</v>
      </c>
    </row>
    <row r="135" spans="1:17" s="9" customFormat="1" ht="21.75" customHeight="1">
      <c r="A135" s="52"/>
      <c r="B135" s="52"/>
      <c r="C135" s="195" t="s">
        <v>144</v>
      </c>
      <c r="D135" s="83"/>
      <c r="E135" s="82"/>
      <c r="F135" s="83"/>
      <c r="G135" s="84"/>
      <c r="H135" s="83">
        <f t="shared" si="32"/>
        <v>72000</v>
      </c>
      <c r="I135" s="82">
        <v>18557</v>
      </c>
      <c r="J135" s="83"/>
      <c r="K135" s="83">
        <v>53443</v>
      </c>
      <c r="L135" s="128">
        <f>M135+O135</f>
        <v>72000</v>
      </c>
      <c r="M135" s="82">
        <v>18557</v>
      </c>
      <c r="N135" s="83"/>
      <c r="O135" s="83">
        <v>53443</v>
      </c>
      <c r="P135" s="86">
        <f>L135/H135</f>
        <v>1</v>
      </c>
      <c r="Q135" s="86">
        <f>M135/I135</f>
        <v>1</v>
      </c>
    </row>
    <row r="136" spans="1:17" s="10" customFormat="1" ht="22.5" customHeight="1">
      <c r="A136" s="44"/>
      <c r="B136" s="75">
        <v>90002</v>
      </c>
      <c r="C136" s="49" t="s">
        <v>107</v>
      </c>
      <c r="D136" s="47">
        <f>D137+D138</f>
        <v>900000</v>
      </c>
      <c r="E136" s="48"/>
      <c r="F136" s="47">
        <f>SUM(F137:F137)</f>
        <v>500000</v>
      </c>
      <c r="G136" s="49">
        <f>SUM(G137:G137)</f>
        <v>656000</v>
      </c>
      <c r="H136" s="47">
        <f t="shared" si="32"/>
        <v>712000</v>
      </c>
      <c r="I136" s="48">
        <f>I137+I138</f>
        <v>212000</v>
      </c>
      <c r="J136" s="47">
        <f>SUM(J137:J137)</f>
        <v>500000</v>
      </c>
      <c r="K136" s="47"/>
      <c r="L136" s="50">
        <f>M136</f>
        <v>211429</v>
      </c>
      <c r="M136" s="48">
        <f>M137+M138</f>
        <v>211429</v>
      </c>
      <c r="N136" s="47"/>
      <c r="O136" s="47"/>
      <c r="P136" s="51">
        <f t="shared" si="30"/>
        <v>0.2969508426966292</v>
      </c>
      <c r="Q136" s="51">
        <f t="shared" si="31"/>
        <v>0.9973066037735849</v>
      </c>
    </row>
    <row r="137" spans="1:18" s="9" customFormat="1" ht="21.75" customHeight="1">
      <c r="A137" s="52"/>
      <c r="B137" s="53"/>
      <c r="C137" s="197" t="s">
        <v>57</v>
      </c>
      <c r="D137" s="115">
        <v>500000</v>
      </c>
      <c r="E137" s="116"/>
      <c r="F137" s="115">
        <v>500000</v>
      </c>
      <c r="G137" s="117">
        <v>656000</v>
      </c>
      <c r="H137" s="115">
        <f t="shared" si="32"/>
        <v>614000</v>
      </c>
      <c r="I137" s="116">
        <v>114000</v>
      </c>
      <c r="J137" s="115">
        <v>500000</v>
      </c>
      <c r="K137" s="115"/>
      <c r="L137" s="118">
        <f>M137</f>
        <v>113429</v>
      </c>
      <c r="M137" s="116">
        <v>113429</v>
      </c>
      <c r="N137" s="115"/>
      <c r="O137" s="115"/>
      <c r="P137" s="63">
        <f t="shared" si="30"/>
        <v>0.18473778501628665</v>
      </c>
      <c r="Q137" s="63">
        <f t="shared" si="31"/>
        <v>0.9949912280701755</v>
      </c>
      <c r="R137" s="19"/>
    </row>
    <row r="138" spans="1:17" s="9" customFormat="1" ht="30.75" customHeight="1">
      <c r="A138" s="81"/>
      <c r="B138" s="81"/>
      <c r="C138" s="195" t="s">
        <v>108</v>
      </c>
      <c r="D138" s="83">
        <v>400000</v>
      </c>
      <c r="E138" s="82"/>
      <c r="F138" s="83">
        <v>500000</v>
      </c>
      <c r="G138" s="84">
        <v>656000</v>
      </c>
      <c r="H138" s="83">
        <f t="shared" si="32"/>
        <v>98000</v>
      </c>
      <c r="I138" s="82">
        <v>98000</v>
      </c>
      <c r="J138" s="83"/>
      <c r="K138" s="83"/>
      <c r="L138" s="128">
        <f>M138</f>
        <v>98000</v>
      </c>
      <c r="M138" s="82">
        <v>98000</v>
      </c>
      <c r="N138" s="83"/>
      <c r="O138" s="83"/>
      <c r="P138" s="124">
        <f t="shared" si="30"/>
        <v>1</v>
      </c>
      <c r="Q138" s="124">
        <f t="shared" si="31"/>
        <v>1</v>
      </c>
    </row>
    <row r="139" spans="1:17" s="9" customFormat="1" ht="25.5" customHeight="1">
      <c r="A139" s="52"/>
      <c r="B139" s="32">
        <v>90015</v>
      </c>
      <c r="C139" s="134" t="s">
        <v>31</v>
      </c>
      <c r="D139" s="104">
        <f>D140</f>
        <v>120000</v>
      </c>
      <c r="E139" s="112"/>
      <c r="F139" s="111"/>
      <c r="G139" s="110"/>
      <c r="H139" s="104">
        <f>H140</f>
        <v>235100</v>
      </c>
      <c r="I139" s="105">
        <f>I140</f>
        <v>235100</v>
      </c>
      <c r="J139" s="111"/>
      <c r="K139" s="111"/>
      <c r="L139" s="106">
        <f aca="true" t="shared" si="33" ref="L139:L147">SUM(M139:O139)</f>
        <v>235087</v>
      </c>
      <c r="M139" s="105">
        <f>M140</f>
        <v>235087</v>
      </c>
      <c r="N139" s="104"/>
      <c r="O139" s="104"/>
      <c r="P139" s="122">
        <f aca="true" t="shared" si="34" ref="P139:Q144">L139/H139</f>
        <v>0.9999447043811144</v>
      </c>
      <c r="Q139" s="122">
        <f t="shared" si="34"/>
        <v>0.9999447043811144</v>
      </c>
    </row>
    <row r="140" spans="1:17" s="9" customFormat="1" ht="24.75" customHeight="1">
      <c r="A140" s="52"/>
      <c r="B140" s="81"/>
      <c r="C140" s="198" t="s">
        <v>109</v>
      </c>
      <c r="D140" s="111">
        <v>120000</v>
      </c>
      <c r="E140" s="112"/>
      <c r="F140" s="111"/>
      <c r="G140" s="110"/>
      <c r="H140" s="111">
        <f aca="true" t="shared" si="35" ref="H140:H147">I140+J140+K140</f>
        <v>235100</v>
      </c>
      <c r="I140" s="112">
        <v>235100</v>
      </c>
      <c r="J140" s="111"/>
      <c r="K140" s="111"/>
      <c r="L140" s="85">
        <f t="shared" si="33"/>
        <v>235087</v>
      </c>
      <c r="M140" s="112">
        <v>235087</v>
      </c>
      <c r="N140" s="111"/>
      <c r="O140" s="111"/>
      <c r="P140" s="102">
        <f t="shared" si="34"/>
        <v>0.9999447043811144</v>
      </c>
      <c r="Q140" s="102">
        <f t="shared" si="34"/>
        <v>0.9999447043811144</v>
      </c>
    </row>
    <row r="141" spans="1:17" s="10" customFormat="1" ht="24.75" customHeight="1">
      <c r="A141" s="44"/>
      <c r="B141" s="75">
        <v>90095</v>
      </c>
      <c r="C141" s="49" t="s">
        <v>11</v>
      </c>
      <c r="D141" s="47">
        <f>SUM(D142:D146)</f>
        <v>8540000</v>
      </c>
      <c r="E141" s="48">
        <f>SUM(E142:E146)</f>
        <v>4700000</v>
      </c>
      <c r="F141" s="47">
        <f>SUM(F142:F146)</f>
        <v>200000</v>
      </c>
      <c r="G141" s="49"/>
      <c r="H141" s="47">
        <f t="shared" si="35"/>
        <v>11373720</v>
      </c>
      <c r="I141" s="48">
        <f>SUM(I142:I146)</f>
        <v>7243720</v>
      </c>
      <c r="J141" s="47">
        <f>SUM(J142:J146)</f>
        <v>4130000</v>
      </c>
      <c r="K141" s="47"/>
      <c r="L141" s="50">
        <f>SUM(M141:O141)</f>
        <v>11367921.67</v>
      </c>
      <c r="M141" s="48">
        <f>SUM(M142:M146)</f>
        <v>7237921.67</v>
      </c>
      <c r="N141" s="47">
        <f>N143+N144</f>
        <v>4130000</v>
      </c>
      <c r="O141" s="47"/>
      <c r="P141" s="51">
        <f t="shared" si="34"/>
        <v>0.9994901993367166</v>
      </c>
      <c r="Q141" s="51">
        <f t="shared" si="34"/>
        <v>0.9991995369782377</v>
      </c>
    </row>
    <row r="142" spans="1:17" s="11" customFormat="1" ht="23.25" customHeight="1">
      <c r="A142" s="52"/>
      <c r="B142" s="53"/>
      <c r="C142" s="57" t="s">
        <v>32</v>
      </c>
      <c r="D142" s="56">
        <v>2000000</v>
      </c>
      <c r="E142" s="55">
        <v>1500000</v>
      </c>
      <c r="F142" s="56"/>
      <c r="G142" s="57"/>
      <c r="H142" s="56">
        <f t="shared" si="35"/>
        <v>2030000</v>
      </c>
      <c r="I142" s="55">
        <v>2030000</v>
      </c>
      <c r="J142" s="56"/>
      <c r="K142" s="56"/>
      <c r="L142" s="108">
        <f t="shared" si="33"/>
        <v>2029078</v>
      </c>
      <c r="M142" s="55">
        <v>2029078</v>
      </c>
      <c r="N142" s="56"/>
      <c r="O142" s="56"/>
      <c r="P142" s="59">
        <f t="shared" si="34"/>
        <v>0.9995458128078818</v>
      </c>
      <c r="Q142" s="59">
        <f t="shared" si="34"/>
        <v>0.9995458128078818</v>
      </c>
    </row>
    <row r="143" spans="1:17" s="11" customFormat="1" ht="36.75" customHeight="1">
      <c r="A143" s="52"/>
      <c r="B143" s="52"/>
      <c r="C143" s="189" t="s">
        <v>34</v>
      </c>
      <c r="D143" s="62">
        <v>4500000</v>
      </c>
      <c r="E143" s="61">
        <v>1000000</v>
      </c>
      <c r="F143" s="62">
        <v>200000</v>
      </c>
      <c r="G143" s="60"/>
      <c r="H143" s="62">
        <f t="shared" si="35"/>
        <v>5104277</v>
      </c>
      <c r="I143" s="61">
        <v>1704277</v>
      </c>
      <c r="J143" s="62">
        <v>3400000</v>
      </c>
      <c r="K143" s="62"/>
      <c r="L143" s="76">
        <f t="shared" si="33"/>
        <v>5099586.67</v>
      </c>
      <c r="M143" s="61">
        <f>1694948.85+4637.82</f>
        <v>1699586.6700000002</v>
      </c>
      <c r="N143" s="62">
        <v>3400000</v>
      </c>
      <c r="O143" s="62"/>
      <c r="P143" s="63">
        <f t="shared" si="34"/>
        <v>0.9990810980673659</v>
      </c>
      <c r="Q143" s="63">
        <f t="shared" si="34"/>
        <v>0.9972479062969225</v>
      </c>
    </row>
    <row r="144" spans="1:17" s="11" customFormat="1" ht="37.5" customHeight="1">
      <c r="A144" s="52"/>
      <c r="B144" s="52"/>
      <c r="C144" s="188" t="s">
        <v>33</v>
      </c>
      <c r="D144" s="66">
        <f>E144+F144+G144</f>
        <v>1000000</v>
      </c>
      <c r="E144" s="65">
        <v>1000000</v>
      </c>
      <c r="F144" s="66"/>
      <c r="G144" s="64"/>
      <c r="H144" s="66">
        <f t="shared" si="35"/>
        <v>3886443</v>
      </c>
      <c r="I144" s="65">
        <v>3156443</v>
      </c>
      <c r="J144" s="66">
        <v>730000</v>
      </c>
      <c r="K144" s="66"/>
      <c r="L144" s="69">
        <f t="shared" si="33"/>
        <v>3886443</v>
      </c>
      <c r="M144" s="65">
        <v>3156443</v>
      </c>
      <c r="N144" s="66">
        <v>730000</v>
      </c>
      <c r="O144" s="66"/>
      <c r="P144" s="67">
        <f t="shared" si="34"/>
        <v>1</v>
      </c>
      <c r="Q144" s="67">
        <f t="shared" si="34"/>
        <v>1</v>
      </c>
    </row>
    <row r="145" spans="1:17" s="11" customFormat="1" ht="24" customHeight="1">
      <c r="A145" s="52"/>
      <c r="B145" s="52"/>
      <c r="C145" s="188" t="s">
        <v>110</v>
      </c>
      <c r="D145" s="66">
        <v>40000</v>
      </c>
      <c r="E145" s="65">
        <v>1000000</v>
      </c>
      <c r="F145" s="66"/>
      <c r="G145" s="64"/>
      <c r="H145" s="66"/>
      <c r="I145" s="65"/>
      <c r="J145" s="66"/>
      <c r="K145" s="66"/>
      <c r="L145" s="69"/>
      <c r="M145" s="65"/>
      <c r="N145" s="66"/>
      <c r="O145" s="66"/>
      <c r="P145" s="67"/>
      <c r="Q145" s="67"/>
    </row>
    <row r="146" spans="1:17" s="11" customFormat="1" ht="24" customHeight="1">
      <c r="A146" s="52"/>
      <c r="B146" s="52"/>
      <c r="C146" s="60" t="s">
        <v>35</v>
      </c>
      <c r="D146" s="62">
        <v>1000000</v>
      </c>
      <c r="E146" s="61">
        <v>200000</v>
      </c>
      <c r="F146" s="62"/>
      <c r="G146" s="60"/>
      <c r="H146" s="62">
        <f t="shared" si="35"/>
        <v>353000</v>
      </c>
      <c r="I146" s="61">
        <v>353000</v>
      </c>
      <c r="J146" s="62"/>
      <c r="K146" s="62"/>
      <c r="L146" s="69">
        <f t="shared" si="33"/>
        <v>352814</v>
      </c>
      <c r="M146" s="61">
        <v>352814</v>
      </c>
      <c r="N146" s="62"/>
      <c r="O146" s="62"/>
      <c r="P146" s="63">
        <f aca="true" t="shared" si="36" ref="P146:Q153">L146/H146</f>
        <v>0.9994730878186969</v>
      </c>
      <c r="Q146" s="63">
        <f t="shared" si="36"/>
        <v>0.9994730878186969</v>
      </c>
    </row>
    <row r="147" spans="1:17" s="11" customFormat="1" ht="37.5" customHeight="1">
      <c r="A147" s="113">
        <v>921</v>
      </c>
      <c r="B147" s="38"/>
      <c r="C147" s="114" t="s">
        <v>36</v>
      </c>
      <c r="D147" s="93">
        <f>D150+D154</f>
        <v>635000</v>
      </c>
      <c r="E147" s="94" t="e">
        <f>#REF!+#REF!+E154+E150</f>
        <v>#REF!</v>
      </c>
      <c r="F147" s="93"/>
      <c r="G147" s="92"/>
      <c r="H147" s="93">
        <f t="shared" si="35"/>
        <v>788600</v>
      </c>
      <c r="I147" s="94">
        <f>I150+I152+I154+I148</f>
        <v>788600</v>
      </c>
      <c r="J147" s="93"/>
      <c r="K147" s="93"/>
      <c r="L147" s="95">
        <f t="shared" si="33"/>
        <v>231297</v>
      </c>
      <c r="M147" s="94">
        <f>M150+M154+M152</f>
        <v>231297</v>
      </c>
      <c r="N147" s="94"/>
      <c r="O147" s="93"/>
      <c r="P147" s="96">
        <f t="shared" si="36"/>
        <v>0.29330078620339844</v>
      </c>
      <c r="Q147" s="96">
        <f t="shared" si="36"/>
        <v>0.29330078620339844</v>
      </c>
    </row>
    <row r="148" spans="1:17" s="10" customFormat="1" ht="24.75" customHeight="1">
      <c r="A148" s="44"/>
      <c r="B148" s="129">
        <v>92105</v>
      </c>
      <c r="C148" s="121" t="s">
        <v>145</v>
      </c>
      <c r="D148" s="104"/>
      <c r="E148" s="105">
        <f>E149</f>
        <v>130000</v>
      </c>
      <c r="F148" s="105"/>
      <c r="G148" s="103"/>
      <c r="H148" s="104">
        <f>H149</f>
        <v>3600</v>
      </c>
      <c r="I148" s="105">
        <f>I149</f>
        <v>3600</v>
      </c>
      <c r="J148" s="105"/>
      <c r="K148" s="104"/>
      <c r="L148" s="106"/>
      <c r="M148" s="105"/>
      <c r="N148" s="105"/>
      <c r="O148" s="104"/>
      <c r="P148" s="135"/>
      <c r="Q148" s="135"/>
    </row>
    <row r="149" spans="1:17" s="11" customFormat="1" ht="69.75" customHeight="1">
      <c r="A149" s="52"/>
      <c r="B149" s="97"/>
      <c r="C149" s="199" t="s">
        <v>155</v>
      </c>
      <c r="D149" s="98"/>
      <c r="E149" s="99">
        <v>130000</v>
      </c>
      <c r="F149" s="98"/>
      <c r="G149" s="100"/>
      <c r="H149" s="98">
        <f>I149+J149+K149</f>
        <v>3600</v>
      </c>
      <c r="I149" s="99">
        <v>3600</v>
      </c>
      <c r="J149" s="98"/>
      <c r="K149" s="98"/>
      <c r="L149" s="101"/>
      <c r="M149" s="99"/>
      <c r="N149" s="98"/>
      <c r="O149" s="98"/>
      <c r="P149" s="136"/>
      <c r="Q149" s="136"/>
    </row>
    <row r="150" spans="1:17" s="10" customFormat="1" ht="25.5" customHeight="1">
      <c r="A150" s="44"/>
      <c r="B150" s="129">
        <v>92113</v>
      </c>
      <c r="C150" s="121" t="s">
        <v>70</v>
      </c>
      <c r="D150" s="104">
        <f>D151</f>
        <v>500000</v>
      </c>
      <c r="E150" s="105">
        <f>E151</f>
        <v>130000</v>
      </c>
      <c r="F150" s="105"/>
      <c r="G150" s="103"/>
      <c r="H150" s="104">
        <f>H151</f>
        <v>450000</v>
      </c>
      <c r="I150" s="105">
        <f>I151</f>
        <v>450000</v>
      </c>
      <c r="J150" s="105"/>
      <c r="K150" s="104"/>
      <c r="L150" s="106">
        <f>M150</f>
        <v>46342</v>
      </c>
      <c r="M150" s="105">
        <f>M151</f>
        <v>46342</v>
      </c>
      <c r="N150" s="105"/>
      <c r="O150" s="104"/>
      <c r="P150" s="135">
        <f t="shared" si="36"/>
        <v>0.10298222222222222</v>
      </c>
      <c r="Q150" s="135">
        <f t="shared" si="36"/>
        <v>0.10298222222222222</v>
      </c>
    </row>
    <row r="151" spans="1:17" s="11" customFormat="1" ht="36.75" customHeight="1">
      <c r="A151" s="52"/>
      <c r="B151" s="97"/>
      <c r="C151" s="199" t="s">
        <v>112</v>
      </c>
      <c r="D151" s="98">
        <v>500000</v>
      </c>
      <c r="E151" s="99">
        <v>130000</v>
      </c>
      <c r="F151" s="98"/>
      <c r="G151" s="100"/>
      <c r="H151" s="98">
        <f aca="true" t="shared" si="37" ref="H151:H168">I151+J151+K151</f>
        <v>450000</v>
      </c>
      <c r="I151" s="99">
        <v>450000</v>
      </c>
      <c r="J151" s="98"/>
      <c r="K151" s="98"/>
      <c r="L151" s="101">
        <f>M151</f>
        <v>46342</v>
      </c>
      <c r="M151" s="99">
        <v>46342</v>
      </c>
      <c r="N151" s="98"/>
      <c r="O151" s="98"/>
      <c r="P151" s="136">
        <f t="shared" si="36"/>
        <v>0.10298222222222222</v>
      </c>
      <c r="Q151" s="136">
        <f t="shared" si="36"/>
        <v>0.10298222222222222</v>
      </c>
    </row>
    <row r="152" spans="1:17" s="10" customFormat="1" ht="24" customHeight="1">
      <c r="A152" s="44"/>
      <c r="B152" s="129">
        <v>92116</v>
      </c>
      <c r="C152" s="121" t="s">
        <v>111</v>
      </c>
      <c r="D152" s="104"/>
      <c r="E152" s="105">
        <f>E153</f>
        <v>130000</v>
      </c>
      <c r="F152" s="105"/>
      <c r="G152" s="103"/>
      <c r="H152" s="104">
        <f>H153</f>
        <v>175000</v>
      </c>
      <c r="I152" s="105">
        <f>I153</f>
        <v>175000</v>
      </c>
      <c r="J152" s="105"/>
      <c r="K152" s="104"/>
      <c r="L152" s="106">
        <f>M152</f>
        <v>43572</v>
      </c>
      <c r="M152" s="105">
        <f>M153</f>
        <v>43572</v>
      </c>
      <c r="N152" s="105"/>
      <c r="O152" s="104"/>
      <c r="P152" s="135">
        <f t="shared" si="36"/>
        <v>0.24898285714285714</v>
      </c>
      <c r="Q152" s="135">
        <f t="shared" si="36"/>
        <v>0.24898285714285714</v>
      </c>
    </row>
    <row r="153" spans="1:17" s="11" customFormat="1" ht="42" customHeight="1">
      <c r="A153" s="52"/>
      <c r="B153" s="97"/>
      <c r="C153" s="199" t="s">
        <v>159</v>
      </c>
      <c r="D153" s="98"/>
      <c r="E153" s="99">
        <v>130000</v>
      </c>
      <c r="F153" s="98"/>
      <c r="G153" s="100"/>
      <c r="H153" s="98">
        <f>I153+J153+K153</f>
        <v>175000</v>
      </c>
      <c r="I153" s="99">
        <v>175000</v>
      </c>
      <c r="J153" s="98"/>
      <c r="K153" s="98"/>
      <c r="L153" s="101">
        <f>M153</f>
        <v>43572</v>
      </c>
      <c r="M153" s="99">
        <v>43572</v>
      </c>
      <c r="N153" s="98"/>
      <c r="O153" s="98"/>
      <c r="P153" s="136">
        <f t="shared" si="36"/>
        <v>0.24898285714285714</v>
      </c>
      <c r="Q153" s="136">
        <f t="shared" si="36"/>
        <v>0.24898285714285714</v>
      </c>
    </row>
    <row r="154" spans="1:17" s="10" customFormat="1" ht="24.75" customHeight="1">
      <c r="A154" s="44"/>
      <c r="B154" s="129">
        <v>92120</v>
      </c>
      <c r="C154" s="121" t="s">
        <v>37</v>
      </c>
      <c r="D154" s="104">
        <f>SUM(D155:D157)</f>
        <v>135000</v>
      </c>
      <c r="E154" s="105">
        <f>SUM(E155:E157)</f>
        <v>591000</v>
      </c>
      <c r="F154" s="105"/>
      <c r="G154" s="103"/>
      <c r="H154" s="104">
        <f t="shared" si="37"/>
        <v>160000</v>
      </c>
      <c r="I154" s="105">
        <f>I155+I157+I156</f>
        <v>160000</v>
      </c>
      <c r="J154" s="105"/>
      <c r="K154" s="104"/>
      <c r="L154" s="106">
        <f>SUM(M154:O154)</f>
        <v>141383</v>
      </c>
      <c r="M154" s="105">
        <f>SUM(M155:M157)</f>
        <v>141383</v>
      </c>
      <c r="N154" s="105"/>
      <c r="O154" s="104"/>
      <c r="P154" s="122">
        <f aca="true" t="shared" si="38" ref="P154:Q157">L154/H154</f>
        <v>0.88364375</v>
      </c>
      <c r="Q154" s="122">
        <f t="shared" si="38"/>
        <v>0.88364375</v>
      </c>
    </row>
    <row r="155" spans="1:17" s="11" customFormat="1" ht="24.75" customHeight="1">
      <c r="A155" s="52"/>
      <c r="B155" s="52"/>
      <c r="C155" s="133" t="s">
        <v>38</v>
      </c>
      <c r="D155" s="70">
        <v>50000</v>
      </c>
      <c r="E155" s="132">
        <v>491000</v>
      </c>
      <c r="F155" s="70"/>
      <c r="G155" s="133"/>
      <c r="H155" s="70">
        <f t="shared" si="37"/>
        <v>40000</v>
      </c>
      <c r="I155" s="132">
        <v>40000</v>
      </c>
      <c r="J155" s="70"/>
      <c r="K155" s="70"/>
      <c r="L155" s="71">
        <f>SUM(M155:O155)</f>
        <v>25794</v>
      </c>
      <c r="M155" s="132">
        <v>25794</v>
      </c>
      <c r="N155" s="70"/>
      <c r="O155" s="70"/>
      <c r="P155" s="109">
        <f t="shared" si="38"/>
        <v>0.64485</v>
      </c>
      <c r="Q155" s="109">
        <f t="shared" si="38"/>
        <v>0.64485</v>
      </c>
    </row>
    <row r="156" spans="1:17" s="11" customFormat="1" ht="24.75" customHeight="1">
      <c r="A156" s="52"/>
      <c r="B156" s="52"/>
      <c r="C156" s="188" t="s">
        <v>66</v>
      </c>
      <c r="D156" s="66">
        <v>85000</v>
      </c>
      <c r="E156" s="65">
        <v>50000</v>
      </c>
      <c r="F156" s="66"/>
      <c r="G156" s="64"/>
      <c r="H156" s="66">
        <f>I156+J156+K156</f>
        <v>95000</v>
      </c>
      <c r="I156" s="65">
        <v>95000</v>
      </c>
      <c r="J156" s="66"/>
      <c r="K156" s="66"/>
      <c r="L156" s="69">
        <f>M156</f>
        <v>94093</v>
      </c>
      <c r="M156" s="65">
        <v>94093</v>
      </c>
      <c r="N156" s="66"/>
      <c r="O156" s="66"/>
      <c r="P156" s="67">
        <f t="shared" si="38"/>
        <v>0.9904526315789474</v>
      </c>
      <c r="Q156" s="67">
        <f t="shared" si="38"/>
        <v>0.9904526315789474</v>
      </c>
    </row>
    <row r="157" spans="1:17" s="11" customFormat="1" ht="24.75" customHeight="1">
      <c r="A157" s="52"/>
      <c r="B157" s="52"/>
      <c r="C157" s="189" t="s">
        <v>146</v>
      </c>
      <c r="D157" s="62"/>
      <c r="E157" s="61">
        <v>50000</v>
      </c>
      <c r="F157" s="62"/>
      <c r="G157" s="60"/>
      <c r="H157" s="62">
        <f t="shared" si="37"/>
        <v>25000</v>
      </c>
      <c r="I157" s="61">
        <v>25000</v>
      </c>
      <c r="J157" s="62"/>
      <c r="K157" s="62"/>
      <c r="L157" s="76">
        <f>M157</f>
        <v>21496</v>
      </c>
      <c r="M157" s="61">
        <v>21496</v>
      </c>
      <c r="N157" s="62"/>
      <c r="O157" s="62"/>
      <c r="P157" s="109">
        <f t="shared" si="38"/>
        <v>0.85984</v>
      </c>
      <c r="Q157" s="109">
        <f t="shared" si="38"/>
        <v>0.85984</v>
      </c>
    </row>
    <row r="158" spans="1:17" s="11" customFormat="1" ht="25.5" customHeight="1">
      <c r="A158" s="38">
        <v>926</v>
      </c>
      <c r="B158" s="38"/>
      <c r="C158" s="92" t="s">
        <v>40</v>
      </c>
      <c r="D158" s="93">
        <f>D159+D162+D166</f>
        <v>5955000</v>
      </c>
      <c r="E158" s="94"/>
      <c r="F158" s="93">
        <f>F159+F162+F166</f>
        <v>6800000</v>
      </c>
      <c r="G158" s="92"/>
      <c r="H158" s="93">
        <f t="shared" si="37"/>
        <v>6465000</v>
      </c>
      <c r="I158" s="93">
        <f>I159+I162+I166</f>
        <v>5882000</v>
      </c>
      <c r="J158" s="93">
        <f>J159+J162+J166</f>
        <v>583000</v>
      </c>
      <c r="K158" s="93"/>
      <c r="L158" s="95">
        <f aca="true" t="shared" si="39" ref="L158:L165">SUM(M158:O158)</f>
        <v>6363581</v>
      </c>
      <c r="M158" s="93">
        <f>M159+M162+M166</f>
        <v>4391045</v>
      </c>
      <c r="N158" s="93">
        <f>N159+N162+N166</f>
        <v>1972536</v>
      </c>
      <c r="O158" s="93"/>
      <c r="P158" s="96">
        <f aca="true" t="shared" si="40" ref="P158:Q163">L158/H158</f>
        <v>0.9843126063418407</v>
      </c>
      <c r="Q158" s="96">
        <f t="shared" si="40"/>
        <v>0.7465224413464808</v>
      </c>
    </row>
    <row r="159" spans="1:17" s="10" customFormat="1" ht="25.5" customHeight="1">
      <c r="A159" s="44"/>
      <c r="B159" s="32">
        <v>92601</v>
      </c>
      <c r="C159" s="103" t="s">
        <v>41</v>
      </c>
      <c r="D159" s="104">
        <f>D160</f>
        <v>120000</v>
      </c>
      <c r="E159" s="105"/>
      <c r="F159" s="104">
        <f>F160</f>
        <v>150000</v>
      </c>
      <c r="G159" s="103"/>
      <c r="H159" s="104">
        <f t="shared" si="37"/>
        <v>120000</v>
      </c>
      <c r="I159" s="104">
        <f>I160</f>
        <v>120000</v>
      </c>
      <c r="J159" s="104"/>
      <c r="K159" s="104"/>
      <c r="L159" s="106">
        <f t="shared" si="39"/>
        <v>119334</v>
      </c>
      <c r="M159" s="105">
        <f>M160</f>
        <v>119334</v>
      </c>
      <c r="N159" s="104"/>
      <c r="O159" s="104"/>
      <c r="P159" s="122">
        <f t="shared" si="40"/>
        <v>0.99445</v>
      </c>
      <c r="Q159" s="122">
        <f t="shared" si="40"/>
        <v>0.99445</v>
      </c>
    </row>
    <row r="160" spans="1:17" s="11" customFormat="1" ht="24.75" customHeight="1">
      <c r="A160" s="81"/>
      <c r="B160" s="81"/>
      <c r="C160" s="84" t="s">
        <v>42</v>
      </c>
      <c r="D160" s="83">
        <v>120000</v>
      </c>
      <c r="E160" s="82"/>
      <c r="F160" s="83">
        <v>150000</v>
      </c>
      <c r="G160" s="84"/>
      <c r="H160" s="83">
        <f t="shared" si="37"/>
        <v>120000</v>
      </c>
      <c r="I160" s="82">
        <v>120000</v>
      </c>
      <c r="J160" s="83"/>
      <c r="K160" s="83"/>
      <c r="L160" s="128">
        <f t="shared" si="39"/>
        <v>119334</v>
      </c>
      <c r="M160" s="82">
        <v>119334</v>
      </c>
      <c r="N160" s="83"/>
      <c r="O160" s="83"/>
      <c r="P160" s="86">
        <f t="shared" si="40"/>
        <v>0.99445</v>
      </c>
      <c r="Q160" s="86">
        <f t="shared" si="40"/>
        <v>0.99445</v>
      </c>
    </row>
    <row r="161" spans="1:2" ht="24.75" customHeight="1">
      <c r="A161"/>
      <c r="B161"/>
    </row>
    <row r="162" spans="1:17" s="10" customFormat="1" ht="25.5" customHeight="1">
      <c r="A162" s="44"/>
      <c r="B162" s="32">
        <v>92604</v>
      </c>
      <c r="C162" s="103" t="s">
        <v>43</v>
      </c>
      <c r="D162" s="104">
        <f>SUM(D163:D165)</f>
        <v>5685000</v>
      </c>
      <c r="E162" s="105"/>
      <c r="F162" s="104">
        <f>F165</f>
        <v>6530000</v>
      </c>
      <c r="G162" s="103"/>
      <c r="H162" s="104">
        <f t="shared" si="37"/>
        <v>6335000</v>
      </c>
      <c r="I162" s="104">
        <f>I165+I163+I164</f>
        <v>5752000</v>
      </c>
      <c r="J162" s="104">
        <f>J165+J163+J164</f>
        <v>583000</v>
      </c>
      <c r="K162" s="104"/>
      <c r="L162" s="106">
        <f t="shared" si="39"/>
        <v>6234247</v>
      </c>
      <c r="M162" s="105">
        <f>SUM(M163:M165)</f>
        <v>4261711</v>
      </c>
      <c r="N162" s="105">
        <f>SUM(N163:N165)</f>
        <v>1972536</v>
      </c>
      <c r="O162" s="104"/>
      <c r="P162" s="122">
        <f t="shared" si="40"/>
        <v>0.984095816890292</v>
      </c>
      <c r="Q162" s="122">
        <f t="shared" si="40"/>
        <v>0.7409094228094576</v>
      </c>
    </row>
    <row r="163" spans="1:17" s="11" customFormat="1" ht="31.5" customHeight="1">
      <c r="A163" s="52"/>
      <c r="B163" s="53"/>
      <c r="C163" s="200" t="s">
        <v>127</v>
      </c>
      <c r="D163" s="115">
        <v>480000</v>
      </c>
      <c r="E163" s="116"/>
      <c r="F163" s="115">
        <f>6430000+100000</f>
        <v>6530000</v>
      </c>
      <c r="G163" s="117"/>
      <c r="H163" s="115">
        <f>I163+J163+K163</f>
        <v>480000</v>
      </c>
      <c r="I163" s="116">
        <v>102000</v>
      </c>
      <c r="J163" s="115">
        <v>378000</v>
      </c>
      <c r="K163" s="115"/>
      <c r="L163" s="118">
        <f>SUM(M163:O163)</f>
        <v>479247</v>
      </c>
      <c r="M163" s="116">
        <v>102000</v>
      </c>
      <c r="N163" s="115">
        <v>377247</v>
      </c>
      <c r="O163" s="115"/>
      <c r="P163" s="119">
        <f t="shared" si="40"/>
        <v>0.99843125</v>
      </c>
      <c r="Q163" s="119">
        <f t="shared" si="40"/>
        <v>1</v>
      </c>
    </row>
    <row r="164" spans="1:17" s="11" customFormat="1" ht="31.5" customHeight="1">
      <c r="A164" s="52"/>
      <c r="B164" s="52"/>
      <c r="C164" s="188" t="s">
        <v>128</v>
      </c>
      <c r="D164" s="66">
        <v>105000</v>
      </c>
      <c r="E164" s="65"/>
      <c r="F164" s="66">
        <f>6430000+100000</f>
        <v>6530000</v>
      </c>
      <c r="G164" s="64"/>
      <c r="H164" s="66">
        <f>I164+J164+K164</f>
        <v>105000</v>
      </c>
      <c r="I164" s="65"/>
      <c r="J164" s="66">
        <v>105000</v>
      </c>
      <c r="K164" s="66"/>
      <c r="L164" s="69">
        <f>SUM(M164:O164)</f>
        <v>105000</v>
      </c>
      <c r="M164" s="65"/>
      <c r="N164" s="66">
        <v>105000</v>
      </c>
      <c r="O164" s="66"/>
      <c r="P164" s="67">
        <f>L164/H164</f>
        <v>1</v>
      </c>
      <c r="Q164" s="67"/>
    </row>
    <row r="165" spans="1:17" s="11" customFormat="1" ht="50.25" customHeight="1">
      <c r="A165" s="52"/>
      <c r="B165" s="81"/>
      <c r="C165" s="193" t="s">
        <v>121</v>
      </c>
      <c r="D165" s="111">
        <v>5100000</v>
      </c>
      <c r="E165" s="112"/>
      <c r="F165" s="111">
        <f>6430000+100000</f>
        <v>6530000</v>
      </c>
      <c r="G165" s="110"/>
      <c r="H165" s="111">
        <f t="shared" si="37"/>
        <v>5750000</v>
      </c>
      <c r="I165" s="112">
        <v>5650000</v>
      </c>
      <c r="J165" s="111">
        <v>100000</v>
      </c>
      <c r="K165" s="111"/>
      <c r="L165" s="85">
        <f t="shared" si="39"/>
        <v>5650000</v>
      </c>
      <c r="M165" s="112">
        <f>5650000-1490289</f>
        <v>4159711</v>
      </c>
      <c r="N165" s="111">
        <v>1490289</v>
      </c>
      <c r="O165" s="111"/>
      <c r="P165" s="124">
        <f>L165/H165</f>
        <v>0.9826086956521739</v>
      </c>
      <c r="Q165" s="124">
        <f>M165/I165</f>
        <v>0.7362320353982301</v>
      </c>
    </row>
    <row r="166" spans="1:17" s="10" customFormat="1" ht="32.25" customHeight="1">
      <c r="A166" s="44"/>
      <c r="B166" s="129">
        <v>92605</v>
      </c>
      <c r="C166" s="121" t="s">
        <v>71</v>
      </c>
      <c r="D166" s="104">
        <f>D167</f>
        <v>150000</v>
      </c>
      <c r="E166" s="105"/>
      <c r="F166" s="104">
        <f>F167</f>
        <v>120000</v>
      </c>
      <c r="G166" s="103"/>
      <c r="H166" s="104">
        <f t="shared" si="37"/>
        <v>10000</v>
      </c>
      <c r="I166" s="105">
        <f>I167</f>
        <v>10000</v>
      </c>
      <c r="J166" s="104"/>
      <c r="K166" s="104"/>
      <c r="L166" s="106">
        <f>M166</f>
        <v>10000</v>
      </c>
      <c r="M166" s="105">
        <f>M167</f>
        <v>10000</v>
      </c>
      <c r="N166" s="104"/>
      <c r="O166" s="104"/>
      <c r="P166" s="122">
        <f>L166/H166</f>
        <v>1</v>
      </c>
      <c r="Q166" s="122">
        <f>M166/I166</f>
        <v>1</v>
      </c>
    </row>
    <row r="167" spans="1:17" s="11" customFormat="1" ht="23.25" customHeight="1">
      <c r="A167" s="52"/>
      <c r="B167" s="53"/>
      <c r="C167" s="191" t="s">
        <v>113</v>
      </c>
      <c r="D167" s="98">
        <v>150000</v>
      </c>
      <c r="E167" s="99"/>
      <c r="F167" s="98">
        <v>120000</v>
      </c>
      <c r="G167" s="100"/>
      <c r="H167" s="98">
        <f t="shared" si="37"/>
        <v>10000</v>
      </c>
      <c r="I167" s="99">
        <v>10000</v>
      </c>
      <c r="J167" s="98"/>
      <c r="K167" s="98"/>
      <c r="L167" s="101">
        <f>M167</f>
        <v>10000</v>
      </c>
      <c r="M167" s="99">
        <v>10000</v>
      </c>
      <c r="N167" s="98"/>
      <c r="O167" s="98"/>
      <c r="P167" s="124">
        <f>L167/H167</f>
        <v>1</v>
      </c>
      <c r="Q167" s="124">
        <f>M167/I167</f>
        <v>1</v>
      </c>
    </row>
    <row r="168" spans="1:17" s="10" customFormat="1" ht="21.75" customHeight="1" thickBot="1">
      <c r="A168" s="44"/>
      <c r="B168" s="44"/>
      <c r="C168" s="33" t="s">
        <v>44</v>
      </c>
      <c r="D168" s="34">
        <f>D170+D179</f>
        <v>16000</v>
      </c>
      <c r="E168" s="35"/>
      <c r="F168" s="34"/>
      <c r="G168" s="33" t="e">
        <f>G170+G179</f>
        <v>#REF!</v>
      </c>
      <c r="H168" s="34">
        <f t="shared" si="37"/>
        <v>314490</v>
      </c>
      <c r="I168" s="35"/>
      <c r="J168" s="34"/>
      <c r="K168" s="34">
        <f>K170+K179</f>
        <v>314490</v>
      </c>
      <c r="L168" s="36">
        <f>SUM(M168:O168)</f>
        <v>314238</v>
      </c>
      <c r="M168" s="35"/>
      <c r="N168" s="34"/>
      <c r="O168" s="34">
        <f>O170+O179</f>
        <v>314238</v>
      </c>
      <c r="P168" s="37">
        <f>L168/H168</f>
        <v>0.9991987026614518</v>
      </c>
      <c r="Q168" s="37"/>
    </row>
    <row r="169" spans="1:17" s="9" customFormat="1" ht="15" customHeight="1" thickTop="1">
      <c r="A169" s="52"/>
      <c r="B169" s="52"/>
      <c r="C169" s="133" t="s">
        <v>1</v>
      </c>
      <c r="D169" s="70"/>
      <c r="E169" s="132"/>
      <c r="F169" s="70"/>
      <c r="G169" s="133"/>
      <c r="H169" s="70"/>
      <c r="I169" s="132"/>
      <c r="J169" s="70"/>
      <c r="K169" s="70"/>
      <c r="L169" s="71"/>
      <c r="M169" s="132"/>
      <c r="N169" s="70"/>
      <c r="O169" s="70"/>
      <c r="P169" s="109"/>
      <c r="Q169" s="109"/>
    </row>
    <row r="170" spans="1:17" s="12" customFormat="1" ht="33.75" customHeight="1">
      <c r="A170" s="137"/>
      <c r="B170" s="137"/>
      <c r="C170" s="138" t="s">
        <v>45</v>
      </c>
      <c r="D170" s="139">
        <f>D171</f>
        <v>8000</v>
      </c>
      <c r="E170" s="140"/>
      <c r="F170" s="139"/>
      <c r="G170" s="141" t="e">
        <f>G171+#REF!</f>
        <v>#REF!</v>
      </c>
      <c r="H170" s="139">
        <f aca="true" t="shared" si="41" ref="H170:H185">I170+J170+K170</f>
        <v>256490</v>
      </c>
      <c r="I170" s="140"/>
      <c r="J170" s="139"/>
      <c r="K170" s="139">
        <f>K171</f>
        <v>256490</v>
      </c>
      <c r="L170" s="142">
        <f aca="true" t="shared" si="42" ref="L170:L176">SUM(M170:O170)</f>
        <v>256490</v>
      </c>
      <c r="M170" s="140"/>
      <c r="N170" s="139"/>
      <c r="O170" s="139">
        <f>O171</f>
        <v>256490</v>
      </c>
      <c r="P170" s="143">
        <f>L170/H170</f>
        <v>1</v>
      </c>
      <c r="Q170" s="143"/>
    </row>
    <row r="171" spans="1:17" s="15" customFormat="1" ht="21" customHeight="1">
      <c r="A171" s="38">
        <v>852</v>
      </c>
      <c r="B171" s="38"/>
      <c r="C171" s="144" t="s">
        <v>98</v>
      </c>
      <c r="D171" s="93">
        <f>D177</f>
        <v>8000</v>
      </c>
      <c r="E171" s="94"/>
      <c r="F171" s="93"/>
      <c r="G171" s="92">
        <f>G175</f>
        <v>6000</v>
      </c>
      <c r="H171" s="93">
        <f t="shared" si="41"/>
        <v>256490</v>
      </c>
      <c r="I171" s="94"/>
      <c r="J171" s="93"/>
      <c r="K171" s="93">
        <f>K175+K177+K172</f>
        <v>256490</v>
      </c>
      <c r="L171" s="95">
        <f t="shared" si="42"/>
        <v>256490</v>
      </c>
      <c r="M171" s="94"/>
      <c r="N171" s="93"/>
      <c r="O171" s="93">
        <f>O175+O172+O177</f>
        <v>256490</v>
      </c>
      <c r="P171" s="96">
        <f>L171/H171</f>
        <v>1</v>
      </c>
      <c r="Q171" s="96"/>
    </row>
    <row r="172" spans="1:17" s="15" customFormat="1" ht="21" customHeight="1">
      <c r="A172" s="44"/>
      <c r="B172" s="75">
        <v>85203</v>
      </c>
      <c r="C172" s="46" t="s">
        <v>49</v>
      </c>
      <c r="D172" s="47"/>
      <c r="E172" s="48"/>
      <c r="F172" s="47"/>
      <c r="G172" s="49">
        <f>G173</f>
        <v>6000</v>
      </c>
      <c r="H172" s="47">
        <f>I172+J172+K172</f>
        <v>75000</v>
      </c>
      <c r="I172" s="48"/>
      <c r="J172" s="47"/>
      <c r="K172" s="47">
        <f>K173+K174</f>
        <v>75000</v>
      </c>
      <c r="L172" s="50">
        <f t="shared" si="42"/>
        <v>75000</v>
      </c>
      <c r="M172" s="48"/>
      <c r="N172" s="47"/>
      <c r="O172" s="47">
        <f>O173+O174</f>
        <v>75000</v>
      </c>
      <c r="P172" s="51">
        <f aca="true" t="shared" si="43" ref="P172:P185">L172/H172</f>
        <v>1</v>
      </c>
      <c r="Q172" s="51"/>
    </row>
    <row r="173" spans="1:17" s="15" customFormat="1" ht="21" customHeight="1">
      <c r="A173" s="44"/>
      <c r="B173" s="44"/>
      <c r="C173" s="194" t="s">
        <v>101</v>
      </c>
      <c r="D173" s="70"/>
      <c r="E173" s="132"/>
      <c r="F173" s="70"/>
      <c r="G173" s="133">
        <v>6000</v>
      </c>
      <c r="H173" s="70">
        <f>I173+J173+K173</f>
        <v>33000</v>
      </c>
      <c r="I173" s="132"/>
      <c r="J173" s="70"/>
      <c r="K173" s="70">
        <v>33000</v>
      </c>
      <c r="L173" s="71">
        <f t="shared" si="42"/>
        <v>33000</v>
      </c>
      <c r="M173" s="132"/>
      <c r="N173" s="70"/>
      <c r="O173" s="70">
        <v>33000</v>
      </c>
      <c r="P173" s="109">
        <f t="shared" si="43"/>
        <v>1</v>
      </c>
      <c r="Q173" s="109"/>
    </row>
    <row r="174" spans="1:17" s="15" customFormat="1" ht="21" customHeight="1">
      <c r="A174" s="44"/>
      <c r="B174" s="32"/>
      <c r="C174" s="195" t="s">
        <v>16</v>
      </c>
      <c r="D174" s="83"/>
      <c r="E174" s="82"/>
      <c r="F174" s="83"/>
      <c r="G174" s="84">
        <v>6000</v>
      </c>
      <c r="H174" s="83">
        <f>I174+J174+K174</f>
        <v>42000</v>
      </c>
      <c r="I174" s="82"/>
      <c r="J174" s="83"/>
      <c r="K174" s="83">
        <v>42000</v>
      </c>
      <c r="L174" s="128">
        <f t="shared" si="42"/>
        <v>42000</v>
      </c>
      <c r="M174" s="82"/>
      <c r="N174" s="83"/>
      <c r="O174" s="83">
        <v>42000</v>
      </c>
      <c r="P174" s="86">
        <f t="shared" si="43"/>
        <v>1</v>
      </c>
      <c r="Q174" s="86"/>
    </row>
    <row r="175" spans="1:17" s="15" customFormat="1" ht="51" customHeight="1">
      <c r="A175" s="44"/>
      <c r="B175" s="75">
        <v>85212</v>
      </c>
      <c r="C175" s="46" t="s">
        <v>156</v>
      </c>
      <c r="D175" s="47"/>
      <c r="E175" s="48"/>
      <c r="F175" s="47"/>
      <c r="G175" s="49">
        <f>G176</f>
        <v>6000</v>
      </c>
      <c r="H175" s="47">
        <f t="shared" si="41"/>
        <v>173490</v>
      </c>
      <c r="I175" s="48"/>
      <c r="J175" s="47"/>
      <c r="K175" s="47">
        <f>K176</f>
        <v>173490</v>
      </c>
      <c r="L175" s="50">
        <f t="shared" si="42"/>
        <v>173490</v>
      </c>
      <c r="M175" s="48"/>
      <c r="N175" s="47"/>
      <c r="O175" s="47">
        <f>O176</f>
        <v>173490</v>
      </c>
      <c r="P175" s="51">
        <f t="shared" si="43"/>
        <v>1</v>
      </c>
      <c r="Q175" s="51"/>
    </row>
    <row r="176" spans="1:17" s="15" customFormat="1" ht="21" customHeight="1">
      <c r="A176" s="44"/>
      <c r="B176" s="32"/>
      <c r="C176" s="193" t="s">
        <v>16</v>
      </c>
      <c r="D176" s="111"/>
      <c r="E176" s="112"/>
      <c r="F176" s="111"/>
      <c r="G176" s="110">
        <v>6000</v>
      </c>
      <c r="H176" s="111">
        <f t="shared" si="41"/>
        <v>173490</v>
      </c>
      <c r="I176" s="112"/>
      <c r="J176" s="111"/>
      <c r="K176" s="111">
        <v>173490</v>
      </c>
      <c r="L176" s="85">
        <f t="shared" si="42"/>
        <v>173490</v>
      </c>
      <c r="M176" s="112"/>
      <c r="N176" s="111"/>
      <c r="O176" s="111">
        <v>173490</v>
      </c>
      <c r="P176" s="124">
        <f t="shared" si="43"/>
        <v>1</v>
      </c>
      <c r="Q176" s="124"/>
    </row>
    <row r="177" spans="1:17" s="15" customFormat="1" ht="21" customHeight="1">
      <c r="A177" s="44"/>
      <c r="B177" s="75">
        <v>85219</v>
      </c>
      <c r="C177" s="46" t="s">
        <v>73</v>
      </c>
      <c r="D177" s="47">
        <f>D178</f>
        <v>8000</v>
      </c>
      <c r="E177" s="48"/>
      <c r="F177" s="47"/>
      <c r="G177" s="49">
        <f>G178</f>
        <v>6000</v>
      </c>
      <c r="H177" s="47">
        <f>I177+J177+K177</f>
        <v>8000</v>
      </c>
      <c r="I177" s="48"/>
      <c r="J177" s="47"/>
      <c r="K177" s="47">
        <f>K178</f>
        <v>8000</v>
      </c>
      <c r="L177" s="50">
        <f aca="true" t="shared" si="44" ref="L177:L185">O177</f>
        <v>8000</v>
      </c>
      <c r="M177" s="48"/>
      <c r="N177" s="47"/>
      <c r="O177" s="47">
        <f>O178</f>
        <v>8000</v>
      </c>
      <c r="P177" s="122">
        <f t="shared" si="43"/>
        <v>1</v>
      </c>
      <c r="Q177" s="51"/>
    </row>
    <row r="178" spans="1:17" s="15" customFormat="1" ht="21" customHeight="1">
      <c r="A178" s="44"/>
      <c r="B178" s="44"/>
      <c r="C178" s="194" t="s">
        <v>16</v>
      </c>
      <c r="D178" s="70">
        <v>8000</v>
      </c>
      <c r="E178" s="132"/>
      <c r="F178" s="70"/>
      <c r="G178" s="133">
        <v>6000</v>
      </c>
      <c r="H178" s="70">
        <f>I178+J178+K178</f>
        <v>8000</v>
      </c>
      <c r="I178" s="132"/>
      <c r="J178" s="70"/>
      <c r="K178" s="70">
        <v>8000</v>
      </c>
      <c r="L178" s="71">
        <f t="shared" si="44"/>
        <v>8000</v>
      </c>
      <c r="M178" s="132"/>
      <c r="N178" s="70"/>
      <c r="O178" s="70">
        <v>8000</v>
      </c>
      <c r="P178" s="124">
        <f t="shared" si="43"/>
        <v>1</v>
      </c>
      <c r="Q178" s="109"/>
    </row>
    <row r="179" spans="1:17" s="12" customFormat="1" ht="49.5" customHeight="1">
      <c r="A179" s="137"/>
      <c r="B179" s="137"/>
      <c r="C179" s="145" t="s">
        <v>46</v>
      </c>
      <c r="D179" s="146">
        <f>D183</f>
        <v>8000</v>
      </c>
      <c r="E179" s="147"/>
      <c r="F179" s="146"/>
      <c r="G179" s="148">
        <f>G183</f>
        <v>10000</v>
      </c>
      <c r="H179" s="146">
        <f t="shared" si="41"/>
        <v>58000</v>
      </c>
      <c r="I179" s="147"/>
      <c r="J179" s="146"/>
      <c r="K179" s="146">
        <f>K183+K180</f>
        <v>58000</v>
      </c>
      <c r="L179" s="149">
        <f t="shared" si="44"/>
        <v>57748</v>
      </c>
      <c r="M179" s="147"/>
      <c r="N179" s="146"/>
      <c r="O179" s="146">
        <f>O180+O183</f>
        <v>57748</v>
      </c>
      <c r="P179" s="202">
        <f t="shared" si="43"/>
        <v>0.9956551724137931</v>
      </c>
      <c r="Q179" s="150"/>
    </row>
    <row r="180" spans="1:17" s="11" customFormat="1" ht="21" customHeight="1">
      <c r="A180" s="113">
        <v>852</v>
      </c>
      <c r="B180" s="38"/>
      <c r="C180" s="114" t="s">
        <v>98</v>
      </c>
      <c r="D180" s="93"/>
      <c r="E180" s="94"/>
      <c r="F180" s="93"/>
      <c r="G180" s="92">
        <f>G181</f>
        <v>10000</v>
      </c>
      <c r="H180" s="93">
        <f>I180+J180+K180</f>
        <v>50000</v>
      </c>
      <c r="I180" s="94"/>
      <c r="J180" s="93"/>
      <c r="K180" s="93">
        <f>K181</f>
        <v>50000</v>
      </c>
      <c r="L180" s="95">
        <f t="shared" si="44"/>
        <v>50000</v>
      </c>
      <c r="M180" s="94"/>
      <c r="N180" s="93"/>
      <c r="O180" s="93">
        <f>O181</f>
        <v>50000</v>
      </c>
      <c r="P180" s="43">
        <f t="shared" si="43"/>
        <v>1</v>
      </c>
      <c r="Q180" s="96"/>
    </row>
    <row r="181" spans="1:17" s="10" customFormat="1" ht="21" customHeight="1">
      <c r="A181" s="44"/>
      <c r="B181" s="129">
        <v>85203</v>
      </c>
      <c r="C181" s="121" t="s">
        <v>49</v>
      </c>
      <c r="D181" s="104"/>
      <c r="E181" s="105"/>
      <c r="F181" s="104"/>
      <c r="G181" s="103">
        <f>G182</f>
        <v>10000</v>
      </c>
      <c r="H181" s="104">
        <f>I181+J181+K181</f>
        <v>50000</v>
      </c>
      <c r="I181" s="105"/>
      <c r="J181" s="104"/>
      <c r="K181" s="104">
        <f>K182</f>
        <v>50000</v>
      </c>
      <c r="L181" s="106">
        <f t="shared" si="44"/>
        <v>50000</v>
      </c>
      <c r="M181" s="105"/>
      <c r="N181" s="104"/>
      <c r="O181" s="104">
        <f>O182</f>
        <v>50000</v>
      </c>
      <c r="P181" s="122">
        <f t="shared" si="43"/>
        <v>1</v>
      </c>
      <c r="Q181" s="122"/>
    </row>
    <row r="182" spans="1:17" s="11" customFormat="1" ht="34.5" customHeight="1">
      <c r="A182" s="81"/>
      <c r="B182" s="81"/>
      <c r="C182" s="193" t="s">
        <v>147</v>
      </c>
      <c r="D182" s="98"/>
      <c r="E182" s="99"/>
      <c r="F182" s="98"/>
      <c r="G182" s="100">
        <v>10000</v>
      </c>
      <c r="H182" s="98">
        <f>I182+J182+K182</f>
        <v>50000</v>
      </c>
      <c r="I182" s="112"/>
      <c r="J182" s="111"/>
      <c r="K182" s="111">
        <v>50000</v>
      </c>
      <c r="L182" s="85">
        <f t="shared" si="44"/>
        <v>50000</v>
      </c>
      <c r="M182" s="112"/>
      <c r="N182" s="111"/>
      <c r="O182" s="111">
        <v>50000</v>
      </c>
      <c r="P182" s="124">
        <f t="shared" si="43"/>
        <v>1</v>
      </c>
      <c r="Q182" s="124"/>
    </row>
    <row r="183" spans="1:17" s="11" customFormat="1" ht="33.75" customHeight="1">
      <c r="A183" s="113">
        <v>853</v>
      </c>
      <c r="B183" s="38"/>
      <c r="C183" s="114" t="s">
        <v>102</v>
      </c>
      <c r="D183" s="93">
        <f>D184</f>
        <v>8000</v>
      </c>
      <c r="E183" s="94"/>
      <c r="F183" s="93"/>
      <c r="G183" s="92">
        <f>G184</f>
        <v>10000</v>
      </c>
      <c r="H183" s="93">
        <f t="shared" si="41"/>
        <v>8000</v>
      </c>
      <c r="I183" s="94"/>
      <c r="J183" s="93"/>
      <c r="K183" s="93">
        <f>K184</f>
        <v>8000</v>
      </c>
      <c r="L183" s="95">
        <f t="shared" si="44"/>
        <v>7748</v>
      </c>
      <c r="M183" s="94"/>
      <c r="N183" s="93"/>
      <c r="O183" s="93">
        <f>O184</f>
        <v>7748</v>
      </c>
      <c r="P183" s="43">
        <f t="shared" si="43"/>
        <v>0.9685</v>
      </c>
      <c r="Q183" s="96"/>
    </row>
    <row r="184" spans="1:17" s="10" customFormat="1" ht="33.75" customHeight="1">
      <c r="A184" s="44"/>
      <c r="B184" s="129">
        <v>85321</v>
      </c>
      <c r="C184" s="121" t="s">
        <v>87</v>
      </c>
      <c r="D184" s="104">
        <f>D185</f>
        <v>8000</v>
      </c>
      <c r="E184" s="105"/>
      <c r="F184" s="104"/>
      <c r="G184" s="103">
        <f>G185</f>
        <v>10000</v>
      </c>
      <c r="H184" s="104">
        <f t="shared" si="41"/>
        <v>8000</v>
      </c>
      <c r="I184" s="105"/>
      <c r="J184" s="104"/>
      <c r="K184" s="104">
        <f>K185</f>
        <v>8000</v>
      </c>
      <c r="L184" s="106">
        <f t="shared" si="44"/>
        <v>7748</v>
      </c>
      <c r="M184" s="105"/>
      <c r="N184" s="104"/>
      <c r="O184" s="104">
        <f>O185</f>
        <v>7748</v>
      </c>
      <c r="P184" s="122">
        <f t="shared" si="43"/>
        <v>0.9685</v>
      </c>
      <c r="Q184" s="122"/>
    </row>
    <row r="185" spans="1:17" s="11" customFormat="1" ht="21" customHeight="1">
      <c r="A185" s="81"/>
      <c r="B185" s="81"/>
      <c r="C185" s="193" t="s">
        <v>16</v>
      </c>
      <c r="D185" s="98">
        <v>8000</v>
      </c>
      <c r="E185" s="99"/>
      <c r="F185" s="98"/>
      <c r="G185" s="100">
        <v>10000</v>
      </c>
      <c r="H185" s="98">
        <f t="shared" si="41"/>
        <v>8000</v>
      </c>
      <c r="I185" s="112"/>
      <c r="J185" s="111"/>
      <c r="K185" s="111">
        <v>8000</v>
      </c>
      <c r="L185" s="85">
        <f t="shared" si="44"/>
        <v>7748</v>
      </c>
      <c r="M185" s="112"/>
      <c r="N185" s="111"/>
      <c r="O185" s="111">
        <v>7748</v>
      </c>
      <c r="P185" s="124">
        <f t="shared" si="43"/>
        <v>0.9685</v>
      </c>
      <c r="Q185" s="124"/>
    </row>
    <row r="189" spans="8:14" ht="18">
      <c r="H189" s="218" t="s">
        <v>169</v>
      </c>
      <c r="I189" s="217"/>
      <c r="N189" s="220" t="s">
        <v>170</v>
      </c>
    </row>
    <row r="190" spans="8:14" ht="18">
      <c r="H190" s="219"/>
      <c r="I190" s="217"/>
      <c r="N190" s="220" t="s">
        <v>171</v>
      </c>
    </row>
    <row r="191" spans="8:14" ht="18">
      <c r="H191" s="218" t="s">
        <v>172</v>
      </c>
      <c r="I191" s="217"/>
      <c r="N191" s="220" t="s">
        <v>173</v>
      </c>
    </row>
  </sheetData>
  <mergeCells count="11">
    <mergeCell ref="M8:M10"/>
    <mergeCell ref="H7:H10"/>
    <mergeCell ref="D7:D10"/>
    <mergeCell ref="L7:L10"/>
    <mergeCell ref="I8:I10"/>
    <mergeCell ref="J8:J10"/>
    <mergeCell ref="K8:K10"/>
    <mergeCell ref="N8:N10"/>
    <mergeCell ref="O8:O10"/>
    <mergeCell ref="P8:P10"/>
    <mergeCell ref="Q8:Q10"/>
  </mergeCells>
  <printOptions horizontalCentered="1"/>
  <pageMargins left="0.5118110236220472" right="0.5118110236220472" top="0.6692913385826772" bottom="0.6692913385826772" header="0.5118110236220472" footer="0.5118110236220472"/>
  <pageSetup firstPageNumber="50" useFirstPageNumber="1" horizontalDpi="300" verticalDpi="300" orientation="landscape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2005-03-10T09:23:43Z</cp:lastPrinted>
  <dcterms:created xsi:type="dcterms:W3CDTF">2001-09-17T12:27:57Z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