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411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'Arkusz1'!$10:$10</definedName>
  </definedNames>
  <calcPr fullCalcOnLoad="1"/>
</workbook>
</file>

<file path=xl/sharedStrings.xml><?xml version="1.0" encoding="utf-8"?>
<sst xmlns="http://schemas.openxmlformats.org/spreadsheetml/2006/main" count="71" uniqueCount="66">
  <si>
    <t>Załącznik Nr 6</t>
  </si>
  <si>
    <t>w  złotych</t>
  </si>
  <si>
    <t xml:space="preserve">                 Wydatki</t>
  </si>
  <si>
    <t>Dział</t>
  </si>
  <si>
    <t>Rozdz.</t>
  </si>
  <si>
    <t>Treść</t>
  </si>
  <si>
    <t xml:space="preserve">Ogółem gospodarka                                                                                pozabudżetowa  </t>
  </si>
  <si>
    <t xml:space="preserve">Zadania własne </t>
  </si>
  <si>
    <t xml:space="preserve">Razem zakłady budżetowe </t>
  </si>
  <si>
    <t>Lubelski Ośrodek Informacji Turystycznej</t>
  </si>
  <si>
    <t>Zarząd Nieruchomości Komunalnych</t>
  </si>
  <si>
    <t>Razem gospodarstwa pomocnicze</t>
  </si>
  <si>
    <t>Oświata i wychowanie</t>
  </si>
  <si>
    <t>Zespół Szkół  Mechanicznych                                Warsztaty Szkolne</t>
  </si>
  <si>
    <t>Zespół Szkół Energetycznych                                      Warsztaty Szkolne</t>
  </si>
  <si>
    <t>Lubelskie Centrum Edukacji Zawodowej                                      Warsztaty Szkolne</t>
  </si>
  <si>
    <t>Zespół Szkół Elektronicznych                             Warsztaty Szkolne</t>
  </si>
  <si>
    <t>Edukacyjna opieka wychowawcza</t>
  </si>
  <si>
    <t>Razem środki specjalne</t>
  </si>
  <si>
    <t>Szkoły podstawowe</t>
  </si>
  <si>
    <t>Licea ogólnokształcące</t>
  </si>
  <si>
    <t>Szkoły artystyczne</t>
  </si>
  <si>
    <t>Opieka społeczna</t>
  </si>
  <si>
    <t>Placówki opiekuńczo-wychowawcze</t>
  </si>
  <si>
    <t>Żłobki</t>
  </si>
  <si>
    <t>Placówki wychowania pozaszkolnego</t>
  </si>
  <si>
    <t>Zadania zlecone</t>
  </si>
  <si>
    <t>010</t>
  </si>
  <si>
    <t>01021</t>
  </si>
  <si>
    <t>Inspekcja Weterynaryjna</t>
  </si>
  <si>
    <t>Komendy powiatowe Państwowej Straży Pożarnej</t>
  </si>
  <si>
    <t>Miejski Ośrodek Sportu i Rekreacji "Bystrzyca"</t>
  </si>
  <si>
    <t>Urzędy miast i miast na prawach powiatu</t>
  </si>
  <si>
    <t>Domy pomocy społecznej</t>
  </si>
  <si>
    <t>Gimnazja</t>
  </si>
  <si>
    <t>Szkoły zawodowe</t>
  </si>
  <si>
    <t>Pozostała działalność</t>
  </si>
  <si>
    <t>Ośrodki wsparcia</t>
  </si>
  <si>
    <t>Zespół Szkół Nr 5                          Warsztaty Szkolne</t>
  </si>
  <si>
    <t>Specjalne ośrodki szkolno - wychowawcze</t>
  </si>
  <si>
    <t>Przedszkola</t>
  </si>
  <si>
    <t>Państwowe Szkoły Budownictwa 
i Geodezji Warsztaty Szkolne</t>
  </si>
  <si>
    <t>Zadania realizowane na podstawie porozumień i umów</t>
  </si>
  <si>
    <t>Zespół Szkół Nr 3                             Warsztaty Szkolne</t>
  </si>
  <si>
    <t>Administracja publiczna</t>
  </si>
  <si>
    <t>Specjalny Ośrodek Szkolno - Wychowawczy Nr 1 
Warsztaty Szkolne</t>
  </si>
  <si>
    <t>Centra kształcenia ustawicznego 
i praktycznego oraz ośrodki dokształcania zawodowego</t>
  </si>
  <si>
    <t>Zespół Szkół Samochodowych 
im. St.Syroczyńskiego
Warsztaty Szkolne</t>
  </si>
  <si>
    <t>Plan na 2003 rok wg uchwały budżetowej</t>
  </si>
  <si>
    <t>Plan na 2003 rok po zmianach</t>
  </si>
  <si>
    <t xml:space="preserve">  </t>
  </si>
  <si>
    <t>Zespół Szkół Samochodowych Nr 2 Warsztaty Szkolne</t>
  </si>
  <si>
    <t>Przychody</t>
  </si>
  <si>
    <t>Plan na rok 2003 wg uchwały budżetowej</t>
  </si>
  <si>
    <t>Plan na rok 2003 po zmianach</t>
  </si>
  <si>
    <t>w tym: dotacja</t>
  </si>
  <si>
    <t>%                 11:10</t>
  </si>
  <si>
    <t>%                          6:5</t>
  </si>
  <si>
    <t xml:space="preserve">Wykonanie na 30 czerwca </t>
  </si>
  <si>
    <t>2003 roku</t>
  </si>
  <si>
    <t>Zakłady budżetowe, gospodarstwa pomocnicze i środki specjalne</t>
  </si>
  <si>
    <t>Ośrodki pomocy społecznej</t>
  </si>
  <si>
    <t>Ośrodki adopcyjno-opiekuńcze</t>
  </si>
  <si>
    <t>Wykonanie na 
30 czerwca  
2003 roku</t>
  </si>
  <si>
    <t>PREZYDENT MIASTA LUBLIN</t>
  </si>
  <si>
    <t>Andrzej Pruszkowski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</si>
</sst>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tted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3" fontId="3" fillId="2" borderId="2" xfId="0" applyNumberFormat="1" applyFont="1" applyFill="1" applyBorder="1" applyAlignment="1">
      <alignment horizontal="right"/>
    </xf>
    <xf numFmtId="0" fontId="3" fillId="2" borderId="2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3" fontId="3" fillId="3" borderId="4" xfId="0" applyNumberFormat="1" applyFont="1" applyFill="1" applyBorder="1" applyAlignment="1">
      <alignment horizontal="right"/>
    </xf>
    <xf numFmtId="0" fontId="3" fillId="3" borderId="4" xfId="0" applyNumberFormat="1" applyFont="1" applyFill="1" applyBorder="1" applyAlignment="1">
      <alignment horizontal="right"/>
    </xf>
    <xf numFmtId="0" fontId="3" fillId="3" borderId="5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/>
    </xf>
    <xf numFmtId="3" fontId="4" fillId="0" borderId="6" xfId="0" applyNumberFormat="1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3" fontId="1" fillId="0" borderId="8" xfId="0" applyNumberFormat="1" applyFont="1" applyBorder="1" applyAlignment="1">
      <alignment/>
    </xf>
    <xf numFmtId="0" fontId="1" fillId="0" borderId="9" xfId="0" applyNumberFormat="1" applyFont="1" applyBorder="1" applyAlignment="1">
      <alignment/>
    </xf>
    <xf numFmtId="0" fontId="1" fillId="0" borderId="8" xfId="0" applyFont="1" applyBorder="1" applyAlignment="1">
      <alignment wrapText="1"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 wrapText="1"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 wrapText="1"/>
    </xf>
    <xf numFmtId="3" fontId="1" fillId="0" borderId="16" xfId="0" applyNumberFormat="1" applyFont="1" applyBorder="1" applyAlignment="1">
      <alignment/>
    </xf>
    <xf numFmtId="0" fontId="4" fillId="0" borderId="6" xfId="0" applyFont="1" applyBorder="1" applyAlignment="1">
      <alignment horizontal="left" wrapText="1"/>
    </xf>
    <xf numFmtId="0" fontId="5" fillId="0" borderId="0" xfId="0" applyFont="1" applyAlignment="1">
      <alignment/>
    </xf>
    <xf numFmtId="3" fontId="5" fillId="0" borderId="2" xfId="0" applyNumberFormat="1" applyFont="1" applyBorder="1" applyAlignment="1">
      <alignment/>
    </xf>
    <xf numFmtId="0" fontId="5" fillId="0" borderId="2" xfId="0" applyNumberFormat="1" applyFont="1" applyBorder="1" applyAlignment="1">
      <alignment/>
    </xf>
    <xf numFmtId="0" fontId="5" fillId="0" borderId="2" xfId="0" applyFont="1" applyBorder="1" applyAlignment="1">
      <alignment horizontal="left" wrapText="1"/>
    </xf>
    <xf numFmtId="3" fontId="1" fillId="0" borderId="17" xfId="0" applyNumberFormat="1" applyFont="1" applyBorder="1" applyAlignment="1" quotePrefix="1">
      <alignment horizontal="right"/>
    </xf>
    <xf numFmtId="0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wrapText="1"/>
    </xf>
    <xf numFmtId="3" fontId="1" fillId="0" borderId="6" xfId="0" applyNumberFormat="1" applyFont="1" applyBorder="1" applyAlignment="1" quotePrefix="1">
      <alignment horizontal="right"/>
    </xf>
    <xf numFmtId="0" fontId="1" fillId="0" borderId="6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3" fontId="5" fillId="0" borderId="6" xfId="0" applyNumberFormat="1" applyFont="1" applyBorder="1" applyAlignment="1" quotePrefix="1">
      <alignment horizontal="right"/>
    </xf>
    <xf numFmtId="0" fontId="5" fillId="0" borderId="6" xfId="0" applyNumberFormat="1" applyFont="1" applyBorder="1" applyAlignment="1">
      <alignment/>
    </xf>
    <xf numFmtId="0" fontId="5" fillId="0" borderId="7" xfId="0" applyFont="1" applyBorder="1" applyAlignment="1">
      <alignment wrapText="1"/>
    </xf>
    <xf numFmtId="3" fontId="5" fillId="0" borderId="6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0" fontId="1" fillId="0" borderId="7" xfId="0" applyFont="1" applyBorder="1" applyAlignment="1">
      <alignment wrapText="1"/>
    </xf>
    <xf numFmtId="3" fontId="1" fillId="0" borderId="6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0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 horizontal="left" wrapText="1"/>
    </xf>
    <xf numFmtId="3" fontId="4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left" wrapText="1"/>
    </xf>
    <xf numFmtId="3" fontId="1" fillId="0" borderId="23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1" fillId="0" borderId="8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5" xfId="0" applyNumberFormat="1" applyFont="1" applyBorder="1" applyAlignment="1">
      <alignment/>
    </xf>
    <xf numFmtId="0" fontId="5" fillId="0" borderId="6" xfId="0" applyFont="1" applyBorder="1" applyAlignment="1">
      <alignment wrapText="1"/>
    </xf>
    <xf numFmtId="3" fontId="5" fillId="0" borderId="25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6" xfId="0" applyFont="1" applyBorder="1" applyAlignment="1">
      <alignment wrapText="1"/>
    </xf>
    <xf numFmtId="0" fontId="1" fillId="0" borderId="18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4" xfId="0" applyFont="1" applyBorder="1" applyAlignment="1">
      <alignment horizontal="center" wrapText="1"/>
    </xf>
    <xf numFmtId="0" fontId="4" fillId="0" borderId="6" xfId="0" applyNumberFormat="1" applyFont="1" applyBorder="1" applyAlignment="1">
      <alignment/>
    </xf>
    <xf numFmtId="0" fontId="4" fillId="0" borderId="6" xfId="0" applyFont="1" applyBorder="1" applyAlignment="1">
      <alignment wrapText="1"/>
    </xf>
    <xf numFmtId="3" fontId="1" fillId="0" borderId="26" xfId="0" applyNumberFormat="1" applyFont="1" applyBorder="1" applyAlignment="1">
      <alignment/>
    </xf>
    <xf numFmtId="0" fontId="1" fillId="0" borderId="27" xfId="0" applyNumberFormat="1" applyFont="1" applyBorder="1" applyAlignment="1">
      <alignment/>
    </xf>
    <xf numFmtId="0" fontId="1" fillId="0" borderId="28" xfId="0" applyFont="1" applyBorder="1" applyAlignment="1">
      <alignment wrapText="1"/>
    </xf>
    <xf numFmtId="3" fontId="1" fillId="0" borderId="29" xfId="0" applyNumberFormat="1" applyFont="1" applyBorder="1" applyAlignment="1">
      <alignment/>
    </xf>
    <xf numFmtId="0" fontId="1" fillId="0" borderId="6" xfId="0" applyNumberFormat="1" applyFont="1" applyBorder="1" applyAlignment="1" quotePrefix="1">
      <alignment horizontal="right"/>
    </xf>
    <xf numFmtId="0" fontId="6" fillId="0" borderId="30" xfId="0" applyFont="1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 wrapText="1"/>
    </xf>
    <xf numFmtId="0" fontId="6" fillId="0" borderId="30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3" fontId="4" fillId="0" borderId="6" xfId="0" applyNumberFormat="1" applyFont="1" applyBorder="1" applyAlignment="1">
      <alignment wrapText="1"/>
    </xf>
    <xf numFmtId="3" fontId="5" fillId="0" borderId="6" xfId="0" applyNumberFormat="1" applyFont="1" applyBorder="1" applyAlignment="1">
      <alignment wrapText="1"/>
    </xf>
    <xf numFmtId="3" fontId="1" fillId="0" borderId="2" xfId="0" applyNumberFormat="1" applyFont="1" applyBorder="1" applyAlignment="1">
      <alignment wrapText="1"/>
    </xf>
    <xf numFmtId="3" fontId="1" fillId="0" borderId="31" xfId="0" applyNumberFormat="1" applyFont="1" applyBorder="1" applyAlignment="1">
      <alignment/>
    </xf>
    <xf numFmtId="0" fontId="1" fillId="0" borderId="31" xfId="0" applyNumberFormat="1" applyFont="1" applyBorder="1" applyAlignment="1">
      <alignment/>
    </xf>
    <xf numFmtId="0" fontId="3" fillId="0" borderId="32" xfId="0" applyFont="1" applyBorder="1" applyAlignment="1">
      <alignment/>
    </xf>
    <xf numFmtId="10" fontId="3" fillId="2" borderId="2" xfId="0" applyNumberFormat="1" applyFont="1" applyFill="1" applyBorder="1" applyAlignment="1">
      <alignment horizontal="right"/>
    </xf>
    <xf numFmtId="10" fontId="3" fillId="3" borderId="4" xfId="0" applyNumberFormat="1" applyFont="1" applyFill="1" applyBorder="1" applyAlignment="1">
      <alignment horizontal="right"/>
    </xf>
    <xf numFmtId="10" fontId="4" fillId="0" borderId="6" xfId="0" applyNumberFormat="1" applyFont="1" applyBorder="1" applyAlignment="1">
      <alignment/>
    </xf>
    <xf numFmtId="10" fontId="1" fillId="0" borderId="11" xfId="0" applyNumberFormat="1" applyFont="1" applyBorder="1" applyAlignment="1">
      <alignment/>
    </xf>
    <xf numFmtId="10" fontId="1" fillId="0" borderId="29" xfId="0" applyNumberFormat="1" applyFont="1" applyBorder="1" applyAlignment="1">
      <alignment/>
    </xf>
    <xf numFmtId="10" fontId="5" fillId="0" borderId="2" xfId="0" applyNumberFormat="1" applyFont="1" applyBorder="1" applyAlignment="1">
      <alignment/>
    </xf>
    <xf numFmtId="10" fontId="1" fillId="0" borderId="12" xfId="0" applyNumberFormat="1" applyFont="1" applyBorder="1" applyAlignment="1">
      <alignment/>
    </xf>
    <xf numFmtId="10" fontId="1" fillId="0" borderId="15" xfId="0" applyNumberFormat="1" applyFont="1" applyBorder="1" applyAlignment="1">
      <alignment/>
    </xf>
    <xf numFmtId="10" fontId="1" fillId="0" borderId="18" xfId="0" applyNumberFormat="1" applyFont="1" applyBorder="1" applyAlignment="1">
      <alignment/>
    </xf>
    <xf numFmtId="10" fontId="5" fillId="0" borderId="6" xfId="0" applyNumberFormat="1" applyFont="1" applyBorder="1" applyAlignment="1">
      <alignment/>
    </xf>
    <xf numFmtId="10" fontId="1" fillId="0" borderId="6" xfId="0" applyNumberFormat="1" applyFont="1" applyBorder="1" applyAlignment="1">
      <alignment/>
    </xf>
    <xf numFmtId="10" fontId="4" fillId="0" borderId="2" xfId="0" applyNumberFormat="1" applyFont="1" applyBorder="1" applyAlignment="1">
      <alignment/>
    </xf>
    <xf numFmtId="10" fontId="1" fillId="0" borderId="2" xfId="0" applyNumberFormat="1" applyFont="1" applyBorder="1" applyAlignment="1">
      <alignment/>
    </xf>
    <xf numFmtId="10" fontId="1" fillId="0" borderId="8" xfId="0" applyNumberFormat="1" applyFont="1" applyBorder="1" applyAlignment="1">
      <alignment/>
    </xf>
    <xf numFmtId="10" fontId="5" fillId="0" borderId="22" xfId="0" applyNumberFormat="1" applyFont="1" applyBorder="1" applyAlignment="1">
      <alignment/>
    </xf>
    <xf numFmtId="10" fontId="1" fillId="0" borderId="16" xfId="0" applyNumberFormat="1" applyFont="1" applyBorder="1" applyAlignment="1">
      <alignment/>
    </xf>
    <xf numFmtId="10" fontId="3" fillId="0" borderId="4" xfId="0" applyNumberFormat="1" applyFont="1" applyBorder="1" applyAlignment="1">
      <alignment/>
    </xf>
    <xf numFmtId="10" fontId="4" fillId="0" borderId="6" xfId="0" applyNumberFormat="1" applyFont="1" applyBorder="1" applyAlignment="1">
      <alignment wrapText="1"/>
    </xf>
    <xf numFmtId="10" fontId="5" fillId="0" borderId="6" xfId="0" applyNumberFormat="1" applyFont="1" applyBorder="1" applyAlignment="1">
      <alignment wrapText="1"/>
    </xf>
    <xf numFmtId="10" fontId="1" fillId="0" borderId="2" xfId="0" applyNumberFormat="1" applyFont="1" applyBorder="1" applyAlignment="1">
      <alignment wrapText="1"/>
    </xf>
    <xf numFmtId="10" fontId="4" fillId="0" borderId="6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0" fontId="3" fillId="0" borderId="33" xfId="0" applyFont="1" applyBorder="1" applyAlignment="1">
      <alignment horizontal="right" vertical="top"/>
    </xf>
    <xf numFmtId="3" fontId="5" fillId="0" borderId="2" xfId="0" applyNumberFormat="1" applyFont="1" applyBorder="1" applyAlignment="1">
      <alignment/>
    </xf>
    <xf numFmtId="0" fontId="3" fillId="0" borderId="30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3" fontId="1" fillId="0" borderId="21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10" fontId="1" fillId="0" borderId="19" xfId="0" applyNumberFormat="1" applyFont="1" applyBorder="1" applyAlignment="1">
      <alignment/>
    </xf>
    <xf numFmtId="0" fontId="1" fillId="0" borderId="34" xfId="0" applyNumberFormat="1" applyFont="1" applyBorder="1" applyAlignment="1">
      <alignment/>
    </xf>
    <xf numFmtId="0" fontId="7" fillId="0" borderId="0" xfId="0" applyFont="1" applyAlignment="1">
      <alignment/>
    </xf>
    <xf numFmtId="0" fontId="3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3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6" xfId="0" applyBorder="1" applyAlignment="1">
      <alignment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left" wrapText="1" indent="1"/>
    </xf>
    <xf numFmtId="0" fontId="0" fillId="0" borderId="32" xfId="0" applyBorder="1" applyAlignment="1">
      <alignment horizontal="left" indent="1"/>
    </xf>
    <xf numFmtId="0" fontId="0" fillId="0" borderId="40" xfId="0" applyBorder="1" applyAlignment="1">
      <alignment wrapText="1"/>
    </xf>
    <xf numFmtId="0" fontId="0" fillId="0" borderId="36" xfId="0" applyBorder="1" applyAlignment="1">
      <alignment wrapText="1"/>
    </xf>
    <xf numFmtId="0" fontId="3" fillId="0" borderId="35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101"/>
  <sheetViews>
    <sheetView tabSelected="1" zoomScale="75" zoomScaleNormal="75" workbookViewId="0" topLeftCell="D54">
      <selection activeCell="J61" sqref="J61:L62"/>
    </sheetView>
  </sheetViews>
  <sheetFormatPr defaultColWidth="9.00390625" defaultRowHeight="12.75"/>
  <cols>
    <col min="1" max="1" width="5.125" style="0" customWidth="1"/>
    <col min="2" max="2" width="6.875" style="0" customWidth="1"/>
    <col min="3" max="3" width="31.75390625" style="0" customWidth="1"/>
    <col min="4" max="4" width="14.25390625" style="0" customWidth="1"/>
    <col min="5" max="5" width="14.00390625" style="0" customWidth="1"/>
    <col min="6" max="6" width="13.00390625" style="0" customWidth="1"/>
    <col min="7" max="7" width="14.00390625" style="0" customWidth="1"/>
    <col min="8" max="8" width="10.75390625" style="0" customWidth="1"/>
    <col min="9" max="9" width="13.625" style="0" customWidth="1"/>
    <col min="10" max="10" width="13.75390625" style="0" customWidth="1"/>
    <col min="11" max="11" width="13.00390625" style="0" customWidth="1"/>
    <col min="12" max="12" width="10.375" style="0" customWidth="1"/>
  </cols>
  <sheetData>
    <row r="2" spans="1:6" s="4" customFormat="1" ht="13.5" customHeight="1">
      <c r="A2" s="1"/>
      <c r="B2" s="2"/>
      <c r="C2" s="3"/>
      <c r="F2" s="5"/>
    </row>
    <row r="3" spans="1:11" s="4" customFormat="1" ht="15.75">
      <c r="A3" s="1"/>
      <c r="B3" s="2"/>
      <c r="C3" s="6" t="s">
        <v>60</v>
      </c>
      <c r="D3" s="7"/>
      <c r="E3" s="8"/>
      <c r="F3" s="9"/>
      <c r="K3" s="135" t="s">
        <v>0</v>
      </c>
    </row>
    <row r="4" spans="1:6" s="4" customFormat="1" ht="15.75">
      <c r="A4" s="1"/>
      <c r="B4" s="6" t="s">
        <v>50</v>
      </c>
      <c r="C4" s="10"/>
      <c r="D4" s="11"/>
      <c r="E4" s="11"/>
      <c r="F4" s="9"/>
    </row>
    <row r="5" spans="1:6" s="4" customFormat="1" ht="14.25" customHeight="1">
      <c r="A5" s="1"/>
      <c r="B5" s="2"/>
      <c r="C5" s="3"/>
      <c r="D5" s="7"/>
      <c r="E5" s="8"/>
      <c r="F5" s="9"/>
    </row>
    <row r="6" spans="1:12" s="4" customFormat="1" ht="13.5" customHeight="1" thickBot="1">
      <c r="A6" s="12"/>
      <c r="B6" s="13"/>
      <c r="C6" s="14"/>
      <c r="D6" s="17"/>
      <c r="E6" s="17"/>
      <c r="F6" s="124"/>
      <c r="G6" s="17"/>
      <c r="H6" s="17"/>
      <c r="I6" s="15"/>
      <c r="K6" s="15"/>
      <c r="L6" s="125" t="s">
        <v>1</v>
      </c>
    </row>
    <row r="7" spans="1:32" s="7" customFormat="1" ht="21.75" customHeight="1" thickBot="1" thickTop="1">
      <c r="A7" s="146" t="s">
        <v>3</v>
      </c>
      <c r="B7" s="149" t="s">
        <v>4</v>
      </c>
      <c r="C7" s="136" t="s">
        <v>5</v>
      </c>
      <c r="D7" s="138" t="s">
        <v>52</v>
      </c>
      <c r="E7" s="150"/>
      <c r="F7" s="150"/>
      <c r="G7" s="150"/>
      <c r="H7" s="151"/>
      <c r="I7" s="138" t="s">
        <v>2</v>
      </c>
      <c r="J7" s="139"/>
      <c r="K7" s="139"/>
      <c r="L7" s="102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s="7" customFormat="1" ht="33" customHeight="1" thickBot="1" thickTop="1">
      <c r="A8" s="147"/>
      <c r="B8" s="147"/>
      <c r="C8" s="144"/>
      <c r="D8" s="136" t="s">
        <v>53</v>
      </c>
      <c r="E8" s="136" t="s">
        <v>54</v>
      </c>
      <c r="F8" s="142" t="s">
        <v>58</v>
      </c>
      <c r="G8" s="143"/>
      <c r="H8" s="136" t="s">
        <v>57</v>
      </c>
      <c r="I8" s="136" t="s">
        <v>48</v>
      </c>
      <c r="J8" s="136" t="s">
        <v>49</v>
      </c>
      <c r="K8" s="136" t="s">
        <v>63</v>
      </c>
      <c r="L8" s="136" t="s">
        <v>56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s="16" customFormat="1" ht="39" customHeight="1" thickBot="1" thickTop="1">
      <c r="A9" s="148"/>
      <c r="B9" s="148"/>
      <c r="C9" s="145"/>
      <c r="D9" s="141"/>
      <c r="E9" s="141"/>
      <c r="F9" s="126" t="s">
        <v>59</v>
      </c>
      <c r="G9" s="128" t="s">
        <v>55</v>
      </c>
      <c r="H9" s="141"/>
      <c r="I9" s="140"/>
      <c r="J9" s="137"/>
      <c r="K9" s="140"/>
      <c r="L9" s="137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s="17" customFormat="1" ht="14.25" thickBot="1" thickTop="1">
      <c r="A10" s="92">
        <v>1</v>
      </c>
      <c r="B10" s="93">
        <v>2</v>
      </c>
      <c r="C10" s="94">
        <v>3</v>
      </c>
      <c r="D10" s="92">
        <v>4</v>
      </c>
      <c r="E10" s="92">
        <v>5</v>
      </c>
      <c r="F10" s="95">
        <v>6</v>
      </c>
      <c r="G10" s="92">
        <v>7</v>
      </c>
      <c r="H10" s="92">
        <v>8</v>
      </c>
      <c r="I10" s="92">
        <v>9</v>
      </c>
      <c r="J10" s="92">
        <v>10</v>
      </c>
      <c r="K10" s="92">
        <v>11</v>
      </c>
      <c r="L10" s="92">
        <v>12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s="21" customFormat="1" ht="28.5" customHeight="1" thickTop="1">
      <c r="A11" s="18"/>
      <c r="B11" s="19"/>
      <c r="C11" s="20" t="s">
        <v>6</v>
      </c>
      <c r="D11" s="18">
        <f>D12+D51+D55</f>
        <v>101194312</v>
      </c>
      <c r="E11" s="18">
        <f>E12+E51+E55</f>
        <v>102453429</v>
      </c>
      <c r="F11" s="18">
        <f>F12+F51+F55</f>
        <v>46405197</v>
      </c>
      <c r="G11" s="18">
        <f>G12+G51+G55</f>
        <v>3845710</v>
      </c>
      <c r="H11" s="103">
        <f>F11/E11</f>
        <v>0.45293942284742855</v>
      </c>
      <c r="I11" s="18">
        <f>I12+I51+I55</f>
        <v>100700461</v>
      </c>
      <c r="J11" s="18">
        <f>J12+J51+J55</f>
        <v>102352428</v>
      </c>
      <c r="K11" s="18">
        <f>K12+K51+K55</f>
        <v>44708720</v>
      </c>
      <c r="L11" s="103">
        <f>K11/J11</f>
        <v>0.43681152341593693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s="25" customFormat="1" ht="21.75" customHeight="1" thickBot="1">
      <c r="A12" s="22"/>
      <c r="B12" s="23"/>
      <c r="C12" s="24" t="s">
        <v>7</v>
      </c>
      <c r="D12" s="22">
        <f>D13+D17+D30</f>
        <v>100546692</v>
      </c>
      <c r="E12" s="22">
        <f>E13+E17+E30</f>
        <v>101785804</v>
      </c>
      <c r="F12" s="22">
        <f>F13+F17+F30</f>
        <v>46092009</v>
      </c>
      <c r="G12" s="22">
        <f>G13+G17+G30</f>
        <v>3845710</v>
      </c>
      <c r="H12" s="104">
        <f aca="true" t="shared" si="0" ref="H12:H58">F12/E12</f>
        <v>0.4528333735026547</v>
      </c>
      <c r="I12" s="22">
        <f>I13+I17+I30</f>
        <v>100050013</v>
      </c>
      <c r="J12" s="22">
        <f>J13+J17+J30</f>
        <v>101681975</v>
      </c>
      <c r="K12" s="22">
        <f>K13+K17+K30</f>
        <v>44372313</v>
      </c>
      <c r="L12" s="104">
        <f aca="true" t="shared" si="1" ref="L12:L58">K12/J12</f>
        <v>0.436383272453156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s="29" customFormat="1" ht="19.5" customHeight="1" thickTop="1">
      <c r="A13" s="26"/>
      <c r="B13" s="27"/>
      <c r="C13" s="28" t="s">
        <v>8</v>
      </c>
      <c r="D13" s="26">
        <f>SUM(D14:D16)</f>
        <v>83397340</v>
      </c>
      <c r="E13" s="26">
        <f>SUM(E14:E16)</f>
        <v>83877448</v>
      </c>
      <c r="F13" s="26">
        <f>SUM(F14:F16)</f>
        <v>36824120</v>
      </c>
      <c r="G13" s="26">
        <f>SUM(G14:G16)</f>
        <v>3760510</v>
      </c>
      <c r="H13" s="105">
        <f t="shared" si="0"/>
        <v>0.4390228944495307</v>
      </c>
      <c r="I13" s="26">
        <f>SUM(I14:I16)</f>
        <v>82904290</v>
      </c>
      <c r="J13" s="26">
        <f>SUM(J14:J16)</f>
        <v>83444204</v>
      </c>
      <c r="K13" s="26">
        <f>SUM(K14:K16)</f>
        <v>36611696</v>
      </c>
      <c r="L13" s="105">
        <f t="shared" si="1"/>
        <v>0.43875660914687376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12" s="4" customFormat="1" ht="26.25" customHeight="1">
      <c r="A14" s="30">
        <v>630</v>
      </c>
      <c r="B14" s="31">
        <v>63001</v>
      </c>
      <c r="C14" s="32" t="s">
        <v>9</v>
      </c>
      <c r="D14" s="33">
        <v>347640</v>
      </c>
      <c r="E14" s="33">
        <v>376100</v>
      </c>
      <c r="F14" s="30">
        <v>183091</v>
      </c>
      <c r="G14" s="34">
        <v>83000</v>
      </c>
      <c r="H14" s="106">
        <f t="shared" si="0"/>
        <v>0.4868146769476203</v>
      </c>
      <c r="I14" s="34">
        <v>318900</v>
      </c>
      <c r="J14" s="34">
        <v>318900</v>
      </c>
      <c r="K14" s="34">
        <v>176267</v>
      </c>
      <c r="L14" s="106">
        <f t="shared" si="1"/>
        <v>0.5527343994982753</v>
      </c>
    </row>
    <row r="15" spans="1:12" s="4" customFormat="1" ht="19.5" customHeight="1">
      <c r="A15" s="87">
        <v>700</v>
      </c>
      <c r="B15" s="88">
        <v>70001</v>
      </c>
      <c r="C15" s="89" t="s">
        <v>10</v>
      </c>
      <c r="D15" s="87">
        <v>71419700</v>
      </c>
      <c r="E15" s="87">
        <v>71419900</v>
      </c>
      <c r="F15" s="87">
        <f>33010526+100000</f>
        <v>33110526</v>
      </c>
      <c r="G15" s="90">
        <f>2400000+100000</f>
        <v>2500000</v>
      </c>
      <c r="H15" s="107">
        <f t="shared" si="0"/>
        <v>0.4636036454825616</v>
      </c>
      <c r="I15" s="90">
        <v>70910000</v>
      </c>
      <c r="J15" s="90">
        <v>71058467</v>
      </c>
      <c r="K15" s="90">
        <f>32897569+100000</f>
        <v>32997569</v>
      </c>
      <c r="L15" s="107">
        <f t="shared" si="1"/>
        <v>0.46437209235037397</v>
      </c>
    </row>
    <row r="16" spans="1:12" s="4" customFormat="1" ht="27" customHeight="1">
      <c r="A16" s="131">
        <v>926</v>
      </c>
      <c r="B16" s="134">
        <v>92604</v>
      </c>
      <c r="C16" s="129" t="s">
        <v>31</v>
      </c>
      <c r="D16" s="130">
        <v>11630000</v>
      </c>
      <c r="E16" s="130">
        <f>12081448</f>
        <v>12081448</v>
      </c>
      <c r="F16" s="131">
        <f>2871160+659343</f>
        <v>3530503</v>
      </c>
      <c r="G16" s="132">
        <f>518167+659343</f>
        <v>1177510</v>
      </c>
      <c r="H16" s="133">
        <f t="shared" si="0"/>
        <v>0.29222515380606695</v>
      </c>
      <c r="I16" s="131">
        <v>11675390</v>
      </c>
      <c r="J16" s="131">
        <v>12066837</v>
      </c>
      <c r="K16" s="131">
        <f>2778517+659343</f>
        <v>3437860</v>
      </c>
      <c r="L16" s="133">
        <f t="shared" si="1"/>
        <v>0.2849015031859633</v>
      </c>
    </row>
    <row r="17" spans="1:32" s="42" customFormat="1" ht="19.5" customHeight="1">
      <c r="A17" s="26"/>
      <c r="B17" s="27"/>
      <c r="C17" s="41" t="s">
        <v>11</v>
      </c>
      <c r="D17" s="26">
        <f>D18+D28</f>
        <v>2964910</v>
      </c>
      <c r="E17" s="26">
        <f>E18+E28</f>
        <v>2964910</v>
      </c>
      <c r="F17" s="26">
        <f>F18+F28</f>
        <v>1161701</v>
      </c>
      <c r="G17" s="26">
        <f>G18+G28</f>
        <v>85200</v>
      </c>
      <c r="H17" s="105">
        <f t="shared" si="0"/>
        <v>0.3918166150068636</v>
      </c>
      <c r="I17" s="26">
        <f>I18+I28</f>
        <v>2964910</v>
      </c>
      <c r="J17" s="26">
        <f>J18+J28</f>
        <v>2964910</v>
      </c>
      <c r="K17" s="26">
        <f>K18+K28</f>
        <v>1191117</v>
      </c>
      <c r="L17" s="105">
        <f t="shared" si="1"/>
        <v>0.4017379954197598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s="42" customFormat="1" ht="19.5" customHeight="1">
      <c r="A18" s="43">
        <v>801</v>
      </c>
      <c r="B18" s="44"/>
      <c r="C18" s="45" t="s">
        <v>12</v>
      </c>
      <c r="D18" s="43">
        <f>SUM(D19:D27)</f>
        <v>2855110</v>
      </c>
      <c r="E18" s="43">
        <f>SUM(E19:E27)</f>
        <v>2855110</v>
      </c>
      <c r="F18" s="43">
        <f>SUM(F19:F27)</f>
        <v>1120429</v>
      </c>
      <c r="G18" s="43">
        <f>SUM(G19:G27)</f>
        <v>68700</v>
      </c>
      <c r="H18" s="108">
        <f t="shared" si="0"/>
        <v>0.39242936349212465</v>
      </c>
      <c r="I18" s="43">
        <f>SUM(I19:I27)</f>
        <v>2855110</v>
      </c>
      <c r="J18" s="43">
        <f>SUM(J19:J27)</f>
        <v>2855110</v>
      </c>
      <c r="K18" s="43">
        <f>SUM(K19:K27)</f>
        <v>1141150</v>
      </c>
      <c r="L18" s="108">
        <f t="shared" si="1"/>
        <v>0.39968687721313717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12" s="4" customFormat="1" ht="29.25" customHeight="1">
      <c r="A19" s="46"/>
      <c r="B19" s="47">
        <v>80197</v>
      </c>
      <c r="C19" s="48" t="s">
        <v>51</v>
      </c>
      <c r="D19" s="35">
        <v>198650</v>
      </c>
      <c r="E19" s="35">
        <v>198650</v>
      </c>
      <c r="F19" s="35">
        <v>94692</v>
      </c>
      <c r="G19" s="35">
        <v>8200</v>
      </c>
      <c r="H19" s="109">
        <f t="shared" si="0"/>
        <v>0.4766775736219481</v>
      </c>
      <c r="I19" s="37">
        <v>198650</v>
      </c>
      <c r="J19" s="37">
        <v>198650</v>
      </c>
      <c r="K19" s="37">
        <v>82268</v>
      </c>
      <c r="L19" s="109">
        <f t="shared" si="1"/>
        <v>0.4141354140448024</v>
      </c>
    </row>
    <row r="20" spans="1:12" s="4" customFormat="1" ht="39.75" customHeight="1">
      <c r="A20" s="46"/>
      <c r="B20" s="76">
        <v>80197</v>
      </c>
      <c r="C20" s="39" t="s">
        <v>47</v>
      </c>
      <c r="D20" s="38">
        <v>377500</v>
      </c>
      <c r="E20" s="38">
        <v>377500</v>
      </c>
      <c r="F20" s="38">
        <v>188843</v>
      </c>
      <c r="G20" s="38">
        <v>7700</v>
      </c>
      <c r="H20" s="110">
        <f t="shared" si="0"/>
        <v>0.5002463576158941</v>
      </c>
      <c r="I20" s="40">
        <v>377500</v>
      </c>
      <c r="J20" s="40">
        <v>377500</v>
      </c>
      <c r="K20" s="40">
        <v>186265</v>
      </c>
      <c r="L20" s="110">
        <f t="shared" si="1"/>
        <v>0.4934172185430464</v>
      </c>
    </row>
    <row r="21" spans="1:12" s="4" customFormat="1" ht="27.75" customHeight="1">
      <c r="A21" s="46"/>
      <c r="B21" s="47">
        <v>80197</v>
      </c>
      <c r="C21" s="48" t="s">
        <v>13</v>
      </c>
      <c r="D21" s="35">
        <v>285100</v>
      </c>
      <c r="E21" s="35">
        <v>285100</v>
      </c>
      <c r="F21" s="35">
        <v>114446</v>
      </c>
      <c r="G21" s="35">
        <v>11750</v>
      </c>
      <c r="H21" s="109">
        <f t="shared" si="0"/>
        <v>0.4014240617327254</v>
      </c>
      <c r="I21" s="37">
        <v>285100</v>
      </c>
      <c r="J21" s="37">
        <v>285100</v>
      </c>
      <c r="K21" s="37">
        <v>140510</v>
      </c>
      <c r="L21" s="109">
        <f t="shared" si="1"/>
        <v>0.4928446159242371</v>
      </c>
    </row>
    <row r="22" spans="1:12" s="4" customFormat="1" ht="27.75" customHeight="1">
      <c r="A22" s="46"/>
      <c r="B22" s="47">
        <v>80197</v>
      </c>
      <c r="C22" s="53" t="s">
        <v>14</v>
      </c>
      <c r="D22" s="38">
        <v>47760</v>
      </c>
      <c r="E22" s="38">
        <v>47760</v>
      </c>
      <c r="F22" s="38">
        <v>38654</v>
      </c>
      <c r="G22" s="38">
        <v>8250</v>
      </c>
      <c r="H22" s="110">
        <f t="shared" si="0"/>
        <v>0.8093383584589615</v>
      </c>
      <c r="I22" s="40">
        <v>47760</v>
      </c>
      <c r="J22" s="40">
        <v>47760</v>
      </c>
      <c r="K22" s="40">
        <v>35167</v>
      </c>
      <c r="L22" s="110">
        <f t="shared" si="1"/>
        <v>0.7363274706867672</v>
      </c>
    </row>
    <row r="23" spans="1:12" s="4" customFormat="1" ht="37.5" customHeight="1">
      <c r="A23" s="46"/>
      <c r="B23" s="47">
        <v>80197</v>
      </c>
      <c r="C23" s="53" t="s">
        <v>15</v>
      </c>
      <c r="D23" s="38">
        <v>195400</v>
      </c>
      <c r="E23" s="38">
        <v>195400</v>
      </c>
      <c r="F23" s="38">
        <v>64087</v>
      </c>
      <c r="G23" s="38">
        <v>17400</v>
      </c>
      <c r="H23" s="110">
        <f t="shared" si="0"/>
        <v>0.327978505629478</v>
      </c>
      <c r="I23" s="40">
        <v>195400</v>
      </c>
      <c r="J23" s="40">
        <v>195400</v>
      </c>
      <c r="K23" s="40">
        <v>54050</v>
      </c>
      <c r="L23" s="110">
        <f t="shared" si="1"/>
        <v>0.2766120777891505</v>
      </c>
    </row>
    <row r="24" spans="1:12" s="4" customFormat="1" ht="28.5" customHeight="1">
      <c r="A24" s="49"/>
      <c r="B24" s="50">
        <v>80197</v>
      </c>
      <c r="C24" s="60" t="s">
        <v>43</v>
      </c>
      <c r="D24" s="61">
        <v>123950</v>
      </c>
      <c r="E24" s="61">
        <v>123950</v>
      </c>
      <c r="F24" s="61">
        <v>49855</v>
      </c>
      <c r="G24" s="61">
        <v>6200</v>
      </c>
      <c r="H24" s="113">
        <f t="shared" si="0"/>
        <v>0.40221863654699475</v>
      </c>
      <c r="I24" s="62">
        <v>123950</v>
      </c>
      <c r="J24" s="62">
        <v>123950</v>
      </c>
      <c r="K24" s="62">
        <v>50155</v>
      </c>
      <c r="L24" s="113">
        <f t="shared" si="1"/>
        <v>0.4046389673255345</v>
      </c>
    </row>
    <row r="25" spans="1:12" s="4" customFormat="1" ht="27.75" customHeight="1">
      <c r="A25" s="46"/>
      <c r="B25" s="47">
        <v>80197</v>
      </c>
      <c r="C25" s="36" t="s">
        <v>38</v>
      </c>
      <c r="D25" s="35">
        <v>1412280</v>
      </c>
      <c r="E25" s="35">
        <v>1412280</v>
      </c>
      <c r="F25" s="35">
        <v>537922</v>
      </c>
      <c r="G25" s="35">
        <v>1200</v>
      </c>
      <c r="H25" s="109">
        <f t="shared" si="0"/>
        <v>0.3808890588268615</v>
      </c>
      <c r="I25" s="37">
        <v>1412280</v>
      </c>
      <c r="J25" s="37">
        <v>1412280</v>
      </c>
      <c r="K25" s="37">
        <v>530669</v>
      </c>
      <c r="L25" s="109">
        <f t="shared" si="1"/>
        <v>0.3757533916787039</v>
      </c>
    </row>
    <row r="26" spans="1:12" s="4" customFormat="1" ht="27.75" customHeight="1">
      <c r="A26" s="46"/>
      <c r="B26" s="47">
        <v>80197</v>
      </c>
      <c r="C26" s="36" t="s">
        <v>41</v>
      </c>
      <c r="D26" s="35">
        <v>65920</v>
      </c>
      <c r="E26" s="35">
        <v>65920</v>
      </c>
      <c r="F26" s="35">
        <v>15784</v>
      </c>
      <c r="G26" s="35">
        <v>1350</v>
      </c>
      <c r="H26" s="109">
        <f t="shared" si="0"/>
        <v>0.23944174757281553</v>
      </c>
      <c r="I26" s="37">
        <v>65920</v>
      </c>
      <c r="J26" s="37">
        <v>65920</v>
      </c>
      <c r="K26" s="37">
        <v>42565</v>
      </c>
      <c r="L26" s="109">
        <f t="shared" si="1"/>
        <v>0.6457069174757282</v>
      </c>
    </row>
    <row r="27" spans="1:12" s="4" customFormat="1" ht="25.5">
      <c r="A27" s="49"/>
      <c r="B27" s="50">
        <v>80197</v>
      </c>
      <c r="C27" s="54" t="s">
        <v>16</v>
      </c>
      <c r="D27" s="51">
        <v>148550</v>
      </c>
      <c r="E27" s="51">
        <v>148550</v>
      </c>
      <c r="F27" s="51">
        <v>16146</v>
      </c>
      <c r="G27" s="51">
        <v>6650</v>
      </c>
      <c r="H27" s="111">
        <f t="shared" si="0"/>
        <v>0.10869067653988557</v>
      </c>
      <c r="I27" s="52">
        <v>148550</v>
      </c>
      <c r="J27" s="52">
        <v>148550</v>
      </c>
      <c r="K27" s="52">
        <v>19501</v>
      </c>
      <c r="L27" s="111">
        <f t="shared" si="1"/>
        <v>0.1312756647593403</v>
      </c>
    </row>
    <row r="28" spans="1:32" s="42" customFormat="1" ht="19.5" customHeight="1">
      <c r="A28" s="55">
        <v>854</v>
      </c>
      <c r="B28" s="56"/>
      <c r="C28" s="57" t="s">
        <v>17</v>
      </c>
      <c r="D28" s="58">
        <f>D29</f>
        <v>109800</v>
      </c>
      <c r="E28" s="58">
        <f>E29</f>
        <v>109800</v>
      </c>
      <c r="F28" s="58">
        <f>F29</f>
        <v>41272</v>
      </c>
      <c r="G28" s="58">
        <f>G29</f>
        <v>16500</v>
      </c>
      <c r="H28" s="112">
        <f t="shared" si="0"/>
        <v>0.3758834244080146</v>
      </c>
      <c r="I28" s="59">
        <f>I29</f>
        <v>109800</v>
      </c>
      <c r="J28" s="59">
        <f>J29</f>
        <v>109800</v>
      </c>
      <c r="K28" s="59">
        <f>K29</f>
        <v>49967</v>
      </c>
      <c r="L28" s="112">
        <f t="shared" si="1"/>
        <v>0.4550728597449909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12" s="4" customFormat="1" ht="39" customHeight="1">
      <c r="A29" s="46"/>
      <c r="B29" s="50">
        <v>85497</v>
      </c>
      <c r="C29" s="60" t="s">
        <v>45</v>
      </c>
      <c r="D29" s="61">
        <v>109800</v>
      </c>
      <c r="E29" s="61">
        <v>109800</v>
      </c>
      <c r="F29" s="61">
        <v>41272</v>
      </c>
      <c r="G29" s="61">
        <v>16500</v>
      </c>
      <c r="H29" s="113">
        <f t="shared" si="0"/>
        <v>0.3758834244080146</v>
      </c>
      <c r="I29" s="62">
        <v>109800</v>
      </c>
      <c r="J29" s="62">
        <v>109800</v>
      </c>
      <c r="K29" s="62">
        <v>49967</v>
      </c>
      <c r="L29" s="113">
        <f t="shared" si="1"/>
        <v>0.4550728597449909</v>
      </c>
    </row>
    <row r="30" spans="1:32" s="67" customFormat="1" ht="19.5" customHeight="1">
      <c r="A30" s="63"/>
      <c r="B30" s="64"/>
      <c r="C30" s="65" t="s">
        <v>18</v>
      </c>
      <c r="D30" s="66">
        <f>D31+D33+D39+D46</f>
        <v>14184442</v>
      </c>
      <c r="E30" s="66">
        <f>E31+E33+E39+E46</f>
        <v>14943446</v>
      </c>
      <c r="F30" s="66">
        <f>F31+F33+F39+F46</f>
        <v>8106188</v>
      </c>
      <c r="G30" s="66"/>
      <c r="H30" s="114">
        <f t="shared" si="0"/>
        <v>0.5424577436824144</v>
      </c>
      <c r="I30" s="66">
        <f>I31+I33+I39+I46</f>
        <v>14180813</v>
      </c>
      <c r="J30" s="66">
        <f>J31+J33+J39+J46</f>
        <v>15272861</v>
      </c>
      <c r="K30" s="66">
        <f>K31+K33+K39+K46</f>
        <v>6569500</v>
      </c>
      <c r="L30" s="114">
        <f t="shared" si="1"/>
        <v>0.4301420670298774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32" s="42" customFormat="1" ht="19.5" customHeight="1">
      <c r="A31" s="58">
        <v>750</v>
      </c>
      <c r="B31" s="56"/>
      <c r="C31" s="57" t="s">
        <v>44</v>
      </c>
      <c r="D31" s="58">
        <f>D32</f>
        <v>3560000</v>
      </c>
      <c r="E31" s="58">
        <f>E32</f>
        <v>3683621</v>
      </c>
      <c r="F31" s="58">
        <f>F32</f>
        <v>1748704</v>
      </c>
      <c r="G31" s="58"/>
      <c r="H31" s="112">
        <f t="shared" si="0"/>
        <v>0.47472419122379855</v>
      </c>
      <c r="I31" s="58">
        <f>I32</f>
        <v>3556611</v>
      </c>
      <c r="J31" s="58">
        <f>J32</f>
        <v>3763533</v>
      </c>
      <c r="K31" s="58">
        <f>K32</f>
        <v>402170</v>
      </c>
      <c r="L31" s="112">
        <f t="shared" si="1"/>
        <v>0.10685969805499247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12" s="4" customFormat="1" ht="26.25" customHeight="1">
      <c r="A32" s="68"/>
      <c r="B32" s="69">
        <v>75023</v>
      </c>
      <c r="C32" s="70" t="s">
        <v>32</v>
      </c>
      <c r="D32" s="68">
        <f>3500000+60000</f>
        <v>3560000</v>
      </c>
      <c r="E32" s="68">
        <f>163150+3500000+9871+10600</f>
        <v>3683621</v>
      </c>
      <c r="F32" s="68">
        <f>149808+1588316+10580</f>
        <v>1748704</v>
      </c>
      <c r="G32" s="68"/>
      <c r="H32" s="115">
        <f t="shared" si="0"/>
        <v>0.47472419122379855</v>
      </c>
      <c r="I32" s="71">
        <f>3500000+56611</f>
        <v>3556611</v>
      </c>
      <c r="J32" s="68">
        <f>237625+3500000+9871+16037</f>
        <v>3763533</v>
      </c>
      <c r="K32" s="71">
        <f>204960+181994+15216</f>
        <v>402170</v>
      </c>
      <c r="L32" s="115">
        <f t="shared" si="1"/>
        <v>0.10685969805499247</v>
      </c>
    </row>
    <row r="33" spans="1:32" s="67" customFormat="1" ht="18" customHeight="1">
      <c r="A33" s="58">
        <v>801</v>
      </c>
      <c r="B33" s="56"/>
      <c r="C33" s="57" t="s">
        <v>12</v>
      </c>
      <c r="D33" s="58">
        <f>SUM(D34:D38)</f>
        <v>974674</v>
      </c>
      <c r="E33" s="58">
        <f>SUM(E34:E38)</f>
        <v>1200813</v>
      </c>
      <c r="F33" s="58">
        <f>SUM(F34:F38)</f>
        <v>794824</v>
      </c>
      <c r="G33" s="58"/>
      <c r="H33" s="112">
        <f t="shared" si="0"/>
        <v>0.6619048927684826</v>
      </c>
      <c r="I33" s="58">
        <f>SUM(I34:I38)</f>
        <v>974674</v>
      </c>
      <c r="J33" s="58">
        <f>SUM(J34:J38)</f>
        <v>1202699</v>
      </c>
      <c r="K33" s="58">
        <f>SUM(K34:K38)</f>
        <v>524606</v>
      </c>
      <c r="L33" s="112">
        <f t="shared" si="1"/>
        <v>0.43619060130589615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1:12" s="4" customFormat="1" ht="18.75" customHeight="1">
      <c r="A34" s="72"/>
      <c r="B34" s="74">
        <v>80101</v>
      </c>
      <c r="C34" s="75" t="s">
        <v>19</v>
      </c>
      <c r="D34" s="30">
        <v>104068</v>
      </c>
      <c r="E34" s="30">
        <f>53530+193895</f>
        <v>247425</v>
      </c>
      <c r="F34" s="30">
        <f>53530+118584</f>
        <v>172114</v>
      </c>
      <c r="G34" s="30"/>
      <c r="H34" s="116">
        <f t="shared" si="0"/>
        <v>0.695620895220774</v>
      </c>
      <c r="I34" s="34">
        <v>104068</v>
      </c>
      <c r="J34" s="34">
        <f>91620+151218</f>
        <v>242838</v>
      </c>
      <c r="K34" s="34">
        <f>40898+53369</f>
        <v>94267</v>
      </c>
      <c r="L34" s="116">
        <f t="shared" si="1"/>
        <v>0.3881888337080688</v>
      </c>
    </row>
    <row r="35" spans="1:12" s="4" customFormat="1" ht="18.75" customHeight="1">
      <c r="A35" s="73"/>
      <c r="B35" s="76">
        <v>80110</v>
      </c>
      <c r="C35" s="53" t="s">
        <v>34</v>
      </c>
      <c r="D35" s="38">
        <v>68320</v>
      </c>
      <c r="E35" s="38">
        <f>101680+13508</f>
        <v>115188</v>
      </c>
      <c r="F35" s="38">
        <f>73235+13507</f>
        <v>86742</v>
      </c>
      <c r="G35" s="40"/>
      <c r="H35" s="118">
        <f t="shared" si="0"/>
        <v>0.7530471924158767</v>
      </c>
      <c r="I35" s="40">
        <v>68320</v>
      </c>
      <c r="J35" s="40">
        <f>83352+13844</f>
        <v>97196</v>
      </c>
      <c r="K35" s="40">
        <f>25582+11830</f>
        <v>37412</v>
      </c>
      <c r="L35" s="118">
        <f t="shared" si="1"/>
        <v>0.3849129593810445</v>
      </c>
    </row>
    <row r="36" spans="1:12" s="4" customFormat="1" ht="18.75" customHeight="1">
      <c r="A36" s="73"/>
      <c r="B36" s="76">
        <v>80120</v>
      </c>
      <c r="C36" s="53" t="s">
        <v>20</v>
      </c>
      <c r="D36" s="38">
        <v>47800</v>
      </c>
      <c r="E36" s="38">
        <f>49057+6630</f>
        <v>55687</v>
      </c>
      <c r="F36" s="38">
        <f>16604+6630</f>
        <v>23234</v>
      </c>
      <c r="G36" s="40"/>
      <c r="H36" s="118">
        <f t="shared" si="0"/>
        <v>0.4172248460143301</v>
      </c>
      <c r="I36" s="40">
        <v>47800</v>
      </c>
      <c r="J36" s="40">
        <f>54266+15230</f>
        <v>69496</v>
      </c>
      <c r="K36" s="40">
        <f>11177+8207</f>
        <v>19384</v>
      </c>
      <c r="L36" s="118">
        <f t="shared" si="1"/>
        <v>0.2789225279152757</v>
      </c>
    </row>
    <row r="37" spans="1:12" s="4" customFormat="1" ht="18.75" customHeight="1">
      <c r="A37" s="73"/>
      <c r="B37" s="76">
        <v>80130</v>
      </c>
      <c r="C37" s="53" t="s">
        <v>35</v>
      </c>
      <c r="D37" s="38">
        <v>237550</v>
      </c>
      <c r="E37" s="38">
        <f>254844+10733</f>
        <v>265577</v>
      </c>
      <c r="F37" s="38">
        <f>155441+10733</f>
        <v>166174</v>
      </c>
      <c r="G37" s="38"/>
      <c r="H37" s="110">
        <f t="shared" si="0"/>
        <v>0.6257093046461102</v>
      </c>
      <c r="I37" s="40">
        <v>237550</v>
      </c>
      <c r="J37" s="40">
        <f>265500+10733</f>
        <v>276233</v>
      </c>
      <c r="K37" s="40">
        <f>132602+1987</f>
        <v>134589</v>
      </c>
      <c r="L37" s="110">
        <f t="shared" si="1"/>
        <v>0.48722998338359286</v>
      </c>
    </row>
    <row r="38" spans="1:12" s="4" customFormat="1" ht="36.75" customHeight="1">
      <c r="A38" s="61"/>
      <c r="B38" s="50">
        <v>80140</v>
      </c>
      <c r="C38" s="60" t="s">
        <v>46</v>
      </c>
      <c r="D38" s="61">
        <v>516936</v>
      </c>
      <c r="E38" s="61">
        <v>516936</v>
      </c>
      <c r="F38" s="61">
        <v>346560</v>
      </c>
      <c r="G38" s="61"/>
      <c r="H38" s="113">
        <f t="shared" si="0"/>
        <v>0.6704118111332931</v>
      </c>
      <c r="I38" s="62">
        <v>516936</v>
      </c>
      <c r="J38" s="62">
        <v>516936</v>
      </c>
      <c r="K38" s="62">
        <v>238954</v>
      </c>
      <c r="L38" s="113">
        <f t="shared" si="1"/>
        <v>0.4622506461147995</v>
      </c>
    </row>
    <row r="39" spans="1:32" s="42" customFormat="1" ht="19.5" customHeight="1">
      <c r="A39" s="58">
        <v>853</v>
      </c>
      <c r="B39" s="56"/>
      <c r="C39" s="77" t="s">
        <v>22</v>
      </c>
      <c r="D39" s="78">
        <f>SUM(D40:D43)</f>
        <v>507150</v>
      </c>
      <c r="E39" s="127">
        <f>SUM(E40:E45)</f>
        <v>569423</v>
      </c>
      <c r="F39" s="127">
        <f>SUM(F40:F45)</f>
        <v>297975</v>
      </c>
      <c r="G39" s="59"/>
      <c r="H39" s="117">
        <f t="shared" si="0"/>
        <v>0.5232928771756673</v>
      </c>
      <c r="I39" s="59">
        <f>SUM(I40:I43)</f>
        <v>507400</v>
      </c>
      <c r="J39" s="127">
        <f>SUM(J40:J45)</f>
        <v>655351</v>
      </c>
      <c r="K39" s="127">
        <f>SUM(K40:K45)</f>
        <v>291362</v>
      </c>
      <c r="L39" s="117">
        <f t="shared" si="1"/>
        <v>0.4445892353868385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1:12" s="4" customFormat="1" ht="18.75" customHeight="1">
      <c r="A40" s="72"/>
      <c r="B40" s="74">
        <v>85301</v>
      </c>
      <c r="C40" s="32" t="s">
        <v>23</v>
      </c>
      <c r="D40" s="79">
        <v>7150</v>
      </c>
      <c r="E40" s="30">
        <f>7150+3182+15311+11967+18636</f>
        <v>56246</v>
      </c>
      <c r="F40" s="30">
        <f>2633+3181+15311+11967+18636</f>
        <v>51728</v>
      </c>
      <c r="G40" s="34"/>
      <c r="H40" s="106">
        <f t="shared" si="0"/>
        <v>0.9196742879493653</v>
      </c>
      <c r="I40" s="34">
        <v>7300</v>
      </c>
      <c r="J40" s="34">
        <f>7338+4667+14522+60000+49100</f>
        <v>135627</v>
      </c>
      <c r="K40" s="34">
        <f>2665+2908+14522+13350+8390</f>
        <v>41835</v>
      </c>
      <c r="L40" s="106">
        <f t="shared" si="1"/>
        <v>0.3084562808290385</v>
      </c>
    </row>
    <row r="41" spans="1:12" s="4" customFormat="1" ht="18.75" customHeight="1">
      <c r="A41" s="73"/>
      <c r="B41" s="76">
        <v>85302</v>
      </c>
      <c r="C41" s="53" t="s">
        <v>33</v>
      </c>
      <c r="D41" s="38">
        <v>12500</v>
      </c>
      <c r="E41" s="38">
        <f>12500+7302+2196+700</f>
        <v>22698</v>
      </c>
      <c r="F41" s="38">
        <f>5148+7302+2196+700</f>
        <v>15346</v>
      </c>
      <c r="G41" s="40"/>
      <c r="H41" s="118">
        <f t="shared" si="0"/>
        <v>0.6760948101154287</v>
      </c>
      <c r="I41" s="40">
        <v>12600</v>
      </c>
      <c r="J41" s="40">
        <f>12600+7302+2000+2030</f>
        <v>23932</v>
      </c>
      <c r="K41" s="40">
        <f>2002+7302+1886+394</f>
        <v>11584</v>
      </c>
      <c r="L41" s="118">
        <f t="shared" si="1"/>
        <v>0.484038107972589</v>
      </c>
    </row>
    <row r="42" spans="1:12" s="4" customFormat="1" ht="18.75" customHeight="1">
      <c r="A42" s="73"/>
      <c r="B42" s="76">
        <v>85303</v>
      </c>
      <c r="C42" s="53" t="s">
        <v>37</v>
      </c>
      <c r="D42" s="38">
        <v>187500</v>
      </c>
      <c r="E42" s="38">
        <f>187500+1626</f>
        <v>189126</v>
      </c>
      <c r="F42" s="38">
        <f>83145+1626</f>
        <v>84771</v>
      </c>
      <c r="G42" s="40"/>
      <c r="H42" s="118">
        <f t="shared" si="0"/>
        <v>0.4482249928619016</v>
      </c>
      <c r="I42" s="40">
        <v>187500</v>
      </c>
      <c r="J42" s="40">
        <f>187500+3234</f>
        <v>190734</v>
      </c>
      <c r="K42" s="40">
        <f>88305+1761</f>
        <v>90066</v>
      </c>
      <c r="L42" s="118">
        <f t="shared" si="1"/>
        <v>0.47220736732832114</v>
      </c>
    </row>
    <row r="43" spans="1:12" s="4" customFormat="1" ht="18.75" customHeight="1">
      <c r="A43" s="73"/>
      <c r="B43" s="76">
        <v>85305</v>
      </c>
      <c r="C43" s="53" t="s">
        <v>24</v>
      </c>
      <c r="D43" s="38">
        <v>300000</v>
      </c>
      <c r="E43" s="38">
        <v>301000</v>
      </c>
      <c r="F43" s="38">
        <f>144784+1000</f>
        <v>145784</v>
      </c>
      <c r="G43" s="40"/>
      <c r="H43" s="118">
        <f t="shared" si="0"/>
        <v>0.48433222591362124</v>
      </c>
      <c r="I43" s="40">
        <v>300000</v>
      </c>
      <c r="J43" s="40">
        <v>301000</v>
      </c>
      <c r="K43" s="40">
        <f>146887+900</f>
        <v>147787</v>
      </c>
      <c r="L43" s="118">
        <f t="shared" si="1"/>
        <v>0.49098671096345514</v>
      </c>
    </row>
    <row r="44" spans="1:12" s="4" customFormat="1" ht="18.75" customHeight="1">
      <c r="A44" s="73"/>
      <c r="B44" s="47">
        <v>85319</v>
      </c>
      <c r="C44" s="36" t="s">
        <v>61</v>
      </c>
      <c r="D44" s="35"/>
      <c r="E44" s="35">
        <v>253</v>
      </c>
      <c r="F44" s="35">
        <v>253</v>
      </c>
      <c r="G44" s="35"/>
      <c r="H44" s="109">
        <f t="shared" si="0"/>
        <v>1</v>
      </c>
      <c r="I44" s="37"/>
      <c r="J44" s="37">
        <v>254</v>
      </c>
      <c r="K44" s="37"/>
      <c r="L44" s="109"/>
    </row>
    <row r="45" spans="1:12" s="4" customFormat="1" ht="18.75" customHeight="1">
      <c r="A45" s="61"/>
      <c r="B45" s="81">
        <v>85326</v>
      </c>
      <c r="C45" s="54" t="s">
        <v>62</v>
      </c>
      <c r="D45" s="51"/>
      <c r="E45" s="51">
        <v>100</v>
      </c>
      <c r="F45" s="61">
        <v>93</v>
      </c>
      <c r="G45" s="51"/>
      <c r="H45" s="113">
        <f t="shared" si="0"/>
        <v>0.93</v>
      </c>
      <c r="I45" s="52"/>
      <c r="J45" s="52">
        <v>3804</v>
      </c>
      <c r="K45" s="52">
        <v>90</v>
      </c>
      <c r="L45" s="113">
        <f t="shared" si="1"/>
        <v>0.02365930599369085</v>
      </c>
    </row>
    <row r="46" spans="1:32" s="67" customFormat="1" ht="19.5" customHeight="1">
      <c r="A46" s="58">
        <v>854</v>
      </c>
      <c r="B46" s="56"/>
      <c r="C46" s="57" t="s">
        <v>17</v>
      </c>
      <c r="D46" s="58">
        <f>SUM(D47:D50)</f>
        <v>9142618</v>
      </c>
      <c r="E46" s="58">
        <f>SUM(E47:E50)</f>
        <v>9489589</v>
      </c>
      <c r="F46" s="58">
        <f>SUM(F47:F50)</f>
        <v>5264685</v>
      </c>
      <c r="G46" s="58"/>
      <c r="H46" s="112">
        <f t="shared" si="0"/>
        <v>0.5547853547714238</v>
      </c>
      <c r="I46" s="59">
        <f>SUM(I47:I50)</f>
        <v>9142128</v>
      </c>
      <c r="J46" s="59">
        <f>SUM(J47:J50)</f>
        <v>9651278</v>
      </c>
      <c r="K46" s="59">
        <f>SUM(K47:K50)</f>
        <v>5351362</v>
      </c>
      <c r="L46" s="112">
        <f t="shared" si="1"/>
        <v>0.5544718533649119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1:12" s="4" customFormat="1" ht="24.75" customHeight="1">
      <c r="A47" s="73"/>
      <c r="B47" s="76">
        <v>85403</v>
      </c>
      <c r="C47" s="53" t="s">
        <v>39</v>
      </c>
      <c r="D47" s="38">
        <v>88300</v>
      </c>
      <c r="E47" s="38">
        <f>120150+48296</f>
        <v>168446</v>
      </c>
      <c r="F47" s="38">
        <f>35150+48294</f>
        <v>83444</v>
      </c>
      <c r="G47" s="38"/>
      <c r="H47" s="110">
        <f t="shared" si="0"/>
        <v>0.49537537252294506</v>
      </c>
      <c r="I47" s="40">
        <v>88300</v>
      </c>
      <c r="J47" s="40">
        <f>127645+58073</f>
        <v>185718</v>
      </c>
      <c r="K47" s="40">
        <f>42597+46244</f>
        <v>88841</v>
      </c>
      <c r="L47" s="110">
        <f t="shared" si="1"/>
        <v>0.4783650480836537</v>
      </c>
    </row>
    <row r="48" spans="1:12" s="4" customFormat="1" ht="18.75" customHeight="1">
      <c r="A48" s="73"/>
      <c r="B48" s="76">
        <v>85404</v>
      </c>
      <c r="C48" s="53" t="s">
        <v>40</v>
      </c>
      <c r="D48" s="38">
        <v>3289830</v>
      </c>
      <c r="E48" s="38">
        <f>3289830+1000+815</f>
        <v>3291645</v>
      </c>
      <c r="F48" s="38">
        <f>1906925+815</f>
        <v>1907740</v>
      </c>
      <c r="G48" s="40"/>
      <c r="H48" s="118">
        <f t="shared" si="0"/>
        <v>0.5795703971722346</v>
      </c>
      <c r="I48" s="40">
        <v>3289830</v>
      </c>
      <c r="J48" s="40">
        <f>3289830+1000+4344</f>
        <v>3295174</v>
      </c>
      <c r="K48" s="40">
        <f>1898890+907</f>
        <v>1899797</v>
      </c>
      <c r="L48" s="118">
        <f t="shared" si="1"/>
        <v>0.5765392055169165</v>
      </c>
    </row>
    <row r="49" spans="1:12" s="4" customFormat="1" ht="18.75" customHeight="1">
      <c r="A49" s="73"/>
      <c r="B49" s="47">
        <v>85407</v>
      </c>
      <c r="C49" s="36" t="s">
        <v>25</v>
      </c>
      <c r="D49" s="35">
        <v>7700</v>
      </c>
      <c r="E49" s="35">
        <f>35023</f>
        <v>35023</v>
      </c>
      <c r="F49" s="35">
        <f>33861</f>
        <v>33861</v>
      </c>
      <c r="G49" s="35"/>
      <c r="H49" s="109">
        <f t="shared" si="0"/>
        <v>0.9668218028152928</v>
      </c>
      <c r="I49" s="37">
        <v>7700</v>
      </c>
      <c r="J49" s="37">
        <f>39422+757</f>
        <v>40179</v>
      </c>
      <c r="K49" s="37">
        <f>34725</f>
        <v>34725</v>
      </c>
      <c r="L49" s="109">
        <f t="shared" si="1"/>
        <v>0.8642574479205555</v>
      </c>
    </row>
    <row r="50" spans="1:12" s="4" customFormat="1" ht="18.75" customHeight="1">
      <c r="A50" s="61"/>
      <c r="B50" s="81">
        <v>85495</v>
      </c>
      <c r="C50" s="54" t="s">
        <v>36</v>
      </c>
      <c r="D50" s="51">
        <v>5756788</v>
      </c>
      <c r="E50" s="51">
        <f>5982217+12258</f>
        <v>5994475</v>
      </c>
      <c r="F50" s="51">
        <f>3227382+12258</f>
        <v>3239640</v>
      </c>
      <c r="G50" s="51"/>
      <c r="H50" s="111">
        <f t="shared" si="0"/>
        <v>0.5404376530054759</v>
      </c>
      <c r="I50" s="52">
        <v>5756298</v>
      </c>
      <c r="J50" s="52">
        <f>6110541+19666</f>
        <v>6130207</v>
      </c>
      <c r="K50" s="52">
        <f>3314961+13038</f>
        <v>3327999</v>
      </c>
      <c r="L50" s="111">
        <f t="shared" si="1"/>
        <v>0.542885256566377</v>
      </c>
    </row>
    <row r="51" spans="1:12" s="4" customFormat="1" ht="27" customHeight="1" thickBot="1">
      <c r="A51" s="82"/>
      <c r="B51" s="83"/>
      <c r="C51" s="84" t="s">
        <v>42</v>
      </c>
      <c r="D51" s="82">
        <f aca="true" t="shared" si="2" ref="D51:E53">D52</f>
        <v>2620</v>
      </c>
      <c r="E51" s="82">
        <f t="shared" si="2"/>
        <v>2620</v>
      </c>
      <c r="F51" s="82">
        <f>F52</f>
        <v>834</v>
      </c>
      <c r="G51" s="82"/>
      <c r="H51" s="119">
        <f t="shared" si="0"/>
        <v>0.3183206106870229</v>
      </c>
      <c r="I51" s="82">
        <f aca="true" t="shared" si="3" ref="I51:J53">I52</f>
        <v>2620</v>
      </c>
      <c r="J51" s="82">
        <f t="shared" si="3"/>
        <v>2620</v>
      </c>
      <c r="K51" s="82">
        <f>K52</f>
        <v>666</v>
      </c>
      <c r="L51" s="119">
        <f t="shared" si="1"/>
        <v>0.25419847328244277</v>
      </c>
    </row>
    <row r="52" spans="1:12" s="4" customFormat="1" ht="19.5" customHeight="1" thickTop="1">
      <c r="A52" s="100"/>
      <c r="B52" s="101"/>
      <c r="C52" s="86" t="s">
        <v>18</v>
      </c>
      <c r="D52" s="97">
        <f t="shared" si="2"/>
        <v>2620</v>
      </c>
      <c r="E52" s="97">
        <f t="shared" si="2"/>
        <v>2620</v>
      </c>
      <c r="F52" s="97">
        <f>F53</f>
        <v>834</v>
      </c>
      <c r="G52" s="86"/>
      <c r="H52" s="120">
        <f t="shared" si="0"/>
        <v>0.3183206106870229</v>
      </c>
      <c r="I52" s="97">
        <f t="shared" si="3"/>
        <v>2620</v>
      </c>
      <c r="J52" s="97">
        <f t="shared" si="3"/>
        <v>2620</v>
      </c>
      <c r="K52" s="97">
        <f>K53</f>
        <v>666</v>
      </c>
      <c r="L52" s="120">
        <f t="shared" si="1"/>
        <v>0.25419847328244277</v>
      </c>
    </row>
    <row r="53" spans="1:12" s="4" customFormat="1" ht="19.5" customHeight="1">
      <c r="A53" s="58">
        <v>801</v>
      </c>
      <c r="B53" s="56"/>
      <c r="C53" s="77" t="s">
        <v>12</v>
      </c>
      <c r="D53" s="98">
        <f t="shared" si="2"/>
        <v>2620</v>
      </c>
      <c r="E53" s="98">
        <f t="shared" si="2"/>
        <v>2620</v>
      </c>
      <c r="F53" s="98">
        <f>F54</f>
        <v>834</v>
      </c>
      <c r="G53" s="77"/>
      <c r="H53" s="121">
        <f t="shared" si="0"/>
        <v>0.3183206106870229</v>
      </c>
      <c r="I53" s="98">
        <f t="shared" si="3"/>
        <v>2620</v>
      </c>
      <c r="J53" s="98">
        <f t="shared" si="3"/>
        <v>2620</v>
      </c>
      <c r="K53" s="98">
        <f>K54</f>
        <v>666</v>
      </c>
      <c r="L53" s="121">
        <f t="shared" si="1"/>
        <v>0.25419847328244277</v>
      </c>
    </row>
    <row r="54" spans="1:12" s="4" customFormat="1" ht="19.5" customHeight="1">
      <c r="A54" s="72"/>
      <c r="B54" s="69">
        <v>80132</v>
      </c>
      <c r="C54" s="96" t="s">
        <v>21</v>
      </c>
      <c r="D54" s="99">
        <v>2620</v>
      </c>
      <c r="E54" s="99">
        <v>2620</v>
      </c>
      <c r="F54" s="99">
        <v>834</v>
      </c>
      <c r="G54" s="96"/>
      <c r="H54" s="122">
        <f t="shared" si="0"/>
        <v>0.3183206106870229</v>
      </c>
      <c r="I54" s="99">
        <v>2620</v>
      </c>
      <c r="J54" s="99">
        <v>2620</v>
      </c>
      <c r="K54" s="99">
        <v>666</v>
      </c>
      <c r="L54" s="122">
        <f t="shared" si="1"/>
        <v>0.25419847328244277</v>
      </c>
    </row>
    <row r="55" spans="1:12" s="4" customFormat="1" ht="21" customHeight="1" thickBot="1">
      <c r="A55" s="82"/>
      <c r="B55" s="83"/>
      <c r="C55" s="84" t="s">
        <v>26</v>
      </c>
      <c r="D55" s="82">
        <f>D56</f>
        <v>645000</v>
      </c>
      <c r="E55" s="82">
        <f>E56</f>
        <v>665005</v>
      </c>
      <c r="F55" s="82">
        <f>F56</f>
        <v>312354</v>
      </c>
      <c r="G55" s="82"/>
      <c r="H55" s="119">
        <f t="shared" si="0"/>
        <v>0.4697017315659281</v>
      </c>
      <c r="I55" s="82">
        <f>I56</f>
        <v>647828</v>
      </c>
      <c r="J55" s="82">
        <f>J56</f>
        <v>667833</v>
      </c>
      <c r="K55" s="82">
        <f>K56</f>
        <v>335741</v>
      </c>
      <c r="L55" s="119">
        <f t="shared" si="1"/>
        <v>0.5027319704177542</v>
      </c>
    </row>
    <row r="56" spans="1:32" s="42" customFormat="1" ht="19.5" customHeight="1" thickTop="1">
      <c r="A56" s="63"/>
      <c r="B56" s="85"/>
      <c r="C56" s="86" t="s">
        <v>18</v>
      </c>
      <c r="D56" s="63">
        <f>SUM(D57:D58)</f>
        <v>645000</v>
      </c>
      <c r="E56" s="63">
        <f>SUM(E57:E58)</f>
        <v>665005</v>
      </c>
      <c r="F56" s="63">
        <f>SUM(F57:F58)</f>
        <v>312354</v>
      </c>
      <c r="G56" s="63"/>
      <c r="H56" s="123">
        <f t="shared" si="0"/>
        <v>0.4697017315659281</v>
      </c>
      <c r="I56" s="63">
        <f>SUM(I57:I58)</f>
        <v>647828</v>
      </c>
      <c r="J56" s="63">
        <f>SUM(J57:J58)</f>
        <v>667833</v>
      </c>
      <c r="K56" s="63">
        <f>SUM(K57:K58)</f>
        <v>335741</v>
      </c>
      <c r="L56" s="123">
        <f t="shared" si="1"/>
        <v>0.5027319704177542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:12" s="4" customFormat="1" ht="19.5" customHeight="1">
      <c r="A57" s="49" t="s">
        <v>27</v>
      </c>
      <c r="B57" s="91" t="s">
        <v>28</v>
      </c>
      <c r="C57" s="80" t="s">
        <v>29</v>
      </c>
      <c r="D57" s="61">
        <v>45000</v>
      </c>
      <c r="E57" s="61">
        <v>45000</v>
      </c>
      <c r="F57" s="61">
        <v>11580</v>
      </c>
      <c r="G57" s="61"/>
      <c r="H57" s="113">
        <f t="shared" si="0"/>
        <v>0.25733333333333336</v>
      </c>
      <c r="I57" s="62">
        <v>46700</v>
      </c>
      <c r="J57" s="61">
        <v>46700</v>
      </c>
      <c r="K57" s="62">
        <v>57628</v>
      </c>
      <c r="L57" s="113">
        <f t="shared" si="1"/>
        <v>1.2340042826552462</v>
      </c>
    </row>
    <row r="58" spans="1:12" s="4" customFormat="1" ht="24.75" customHeight="1">
      <c r="A58" s="68">
        <v>754</v>
      </c>
      <c r="B58" s="50">
        <v>75411</v>
      </c>
      <c r="C58" s="80" t="s">
        <v>30</v>
      </c>
      <c r="D58" s="61">
        <v>600000</v>
      </c>
      <c r="E58" s="61">
        <v>620005</v>
      </c>
      <c r="F58" s="61">
        <f>280770+20004</f>
        <v>300774</v>
      </c>
      <c r="G58" s="61"/>
      <c r="H58" s="113">
        <f t="shared" si="0"/>
        <v>0.48511544261739825</v>
      </c>
      <c r="I58" s="62">
        <v>601128</v>
      </c>
      <c r="J58" s="61">
        <v>621133</v>
      </c>
      <c r="K58" s="62">
        <f>261850+16263</f>
        <v>278113</v>
      </c>
      <c r="L58" s="113">
        <f t="shared" si="1"/>
        <v>0.44775112576533527</v>
      </c>
    </row>
    <row r="59" spans="1:6" s="4" customFormat="1" ht="12.75">
      <c r="A59" s="1"/>
      <c r="B59" s="2"/>
      <c r="C59" s="3"/>
      <c r="F59" s="5"/>
    </row>
    <row r="60" spans="1:6" s="4" customFormat="1" ht="12.75">
      <c r="A60" s="1"/>
      <c r="B60" s="2"/>
      <c r="C60" s="3"/>
      <c r="F60" s="5"/>
    </row>
    <row r="61" spans="1:12" s="4" customFormat="1" ht="12.75">
      <c r="A61" s="1"/>
      <c r="B61" s="2"/>
      <c r="C61" s="3"/>
      <c r="F61" s="5"/>
      <c r="J61" s="152" t="s">
        <v>64</v>
      </c>
      <c r="K61" s="152"/>
      <c r="L61" s="152"/>
    </row>
    <row r="62" spans="1:12" s="4" customFormat="1" ht="12.75">
      <c r="A62" s="1"/>
      <c r="B62" s="2"/>
      <c r="C62" s="3"/>
      <c r="F62" s="5"/>
      <c r="J62" s="152" t="s">
        <v>65</v>
      </c>
      <c r="K62" s="152"/>
      <c r="L62" s="152"/>
    </row>
    <row r="63" spans="1:6" s="4" customFormat="1" ht="12.75">
      <c r="A63" s="1"/>
      <c r="B63" s="2"/>
      <c r="C63" s="3"/>
      <c r="F63" s="5"/>
    </row>
    <row r="64" spans="1:6" s="4" customFormat="1" ht="12.75">
      <c r="A64" s="1"/>
      <c r="B64" s="2"/>
      <c r="C64" s="3"/>
      <c r="F64" s="5"/>
    </row>
    <row r="65" spans="1:6" s="4" customFormat="1" ht="12.75">
      <c r="A65" s="1"/>
      <c r="B65" s="2"/>
      <c r="C65" s="3"/>
      <c r="F65" s="5"/>
    </row>
    <row r="66" spans="1:6" s="4" customFormat="1" ht="12.75">
      <c r="A66" s="1"/>
      <c r="B66" s="2"/>
      <c r="C66" s="3"/>
      <c r="F66" s="5"/>
    </row>
    <row r="67" spans="1:6" s="4" customFormat="1" ht="12.75">
      <c r="A67" s="1"/>
      <c r="B67" s="2"/>
      <c r="C67" s="3"/>
      <c r="F67" s="5"/>
    </row>
    <row r="68" spans="1:6" s="4" customFormat="1" ht="12.75">
      <c r="A68" s="1"/>
      <c r="B68" s="2"/>
      <c r="C68" s="3"/>
      <c r="F68" s="5"/>
    </row>
    <row r="69" spans="1:6" s="4" customFormat="1" ht="12.75">
      <c r="A69" s="1"/>
      <c r="B69" s="2"/>
      <c r="C69" s="3"/>
      <c r="F69" s="5"/>
    </row>
    <row r="70" spans="1:6" s="4" customFormat="1" ht="12.75">
      <c r="A70" s="1"/>
      <c r="B70" s="2"/>
      <c r="C70" s="3"/>
      <c r="F70" s="5"/>
    </row>
    <row r="71" spans="1:6" s="4" customFormat="1" ht="12.75">
      <c r="A71" s="1"/>
      <c r="B71" s="2"/>
      <c r="C71" s="3"/>
      <c r="F71" s="5"/>
    </row>
    <row r="72" spans="1:6" s="4" customFormat="1" ht="12.75">
      <c r="A72" s="1"/>
      <c r="B72" s="2"/>
      <c r="C72" s="3"/>
      <c r="F72" s="5"/>
    </row>
    <row r="73" spans="1:6" s="4" customFormat="1" ht="12.75">
      <c r="A73" s="1"/>
      <c r="B73" s="2"/>
      <c r="C73" s="3"/>
      <c r="F73" s="5"/>
    </row>
    <row r="74" spans="1:6" s="4" customFormat="1" ht="12.75">
      <c r="A74" s="1"/>
      <c r="B74" s="2"/>
      <c r="C74" s="3"/>
      <c r="F74" s="5"/>
    </row>
    <row r="75" spans="1:6" s="4" customFormat="1" ht="12.75">
      <c r="A75" s="1"/>
      <c r="B75" s="2"/>
      <c r="C75" s="3"/>
      <c r="F75" s="5"/>
    </row>
    <row r="76" spans="1:6" s="4" customFormat="1" ht="12.75">
      <c r="A76" s="1"/>
      <c r="B76" s="2"/>
      <c r="C76" s="3"/>
      <c r="F76" s="5"/>
    </row>
    <row r="77" spans="1:6" s="4" customFormat="1" ht="12.75">
      <c r="A77" s="1"/>
      <c r="B77" s="2"/>
      <c r="C77" s="3"/>
      <c r="F77" s="5"/>
    </row>
    <row r="78" spans="1:6" s="4" customFormat="1" ht="12.75">
      <c r="A78" s="1"/>
      <c r="B78" s="2"/>
      <c r="C78" s="3"/>
      <c r="F78" s="5"/>
    </row>
    <row r="79" spans="1:6" s="4" customFormat="1" ht="12.75">
      <c r="A79" s="1"/>
      <c r="B79" s="2"/>
      <c r="C79" s="3"/>
      <c r="F79" s="5"/>
    </row>
    <row r="80" spans="1:6" s="4" customFormat="1" ht="12.75">
      <c r="A80" s="1"/>
      <c r="B80" s="2"/>
      <c r="C80" s="3"/>
      <c r="F80" s="5"/>
    </row>
    <row r="81" spans="1:6" s="4" customFormat="1" ht="12.75">
      <c r="A81" s="1"/>
      <c r="B81" s="2"/>
      <c r="C81" s="3"/>
      <c r="F81" s="5"/>
    </row>
    <row r="82" spans="1:6" s="4" customFormat="1" ht="12.75">
      <c r="A82" s="1"/>
      <c r="B82" s="2"/>
      <c r="C82" s="3"/>
      <c r="F82" s="5"/>
    </row>
    <row r="83" spans="1:6" s="4" customFormat="1" ht="12.75">
      <c r="A83" s="1"/>
      <c r="B83" s="2"/>
      <c r="C83" s="3"/>
      <c r="F83" s="5"/>
    </row>
    <row r="84" spans="1:6" s="4" customFormat="1" ht="12.75">
      <c r="A84" s="1"/>
      <c r="B84" s="2"/>
      <c r="C84" s="3"/>
      <c r="F84" s="5"/>
    </row>
    <row r="85" spans="1:6" s="4" customFormat="1" ht="12.75">
      <c r="A85" s="1"/>
      <c r="B85" s="2"/>
      <c r="C85" s="3"/>
      <c r="F85" s="5"/>
    </row>
    <row r="86" spans="1:6" s="4" customFormat="1" ht="12.75">
      <c r="A86" s="1"/>
      <c r="B86" s="2"/>
      <c r="C86" s="3"/>
      <c r="F86" s="5"/>
    </row>
    <row r="87" spans="1:6" s="4" customFormat="1" ht="12.75">
      <c r="A87" s="1"/>
      <c r="B87" s="2"/>
      <c r="C87" s="3"/>
      <c r="F87" s="5"/>
    </row>
    <row r="88" spans="1:6" s="4" customFormat="1" ht="12.75">
      <c r="A88" s="1"/>
      <c r="B88" s="2"/>
      <c r="C88" s="3"/>
      <c r="F88" s="5"/>
    </row>
    <row r="89" spans="1:6" s="4" customFormat="1" ht="12.75">
      <c r="A89" s="1"/>
      <c r="B89" s="2"/>
      <c r="C89" s="3"/>
      <c r="F89" s="5"/>
    </row>
    <row r="90" spans="1:6" s="4" customFormat="1" ht="12.75">
      <c r="A90" s="1"/>
      <c r="B90" s="2"/>
      <c r="C90" s="3"/>
      <c r="F90" s="5"/>
    </row>
    <row r="91" spans="1:6" s="4" customFormat="1" ht="12.75">
      <c r="A91" s="1"/>
      <c r="B91" s="2"/>
      <c r="C91" s="3"/>
      <c r="F91" s="5"/>
    </row>
    <row r="92" spans="1:6" s="4" customFormat="1" ht="12.75">
      <c r="A92" s="1"/>
      <c r="B92" s="2"/>
      <c r="C92" s="3"/>
      <c r="F92" s="5"/>
    </row>
    <row r="93" spans="1:6" s="4" customFormat="1" ht="12.75">
      <c r="A93" s="1"/>
      <c r="B93" s="2"/>
      <c r="C93" s="3"/>
      <c r="F93" s="5"/>
    </row>
    <row r="94" spans="1:6" s="4" customFormat="1" ht="12.75">
      <c r="A94" s="1"/>
      <c r="B94" s="2"/>
      <c r="C94" s="3"/>
      <c r="F94" s="5"/>
    </row>
    <row r="95" spans="1:6" s="4" customFormat="1" ht="12.75">
      <c r="A95" s="1"/>
      <c r="B95" s="2"/>
      <c r="C95" s="3"/>
      <c r="F95" s="5"/>
    </row>
    <row r="96" spans="1:6" s="4" customFormat="1" ht="12.75">
      <c r="A96" s="1"/>
      <c r="B96" s="2"/>
      <c r="C96" s="3"/>
      <c r="F96" s="5"/>
    </row>
    <row r="97" spans="1:6" s="4" customFormat="1" ht="12.75">
      <c r="A97" s="1"/>
      <c r="B97" s="2"/>
      <c r="C97" s="3"/>
      <c r="F97" s="5"/>
    </row>
    <row r="98" spans="1:6" s="4" customFormat="1" ht="12.75">
      <c r="A98" s="1"/>
      <c r="B98" s="2"/>
      <c r="C98" s="3"/>
      <c r="F98" s="5"/>
    </row>
    <row r="99" spans="1:6" s="4" customFormat="1" ht="12.75">
      <c r="A99" s="1"/>
      <c r="B99" s="2"/>
      <c r="C99" s="3"/>
      <c r="F99" s="5"/>
    </row>
    <row r="100" spans="1:6" s="4" customFormat="1" ht="12.75">
      <c r="A100" s="1"/>
      <c r="B100" s="2"/>
      <c r="C100" s="3"/>
      <c r="F100" s="5"/>
    </row>
    <row r="101" spans="1:6" s="4" customFormat="1" ht="12.75">
      <c r="A101" s="1"/>
      <c r="B101" s="2"/>
      <c r="C101" s="3"/>
      <c r="F101" s="5"/>
    </row>
  </sheetData>
  <mergeCells count="15">
    <mergeCell ref="J61:L61"/>
    <mergeCell ref="J62:L62"/>
    <mergeCell ref="H8:H9"/>
    <mergeCell ref="F8:G8"/>
    <mergeCell ref="C7:C9"/>
    <mergeCell ref="A7:A9"/>
    <mergeCell ref="B7:B9"/>
    <mergeCell ref="D7:H7"/>
    <mergeCell ref="D8:D9"/>
    <mergeCell ref="E8:E9"/>
    <mergeCell ref="L8:L9"/>
    <mergeCell ref="I7:K7"/>
    <mergeCell ref="I8:I9"/>
    <mergeCell ref="J8:J9"/>
    <mergeCell ref="K8:K9"/>
  </mergeCells>
  <printOptions/>
  <pageMargins left="0.5905511811023623" right="0.5905511811023623" top="0.7480314960629921" bottom="0.7480314960629921" header="0.5118110236220472" footer="0.5118110236220472"/>
  <pageSetup firstPageNumber="240" useFirstPageNumber="1" horizontalDpi="300" verticalDpi="300" orientation="landscape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Finansowy</dc:creator>
  <cp:keywords/>
  <dc:description/>
  <cp:lastModifiedBy>um</cp:lastModifiedBy>
  <cp:lastPrinted>2003-08-14T12:18:17Z</cp:lastPrinted>
  <dcterms:created xsi:type="dcterms:W3CDTF">2000-11-06T16:35:03Z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