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496" activeTab="0"/>
  </bookViews>
  <sheets>
    <sheet name="wydatki - uchwała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Titles" localSheetId="0">'wydatki - uchwała'!$10:$10</definedName>
  </definedNames>
  <calcPr fullCalcOnLoad="1"/>
</workbook>
</file>

<file path=xl/sharedStrings.xml><?xml version="1.0" encoding="utf-8"?>
<sst xmlns="http://schemas.openxmlformats.org/spreadsheetml/2006/main" count="498" uniqueCount="302">
  <si>
    <t>Treść</t>
  </si>
  <si>
    <t>Rozdz.</t>
  </si>
  <si>
    <t>Pozostała działalność</t>
  </si>
  <si>
    <t>porządkowanie targowisk, handlu ulicznego</t>
  </si>
  <si>
    <t>inwestycje</t>
  </si>
  <si>
    <t xml:space="preserve">Handel </t>
  </si>
  <si>
    <t>z tego:</t>
  </si>
  <si>
    <t>Wydatki na zadania własne</t>
  </si>
  <si>
    <t>Lokalny transport zbiorowy</t>
  </si>
  <si>
    <t>Drogi publiczne w miastach na prawach powiatu</t>
  </si>
  <si>
    <t>Drogi publiczne gminne</t>
  </si>
  <si>
    <t>remonty dróg</t>
  </si>
  <si>
    <t>bieżące utrzymanie dróg</t>
  </si>
  <si>
    <t>Turystyka</t>
  </si>
  <si>
    <t>Ośrodki informacji turystycznej</t>
  </si>
  <si>
    <t>Zadania w zakresie upowszechniania turystyki</t>
  </si>
  <si>
    <t>Gospodarka mieszkaniowa</t>
  </si>
  <si>
    <t>Zakłady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</si>
  <si>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</si>
  <si>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</si>
  <si>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</si>
  <si>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</si>
  <si>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</si>
  <si>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</si>
  <si>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</si>
  <si>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</si>
  <si>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Komendy powiatowe Policji</t>
  </si>
  <si>
    <t>Ochotnicze straże pożarne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</si>
  <si>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</si>
  <si>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</si>
  <si>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</si>
  <si>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</si>
  <si>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</si>
  <si>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Prywatyzacja</t>
  </si>
  <si>
    <t>Oświata i wychowanie</t>
  </si>
  <si>
    <t>Szkoły podstawowe</t>
  </si>
  <si>
    <t>wynagrodzenia osobowe</t>
  </si>
  <si>
    <t>wydatki rzeczowe</t>
  </si>
  <si>
    <t>pochodne od wynagrodzeń</t>
  </si>
  <si>
    <t>Szkoły podstawowe specjalne</t>
  </si>
  <si>
    <t>Gimnazja</t>
  </si>
  <si>
    <t>Dowożenie uczniów do szkół</t>
  </si>
  <si>
    <t>Szkoły zawodowe specjalne</t>
  </si>
  <si>
    <t>Lecznictwo ambulatoryjne</t>
  </si>
  <si>
    <t>Ochrona zdrowia</t>
  </si>
  <si>
    <t>Programy polityki zdrowotnej</t>
  </si>
  <si>
    <t>Przeciwdziałanie alkoholizmowi</t>
  </si>
  <si>
    <t>Opieka społeczna</t>
  </si>
  <si>
    <t>Placówki opiekuńczo-wychowacze</t>
  </si>
  <si>
    <t>Domy pomocy społecznej</t>
  </si>
  <si>
    <t>Ośrodki wsparcia</t>
  </si>
  <si>
    <t>Żłobki</t>
  </si>
  <si>
    <t>Dodatki mieszkaniowe</t>
  </si>
  <si>
    <t>Ośrodki adopcyjno-opiekuńcze</t>
  </si>
  <si>
    <t>Usługi opiekuńcze i specjalistyczne usługi opiekuńcze</t>
  </si>
  <si>
    <t>Powiatowe urzędy pracy</t>
  </si>
  <si>
    <t>Edukacyjna opieka wychowawcza</t>
  </si>
  <si>
    <t>Świetlice szkolne</t>
  </si>
  <si>
    <t>Przedszkola specjalne</t>
  </si>
  <si>
    <t>Placówki wychowania pozaszkolnego</t>
  </si>
  <si>
    <t>Internaty i bursy szkolne</t>
  </si>
  <si>
    <t>Gospodarstwa pomocnicze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</si>
  <si>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</si>
  <si>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</si>
  <si>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</si>
  <si>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</si>
  <si>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</si>
  <si>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</si>
  <si>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Teatry dramatyczne i lalkowe</t>
  </si>
  <si>
    <t>Domy i ośrodki kultury, świetlice i kluby</t>
  </si>
  <si>
    <t>Galerie i biura wystaw artystycznych</t>
  </si>
  <si>
    <t>Ochrona i konserwacja zabytków</t>
  </si>
  <si>
    <t>Kultura fizyczna i sport</t>
  </si>
  <si>
    <t>Obiekty sportowe</t>
  </si>
  <si>
    <t>Instytucje kultury fizycznej</t>
  </si>
  <si>
    <t>Wydatki na zadania zlecone</t>
  </si>
  <si>
    <t>Gospodarka komunalna i ochrona środowiska</t>
  </si>
  <si>
    <t>Urzędy wojewódzkie</t>
  </si>
  <si>
    <t>Obrona cywilna</t>
  </si>
  <si>
    <t>koszty prowadzenia i aktualizowania rejestru wyborców</t>
  </si>
  <si>
    <t>Wydatki na zadania z zakresu administracji rządowej wykonywane przez powiat</t>
  </si>
  <si>
    <t>010</t>
  </si>
  <si>
    <t>Rolnictwo i łowiectwo</t>
  </si>
  <si>
    <t>01021</t>
  </si>
  <si>
    <t>Inspekcja Weterynaryjna</t>
  </si>
  <si>
    <t>Prace geodezyjne i kartograficzne (nieinwestycyjne)</t>
  </si>
  <si>
    <t>020</t>
  </si>
  <si>
    <t>Leśnictwo</t>
  </si>
  <si>
    <t>zadania w zakresie nadzoru nad lasami</t>
  </si>
  <si>
    <t>700</t>
  </si>
  <si>
    <t>gospodarka nieruchomościami</t>
  </si>
  <si>
    <t>Rodziny zastępcze</t>
  </si>
  <si>
    <t>świadczenia społeczne</t>
  </si>
  <si>
    <t>Nadzór budowlany</t>
  </si>
  <si>
    <t>Komisje poborowe</t>
  </si>
  <si>
    <t>(nazwa działu, rozdziału, zadania)</t>
  </si>
  <si>
    <t>usługi opiekuńcze</t>
  </si>
  <si>
    <t>dodatki mieszkaniowe</t>
  </si>
  <si>
    <t>w tym z budżetu miasta</t>
  </si>
  <si>
    <t>usługi komunikacyjne w zakresie transportu zbiorowego</t>
  </si>
  <si>
    <t>wydatki majątkowe</t>
  </si>
  <si>
    <t>eksploatacja bieżąca i konserwacja kanalizacji deszczowej</t>
  </si>
  <si>
    <t>utrzymanie fontanny na Placu Litewskim</t>
  </si>
  <si>
    <t>dofinansowanie utrzymania wodociągów wiejskich</t>
  </si>
  <si>
    <t>bieżące utrzymanie Zbiornika Zemborzyckiego</t>
  </si>
  <si>
    <t>zimowe oczyszczanie miasta</t>
  </si>
  <si>
    <t>letnie oczyszczanie miasta</t>
  </si>
  <si>
    <t>eksploatacja składowiska odpadów komunalnych w Rokitnie</t>
  </si>
  <si>
    <t>konserwacja i utrzymanie szaletów miejskich</t>
  </si>
  <si>
    <t>wywóz nieczystości stałych</t>
  </si>
  <si>
    <t>prace porządkowe doraźne</t>
  </si>
  <si>
    <t>zakup materiałów i wyposażenia do parków, skwerów i placów zabaw</t>
  </si>
  <si>
    <t>utrzymanie, konserwacja i renowacja zieleni</t>
  </si>
  <si>
    <t>prowadzenie schroniska dla zwierząt</t>
  </si>
  <si>
    <t>oświetlenie dróg</t>
  </si>
  <si>
    <t>koszty rozbiórek budynków</t>
  </si>
  <si>
    <t>ogłoszenia prasowe</t>
  </si>
  <si>
    <t>koszty funkcjonowania Miejskiej Komisji Urbanistyczno-Architektonicznej</t>
  </si>
  <si>
    <t>wydatki związane z promocją miasta</t>
  </si>
  <si>
    <t>dofinansowanie Straży Pożarnej</t>
  </si>
  <si>
    <t>wydatki Ochotniczej Straży Pożarnej w Głusku i OSP - Ratownictwo Wodne w Lublinie</t>
  </si>
  <si>
    <t>wydatki związane ze sprzedażą spółek</t>
  </si>
  <si>
    <t>rezerwa budżetowa</t>
  </si>
  <si>
    <t>dotacje dla niepublicznych szkół podstawowych</t>
  </si>
  <si>
    <t>Szkoły artystyczne</t>
  </si>
  <si>
    <t>Centra kształcenia ustawicznego i praktycznego oraz ośrodki dokształcania zawodowego</t>
  </si>
  <si>
    <t>Komisje egzaminacyjne</t>
  </si>
  <si>
    <t>dotacja przedmiotowa na częściowe pokrycie kosztów centralnego ogrzewania warsztatów szkolnych</t>
  </si>
  <si>
    <t>nagrody rzeczowe dla laureatów konkursów i olimpiad przedmiotowych</t>
  </si>
  <si>
    <t>programy zdrowotne</t>
  </si>
  <si>
    <t>zadania realizowane w ramach Gminnego Programu Przeciwdziałania Narkomanii</t>
  </si>
  <si>
    <t>Szkoła Ratownictwa Medyczno - Sanitarnego</t>
  </si>
  <si>
    <t>Specjalne ośrodki szkolno - wychowawcze</t>
  </si>
  <si>
    <t>Pomoc materialna dla uczniów</t>
  </si>
  <si>
    <t>Pozostałe zadania w zakresie kultury</t>
  </si>
  <si>
    <t>nagroda artystyczna</t>
  </si>
  <si>
    <t>upowszechnianie kultury i sztuki</t>
  </si>
  <si>
    <t>Centra kultury i sztuki</t>
  </si>
  <si>
    <t>remonty obiektów zabytkowych</t>
  </si>
  <si>
    <t>Biblioteki</t>
  </si>
  <si>
    <t>dotacja dla gminy Głusk na obsługę biblioteczną mieszkańców Lublina</t>
  </si>
  <si>
    <t>Kultura i ochrona dziedzictwa narodowego</t>
  </si>
  <si>
    <t>utrzymanie komunalnych obiektów sportowych</t>
  </si>
  <si>
    <t>Zadania w zakresie kultury fizycznej i sportu</t>
  </si>
  <si>
    <t>zadania w zakresie upowszechniania kultury fizycznej</t>
  </si>
  <si>
    <t>Zasiłki rodzinne, pielęgnacyjne i wychowawcze</t>
  </si>
  <si>
    <t xml:space="preserve">usługi opiekuńcze </t>
  </si>
  <si>
    <t>dotacja na prowadzenie Środowiskowego Domu Samopomocy "Roztocze" przy ul. Wallenroda</t>
  </si>
  <si>
    <t>świadczenia społeczne dla pracowników Straży Pożarnej</t>
  </si>
  <si>
    <t>dotacja dla Lubelskiego Ośrodka Informacji Turystycznej</t>
  </si>
  <si>
    <t>Gimnazja specjalne</t>
  </si>
  <si>
    <t>dowożenie uczniów do szkół</t>
  </si>
  <si>
    <t>Zwalczanie narkomanii</t>
  </si>
  <si>
    <t>plan zaopatrzenia miasta w nośniki energii</t>
  </si>
  <si>
    <t>opracowania planistyczne, strategia rozwoju miasta i inne</t>
  </si>
  <si>
    <t xml:space="preserve">stypendia oraz inne formy pomocy dla uczniów </t>
  </si>
  <si>
    <t>Dział</t>
  </si>
  <si>
    <t>Urzędy miast i miast na prawach powiatu</t>
  </si>
  <si>
    <t>dotacje dla niepublicznych placówek opiekuńczo-wychowawczych</t>
  </si>
  <si>
    <t>regulacja stanów geodezyjno - prawnych nieruchomości, opracowania geodezyjne</t>
  </si>
  <si>
    <t>wypłata oprocentowania obligacji</t>
  </si>
  <si>
    <t>stypendia dla młodzieży szkół artystycznych</t>
  </si>
  <si>
    <t>bezzwrotna pomoc na remonty dla właścicieli budynków zabytkowych</t>
  </si>
  <si>
    <t>dotacje dla gimnazjów publicznych i niepublicznych</t>
  </si>
  <si>
    <t>Szkolne schroniska młodzieżowe</t>
  </si>
  <si>
    <t>wydatki związane z funkcjonowaniem jednostek pomocniczych  miasta</t>
  </si>
  <si>
    <t xml:space="preserve">dotacja dla Zarządu Nieruchomości Komunalnych </t>
  </si>
  <si>
    <t>dotacja dla MOSiR "Bystrzyca"</t>
  </si>
  <si>
    <t>Wydatki na zadania ustawowo zlecone gminie</t>
  </si>
  <si>
    <t>02002</t>
  </si>
  <si>
    <t>Przedszkola przy szkołach podstawowych</t>
  </si>
  <si>
    <t xml:space="preserve">Szkoły zawodowe </t>
  </si>
  <si>
    <t xml:space="preserve">Przedszkola </t>
  </si>
  <si>
    <t>01030</t>
  </si>
  <si>
    <t xml:space="preserve">Izby rolnicze </t>
  </si>
  <si>
    <t>wpłaty na rzecz Lubelskiej Izby Rolniczej</t>
  </si>
  <si>
    <t>Transport i łączność</t>
  </si>
  <si>
    <t>Drogi wewnętrzne</t>
  </si>
  <si>
    <t xml:space="preserve">Różne jednostki obsługi gospodarki mieszkaniowej </t>
  </si>
  <si>
    <t>Cmentarze</t>
  </si>
  <si>
    <t>utrzymanie cmentarzy komunalnych i urządzeń cmentarnych</t>
  </si>
  <si>
    <t>Pobór podatków, opłat i niepodatkowych należności budżetowych</t>
  </si>
  <si>
    <t>Ośrodki pomocy społecznej</t>
  </si>
  <si>
    <t>Pomoc dla uchodźców</t>
  </si>
  <si>
    <t xml:space="preserve">Nadzór nad gospodarką leśną </t>
  </si>
  <si>
    <t>utrzymanie cmentarza przy ul. Walecznych</t>
  </si>
  <si>
    <t>wynagrodzenie za inkaso opłaty targowej i podatków</t>
  </si>
  <si>
    <t>pokrycie kosztów kształcenia i podnoszenia kwalifikacji osób wykonujących zawody medyczne</t>
  </si>
  <si>
    <t>dofinansowanie schronisk dla bezdomnych</t>
  </si>
  <si>
    <t xml:space="preserve">raport o stanie rodziny </t>
  </si>
  <si>
    <t>konserwacja i obsługa urządzeń oświetlenia</t>
  </si>
  <si>
    <t>nagroda Miasta Lublina za upowszechnianie kultury</t>
  </si>
  <si>
    <t xml:space="preserve">dotacje dla niepublicznych burs i internatów </t>
  </si>
  <si>
    <t>Wydatki budżetu miasta ogółem</t>
  </si>
  <si>
    <t>wydatki związane z utrzymaniem zasobów komunalnych, sprzedażą mienia komunalnego oraz szacunki nieruchomości</t>
  </si>
  <si>
    <t>dotacja na prowadzenie Środowiskowego Domu Samopomocy przy ul. Abramowickiej "Misericordia"</t>
  </si>
  <si>
    <t>wydatki związane z pomocą udzielaną cudzoziemcom posiadającym status uchodźców</t>
  </si>
  <si>
    <t>wydatki związane z pomocą udzielaną repatriantom</t>
  </si>
  <si>
    <t>działalność w ramach Związku Transgranicznego   
"Euroregion Bug"</t>
  </si>
  <si>
    <t>zajęcia sportowo - rekreacyjne w szkołach</t>
  </si>
  <si>
    <t xml:space="preserve">prowadzenie Ośrodka Wsparcia dla Rodzin z Dzieckiem Niepełnosprawnym </t>
  </si>
  <si>
    <t>Składki na ubezpieczenie zdrowotne opłacane za osoby pobierające niektóre świadczenia z pomocy społecznej</t>
  </si>
  <si>
    <t>koszty funkcjonowania komisji egzaminacyjnych</t>
  </si>
  <si>
    <t>Składki na ubezpieczenie zdrowotne oraz świadczenia dla osób nie objętych obowiązkiem ubezpieczenia zdrowotnego</t>
  </si>
  <si>
    <t>wydatki związane z opłacaniem składek na ubezpieczenie zdrowotne osób bezrobotnych bez prawa do zasiłku</t>
  </si>
  <si>
    <t>Zasiłki i pomoc w naturze oraz składki na ubezpieczenia społeczne</t>
  </si>
  <si>
    <t>pomoc materialna dla młodzieży wiejskiej</t>
  </si>
  <si>
    <t xml:space="preserve">dotacje dla przedszkoli publicznych i niepublicznych  </t>
  </si>
  <si>
    <t>dotacje dla niepublicznych ośrodków szkolno-wychowawczych</t>
  </si>
  <si>
    <t>dotacje dla publicznych i niepublicznych szkół zawodowych</t>
  </si>
  <si>
    <t>Licea ogólnokształcące specjalne</t>
  </si>
  <si>
    <t xml:space="preserve">dotacje dla publicznych i niepublicznych liceów </t>
  </si>
  <si>
    <t>Licea ogólnokształcące</t>
  </si>
  <si>
    <t>wydatki związane z akcją "Bezpieczna droga"</t>
  </si>
  <si>
    <t>upowszechnianie turystyki i krajoznawstwa</t>
  </si>
  <si>
    <t>Urzędy naczelnych organów władzy państwowej, kontroli 
i ochrony prawa oraz sądownictwa</t>
  </si>
  <si>
    <t>Urzędy naczelnych organów władzy państwowej, kontroli 
i ochrony prawa</t>
  </si>
  <si>
    <t>sfinansowanie wydatków związanych z przygotowaniem 
i przeprowadzeniem poboru do wojska</t>
  </si>
  <si>
    <t>organizacja wypoczynku letniego i zimowego dla dzieci 
i młodzieży</t>
  </si>
  <si>
    <t xml:space="preserve">fundusz świadczeń socjalnych dla nauczycieli emerytów 
i rencistów byłych pracowników placówek opiekuńczo-wychowawczych </t>
  </si>
  <si>
    <t>zadania realizowane w ramach Gminnego Programu Profilaktyki 
i Rozwiązywania Problemów Alkoholowych</t>
  </si>
  <si>
    <t>koszty przeprowadzek i przechowywania rzeczy osób eksmitowanych oraz zakwaterowania osób poszkodowanych 
w wypadkach losowych</t>
  </si>
  <si>
    <t xml:space="preserve">Zasiłki i pomoc w naturze oraz składki na ubezpieczenia społeczne </t>
  </si>
  <si>
    <t>pomoc osobom niepełnosprawnym</t>
  </si>
  <si>
    <t>Licea profilowane</t>
  </si>
  <si>
    <t>Dokształcanie i doskonalenie nauczycieli</t>
  </si>
  <si>
    <t>dokształcanie i doskonalenie zawodowe nauczycieli</t>
  </si>
  <si>
    <t>zakup świadczeń zdrowotnych</t>
  </si>
  <si>
    <t>eksploatacja bieżąca i konserwacja zdrojów ulicznych, zbiorników p.poż. i punktów szybkiego napełniania wody, zabezpieczenie ujęcia wodnego</t>
  </si>
  <si>
    <t>odszkodowania</t>
  </si>
  <si>
    <t>dotacje dla publicznych liceów profilowanych</t>
  </si>
  <si>
    <t>Pomoc dla repatriantów</t>
  </si>
  <si>
    <t xml:space="preserve">wydatki związane z pomocą udzielaną repatriantom </t>
  </si>
  <si>
    <t>opłata za korzystanie ze środowiska</t>
  </si>
  <si>
    <t>sprzątanie przystanków i utrzymanie wiat przystankowych</t>
  </si>
  <si>
    <t>konserwacja urządzeń małej architektury ogrodowej w parkach, na skwerach i miejskich placach zabaw</t>
  </si>
  <si>
    <t>utrzymanie miejsc pamięci narodowej</t>
  </si>
  <si>
    <t>rezerwa na uruchomienie od 1 września 2003 roku drugiego segmentu dydaktycznego w Zespole Szkół Nr 5 oraz segmentu administracyjnego i stołówek w szkołach podstawowych: 
Nr 51 i Nr 52</t>
  </si>
  <si>
    <t>pokrycie straty bilansowej w MPK Lublin Sp. z o.o.</t>
  </si>
  <si>
    <t xml:space="preserve">rezerwa na wydatki związane z usuwaniem skutków klęsk żywiołowych </t>
  </si>
  <si>
    <t>dotacja dla Teatru H. Ch. Andersena</t>
  </si>
  <si>
    <t>dotacja dla Dzielnicowego Domu Kultury "Bronowice"</t>
  </si>
  <si>
    <t>dotacja dla Ośrodka "Brama Grodzka - Teatr NN"</t>
  </si>
  <si>
    <t>dotacja dla Biura Wystaw Artystycznych</t>
  </si>
  <si>
    <t>dotacja dla Centrum Kultury</t>
  </si>
  <si>
    <t xml:space="preserve">dotacja dla Miejskiej Biblioteki Publicznej </t>
  </si>
  <si>
    <t>wydatki z zakresu obrony cywilnej</t>
  </si>
  <si>
    <t>składki na ubezpieczenie zdrowotne osób korzystających 
ze świadczeń pomocy społecznej</t>
  </si>
  <si>
    <t>wydatki związane z utrzymaniem zespołu do spraw orzekania 
o niepełnosprawności</t>
  </si>
  <si>
    <t>rewaloryzacja zabytków, z tego:</t>
  </si>
  <si>
    <t>modernizacja ewidencji gruntów w obrębach przyłączonych 
do miasta Lublina</t>
  </si>
  <si>
    <t>wydatki związane z opłacaniem składek na ubezpieczenie zdrowotne uczniów oraz wychowanków placówek opiekuńczo-wychowawczych</t>
  </si>
  <si>
    <t>wydatki na inwestycje w zakresie oświetlenia dróg krajowych, wojewódzkich i powiatowych</t>
  </si>
  <si>
    <t>dotacja na prowadzenie Ośrodka Wsparcia 
przy ul. Bronowickiej</t>
  </si>
  <si>
    <t>dotacja na zakupy inwestycyjne dla Ośrodka Wsparcia 
przy ul. Bronowickiej</t>
  </si>
  <si>
    <t>konserwacja rowów i urządzeń melioracyjnych w Parku Ludowym</t>
  </si>
  <si>
    <t>pomoc finansowa dla gminy Lubartów na inwestycje</t>
  </si>
  <si>
    <t>system monitoringu w mieście</t>
  </si>
  <si>
    <t>konserwacja i utrzymanie rowów odwadniających</t>
  </si>
  <si>
    <t xml:space="preserve">wydatki na zakupy inwestycyjne dla zespołu do spraw orzekania 
o niepełnosprawności </t>
  </si>
  <si>
    <t>przeciwdziałanie bezrobociu i aktywizacja lokalnego rynku pracy</t>
  </si>
  <si>
    <t>wydatki Miejskiego Inspektoratu Weterynarii związane z rocznymi przeglądami prac restrukturyzacyjnych w zakładach deklarujących dostosowanie się do wymogów Unii Europejskiej</t>
  </si>
  <si>
    <t>wydatki związane z funkcjonowaniem Rady Miasta</t>
  </si>
  <si>
    <t xml:space="preserve">odsetki od pożyczek i kredytów </t>
  </si>
  <si>
    <t xml:space="preserve">realizacja zadań wynikających z uchwalonej przez Radę Miasta strategii działań na rzecz osób niepełnosprawnych </t>
  </si>
  <si>
    <t xml:space="preserve">Wydatki </t>
  </si>
  <si>
    <t>%                  6:5</t>
  </si>
  <si>
    <t xml:space="preserve">dofinansowanie działań na rzecz utrzymania bezpieczeństwa 
w mieście </t>
  </si>
  <si>
    <t>selektywna zbiórka odpadów</t>
  </si>
  <si>
    <t>wydatki związane z finansowaniem części wyprawki szkolnej</t>
  </si>
  <si>
    <t>Załącznik Nr 2</t>
  </si>
  <si>
    <t>Plan na 2003 rok wg uchwały budżetowej</t>
  </si>
  <si>
    <t>Plan na 2003 rok po zmianach</t>
  </si>
  <si>
    <t>w złotych</t>
  </si>
  <si>
    <t>wydatki związane z utrzymaniem grobów i cmentarzy wojennych</t>
  </si>
  <si>
    <t>Referenda ogólnokrajowe i konstytucyjne</t>
  </si>
  <si>
    <t>koszty przygotowania i przeprowadzenia referendum akcesyjnego</t>
  </si>
  <si>
    <t>dotacja na prowadzenie Środowiskowego Domu Samopomocy przy al. Spółdzielczości Pracy</t>
  </si>
  <si>
    <t>dotacja na zakupy inwestycyjne dla Środowiskowego Domu Samopomocy przy al. Spółdzielczości Pracy</t>
  </si>
  <si>
    <t xml:space="preserve">dotacja na sfinansowanie zakładowego funduszu świadczeń socjalnych dla nauczycieli emerytów i rencistów </t>
  </si>
  <si>
    <t>Zespoły do spraw orzekania o niepełnosprawności</t>
  </si>
  <si>
    <t xml:space="preserve">dożywianie uczniów </t>
  </si>
  <si>
    <t>prowadzenie Banku Żywności</t>
  </si>
  <si>
    <t xml:space="preserve">inwestycje </t>
  </si>
  <si>
    <t>Kolonie i obozy oraz inne formy wypoczynku dzieci 
i młodzieży szkolnej, a także szkolenia młodzieży</t>
  </si>
  <si>
    <t>utrzymanie stołówek szkolnych, z tego:</t>
  </si>
  <si>
    <t>w tym promocja miasta - 28.000 zł</t>
  </si>
  <si>
    <t>w tym środki na prace specjalistyczne i konserwatorskie
w budynkach w obrębie Starego Miasta (w tym remont filii Nr 21 Miejskiej Biblioteki Publicznej)</t>
  </si>
  <si>
    <t>w tym promocja i informacja gospodarcza - 26.310 zł</t>
  </si>
  <si>
    <t>dotacja na prowadzenie Domu Pomocy Społecznej przy 
ul. Dolińskiego</t>
  </si>
  <si>
    <t>dotacja dla Zespołu Pieśni i Tańca "Lublin" im. W. Kaniorowej</t>
  </si>
  <si>
    <t>Towarzystwa budownictwa społecznego</t>
  </si>
  <si>
    <t>Poradnie psychologiczno - pedagogiczne, w tym poradnie specjalistyczne</t>
  </si>
  <si>
    <t>nagrody Prezydenta Miasta Lublin i inne dla zawodników 
i kadry szkoleniowej</t>
  </si>
  <si>
    <t>Wykonanie na 
30 czerwca 
2003 roku</t>
  </si>
  <si>
    <t xml:space="preserve">wydatki związane z obsługą emisji obligacji komunalnych, kredytów 
i pożyczek </t>
  </si>
  <si>
    <t xml:space="preserve">zakładowy fundusz świadczeń socjalnych dla nauczycieli emerytów 
i rencistów </t>
  </si>
  <si>
    <t>Wydatki na zadania realizowane na podstawie porozumień 
i umów</t>
  </si>
  <si>
    <t>utrzymanie Środowiskowego Domu Samopomocy przy 
ul. Gospodarczej, z tego:</t>
  </si>
  <si>
    <t>wydatki związane z oświetleniem dróg krajowych, wojewódzkich 
i powiatowych</t>
  </si>
  <si>
    <t>PREZYDENT MIASTA LUBLIN</t>
  </si>
  <si>
    <t>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</si>
</sst>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i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dotted"/>
      <bottom style="dashed"/>
    </border>
    <border>
      <left style="thin"/>
      <right style="thin"/>
      <top style="thin"/>
      <bottom style="dashed"/>
    </border>
    <border>
      <left style="thin"/>
      <right style="thin"/>
      <top style="hair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3" fontId="7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0" fillId="2" borderId="0" xfId="0" applyFont="1" applyFill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10" fontId="5" fillId="0" borderId="7" xfId="0" applyNumberFormat="1" applyFont="1" applyBorder="1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3" borderId="11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3" borderId="12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14" xfId="0" applyFont="1" applyBorder="1" applyAlignment="1">
      <alignment wrapText="1"/>
    </xf>
    <xf numFmtId="3" fontId="11" fillId="0" borderId="14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15" xfId="0" applyFont="1" applyBorder="1" applyAlignment="1">
      <alignment wrapText="1"/>
    </xf>
    <xf numFmtId="3" fontId="11" fillId="0" borderId="15" xfId="0" applyNumberFormat="1" applyFont="1" applyBorder="1" applyAlignment="1">
      <alignment/>
    </xf>
    <xf numFmtId="0" fontId="8" fillId="3" borderId="11" xfId="0" applyFont="1" applyFill="1" applyBorder="1" applyAlignment="1">
      <alignment/>
    </xf>
    <xf numFmtId="0" fontId="7" fillId="3" borderId="11" xfId="0" applyFont="1" applyFill="1" applyBorder="1" applyAlignment="1">
      <alignment wrapText="1"/>
    </xf>
    <xf numFmtId="3" fontId="7" fillId="3" borderId="11" xfId="0" applyNumberFormat="1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11" fillId="0" borderId="18" xfId="0" applyFont="1" applyBorder="1" applyAlignment="1">
      <alignment wrapText="1"/>
    </xf>
    <xf numFmtId="3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Alignment="1">
      <alignment/>
    </xf>
    <xf numFmtId="3" fontId="11" fillId="0" borderId="5" xfId="0" applyNumberFormat="1" applyFont="1" applyBorder="1" applyAlignment="1">
      <alignment/>
    </xf>
    <xf numFmtId="0" fontId="11" fillId="0" borderId="5" xfId="0" applyFont="1" applyBorder="1" applyAlignment="1">
      <alignment wrapText="1"/>
    </xf>
    <xf numFmtId="0" fontId="11" fillId="0" borderId="15" xfId="0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/>
    </xf>
    <xf numFmtId="0" fontId="11" fillId="0" borderId="17" xfId="0" applyFont="1" applyBorder="1" applyAlignment="1">
      <alignment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wrapText="1"/>
    </xf>
    <xf numFmtId="0" fontId="7" fillId="2" borderId="5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7" fillId="2" borderId="16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3" fontId="11" fillId="2" borderId="17" xfId="0" applyNumberFormat="1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3" fontId="11" fillId="2" borderId="18" xfId="0" applyNumberFormat="1" applyFont="1" applyFill="1" applyBorder="1" applyAlignment="1">
      <alignment/>
    </xf>
    <xf numFmtId="0" fontId="11" fillId="2" borderId="14" xfId="0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0" fontId="11" fillId="2" borderId="15" xfId="0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0" fontId="7" fillId="3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1" fillId="2" borderId="16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49" fontId="7" fillId="3" borderId="3" xfId="0" applyNumberFormat="1" applyFont="1" applyFill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3" xfId="0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3" fontId="11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7" fillId="3" borderId="11" xfId="0" applyFont="1" applyFill="1" applyBorder="1" applyAlignment="1">
      <alignment horizontal="right"/>
    </xf>
    <xf numFmtId="0" fontId="7" fillId="0" borderId="11" xfId="0" applyFont="1" applyBorder="1" applyAlignment="1" quotePrefix="1">
      <alignment horizontal="right"/>
    </xf>
    <xf numFmtId="0" fontId="7" fillId="3" borderId="11" xfId="0" applyFont="1" applyFill="1" applyBorder="1" applyAlignment="1" quotePrefix="1">
      <alignment horizontal="right"/>
    </xf>
    <xf numFmtId="3" fontId="11" fillId="2" borderId="5" xfId="0" applyNumberFormat="1" applyFont="1" applyFill="1" applyBorder="1" applyAlignment="1">
      <alignment/>
    </xf>
    <xf numFmtId="0" fontId="11" fillId="2" borderId="15" xfId="0" applyFont="1" applyFill="1" applyBorder="1" applyAlignment="1">
      <alignment wrapText="1"/>
    </xf>
    <xf numFmtId="10" fontId="4" fillId="0" borderId="0" xfId="0" applyNumberFormat="1" applyFont="1" applyAlignment="1">
      <alignment/>
    </xf>
    <xf numFmtId="10" fontId="7" fillId="0" borderId="8" xfId="0" applyNumberFormat="1" applyFont="1" applyBorder="1" applyAlignment="1">
      <alignment horizontal="right"/>
    </xf>
    <xf numFmtId="10" fontId="7" fillId="3" borderId="3" xfId="0" applyNumberFormat="1" applyFont="1" applyFill="1" applyBorder="1" applyAlignment="1">
      <alignment/>
    </xf>
    <xf numFmtId="10" fontId="7" fillId="0" borderId="11" xfId="0" applyNumberFormat="1" applyFont="1" applyBorder="1" applyAlignment="1">
      <alignment/>
    </xf>
    <xf numFmtId="10" fontId="11" fillId="0" borderId="11" xfId="0" applyNumberFormat="1" applyFont="1" applyBorder="1" applyAlignment="1">
      <alignment/>
    </xf>
    <xf numFmtId="10" fontId="7" fillId="3" borderId="12" xfId="0" applyNumberFormat="1" applyFont="1" applyFill="1" applyBorder="1" applyAlignment="1">
      <alignment/>
    </xf>
    <xf numFmtId="10" fontId="7" fillId="0" borderId="13" xfId="0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10" fontId="7" fillId="3" borderId="11" xfId="0" applyNumberFormat="1" applyFont="1" applyFill="1" applyBorder="1" applyAlignment="1">
      <alignment/>
    </xf>
    <xf numFmtId="10" fontId="11" fillId="0" borderId="17" xfId="0" applyNumberFormat="1" applyFont="1" applyBorder="1" applyAlignment="1">
      <alignment/>
    </xf>
    <xf numFmtId="10" fontId="11" fillId="0" borderId="18" xfId="0" applyNumberFormat="1" applyFont="1" applyBorder="1" applyAlignment="1">
      <alignment/>
    </xf>
    <xf numFmtId="10" fontId="11" fillId="0" borderId="3" xfId="0" applyNumberFormat="1" applyFont="1" applyBorder="1" applyAlignment="1">
      <alignment/>
    </xf>
    <xf numFmtId="10" fontId="7" fillId="0" borderId="3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10" fontId="7" fillId="2" borderId="3" xfId="0" applyNumberFormat="1" applyFont="1" applyFill="1" applyBorder="1" applyAlignment="1">
      <alignment/>
    </xf>
    <xf numFmtId="10" fontId="11" fillId="2" borderId="3" xfId="0" applyNumberFormat="1" applyFont="1" applyFill="1" applyBorder="1" applyAlignment="1">
      <alignment/>
    </xf>
    <xf numFmtId="10" fontId="10" fillId="0" borderId="3" xfId="0" applyNumberFormat="1" applyFont="1" applyBorder="1" applyAlignment="1">
      <alignment/>
    </xf>
    <xf numFmtId="10" fontId="11" fillId="2" borderId="17" xfId="0" applyNumberFormat="1" applyFont="1" applyFill="1" applyBorder="1" applyAlignment="1">
      <alignment/>
    </xf>
    <xf numFmtId="10" fontId="11" fillId="2" borderId="18" xfId="0" applyNumberFormat="1" applyFont="1" applyFill="1" applyBorder="1" applyAlignment="1">
      <alignment/>
    </xf>
    <xf numFmtId="10" fontId="11" fillId="2" borderId="14" xfId="0" applyNumberFormat="1" applyFont="1" applyFill="1" applyBorder="1" applyAlignment="1">
      <alignment/>
    </xf>
    <xf numFmtId="10" fontId="11" fillId="2" borderId="15" xfId="0" applyNumberFormat="1" applyFont="1" applyFill="1" applyBorder="1" applyAlignment="1">
      <alignment/>
    </xf>
    <xf numFmtId="10" fontId="7" fillId="0" borderId="8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10" fontId="11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center" vertical="center"/>
    </xf>
    <xf numFmtId="3" fontId="7" fillId="3" borderId="3" xfId="0" applyNumberFormat="1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19" xfId="0" applyFont="1" applyBorder="1" applyAlignment="1">
      <alignment/>
    </xf>
    <xf numFmtId="3" fontId="11" fillId="0" borderId="19" xfId="0" applyNumberFormat="1" applyFont="1" applyBorder="1" applyAlignment="1">
      <alignment/>
    </xf>
    <xf numFmtId="10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20" xfId="0" applyNumberFormat="1" applyFont="1" applyBorder="1" applyAlignment="1">
      <alignment/>
    </xf>
    <xf numFmtId="10" fontId="11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1" fillId="0" borderId="21" xfId="0" applyNumberFormat="1" applyFont="1" applyBorder="1" applyAlignment="1">
      <alignment/>
    </xf>
    <xf numFmtId="10" fontId="11" fillId="0" borderId="21" xfId="0" applyNumberFormat="1" applyFont="1" applyBorder="1" applyAlignment="1">
      <alignment/>
    </xf>
    <xf numFmtId="0" fontId="11" fillId="0" borderId="22" xfId="0" applyFont="1" applyBorder="1" applyAlignment="1">
      <alignment wrapText="1"/>
    </xf>
    <xf numFmtId="3" fontId="11" fillId="0" borderId="22" xfId="0" applyNumberFormat="1" applyFont="1" applyBorder="1" applyAlignment="1">
      <alignment/>
    </xf>
    <xf numFmtId="10" fontId="11" fillId="0" borderId="22" xfId="0" applyNumberFormat="1" applyFont="1" applyBorder="1" applyAlignment="1">
      <alignment/>
    </xf>
    <xf numFmtId="0" fontId="11" fillId="0" borderId="21" xfId="0" applyFont="1" applyBorder="1" applyAlignment="1">
      <alignment wrapText="1"/>
    </xf>
    <xf numFmtId="3" fontId="11" fillId="0" borderId="16" xfId="0" applyNumberFormat="1" applyFont="1" applyBorder="1" applyAlignment="1">
      <alignment/>
    </xf>
    <xf numFmtId="10" fontId="11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11" fillId="0" borderId="23" xfId="0" applyFont="1" applyBorder="1" applyAlignment="1">
      <alignment wrapText="1"/>
    </xf>
    <xf numFmtId="3" fontId="11" fillId="0" borderId="23" xfId="0" applyNumberFormat="1" applyFont="1" applyBorder="1" applyAlignment="1">
      <alignment/>
    </xf>
    <xf numFmtId="10" fontId="11" fillId="0" borderId="23" xfId="0" applyNumberFormat="1" applyFont="1" applyBorder="1" applyAlignment="1">
      <alignment/>
    </xf>
    <xf numFmtId="0" fontId="11" fillId="2" borderId="18" xfId="0" applyFont="1" applyFill="1" applyBorder="1" applyAlignment="1">
      <alignment wrapText="1"/>
    </xf>
    <xf numFmtId="0" fontId="11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10" fontId="11" fillId="0" borderId="24" xfId="0" applyNumberFormat="1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10" fontId="10" fillId="0" borderId="14" xfId="0" applyNumberFormat="1" applyFont="1" applyBorder="1" applyAlignment="1">
      <alignment/>
    </xf>
    <xf numFmtId="0" fontId="11" fillId="0" borderId="25" xfId="0" applyFont="1" applyBorder="1" applyAlignment="1">
      <alignment wrapText="1"/>
    </xf>
    <xf numFmtId="3" fontId="11" fillId="0" borderId="25" xfId="0" applyNumberFormat="1" applyFont="1" applyBorder="1" applyAlignment="1">
      <alignment/>
    </xf>
    <xf numFmtId="10" fontId="11" fillId="0" borderId="25" xfId="0" applyNumberFormat="1" applyFont="1" applyBorder="1" applyAlignment="1">
      <alignment/>
    </xf>
    <xf numFmtId="10" fontId="0" fillId="0" borderId="6" xfId="0" applyNumberFormat="1" applyFont="1" applyBorder="1" applyAlignment="1">
      <alignment horizontal="center" vertical="center"/>
    </xf>
    <xf numFmtId="10" fontId="11" fillId="2" borderId="5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25" xfId="0" applyFont="1" applyBorder="1" applyAlignment="1">
      <alignment/>
    </xf>
    <xf numFmtId="3" fontId="10" fillId="0" borderId="25" xfId="0" applyNumberFormat="1" applyFont="1" applyBorder="1" applyAlignment="1">
      <alignment/>
    </xf>
    <xf numFmtId="10" fontId="10" fillId="0" borderId="2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/>
    </xf>
    <xf numFmtId="3" fontId="10" fillId="0" borderId="27" xfId="0" applyNumberFormat="1" applyFont="1" applyBorder="1" applyAlignment="1">
      <alignment/>
    </xf>
    <xf numFmtId="10" fontId="10" fillId="0" borderId="28" xfId="0" applyNumberFormat="1" applyFont="1" applyBorder="1" applyAlignment="1">
      <alignment/>
    </xf>
    <xf numFmtId="0" fontId="7" fillId="3" borderId="11" xfId="0" applyFont="1" applyFill="1" applyBorder="1" applyAlignment="1">
      <alignment/>
    </xf>
    <xf numFmtId="49" fontId="7" fillId="3" borderId="11" xfId="0" applyNumberFormat="1" applyFont="1" applyFill="1" applyBorder="1" applyAlignment="1">
      <alignment horizontal="right"/>
    </xf>
    <xf numFmtId="0" fontId="11" fillId="0" borderId="17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0" fontId="11" fillId="0" borderId="16" xfId="0" applyFont="1" applyBorder="1" applyAlignment="1">
      <alignment wrapText="1"/>
    </xf>
    <xf numFmtId="3" fontId="7" fillId="3" borderId="11" xfId="0" applyNumberFormat="1" applyFont="1" applyFill="1" applyBorder="1" applyAlignment="1">
      <alignment wrapText="1"/>
    </xf>
    <xf numFmtId="10" fontId="7" fillId="3" borderId="11" xfId="0" applyNumberFormat="1" applyFont="1" applyFill="1" applyBorder="1" applyAlignment="1">
      <alignment wrapText="1"/>
    </xf>
    <xf numFmtId="0" fontId="11" fillId="0" borderId="29" xfId="0" applyFont="1" applyBorder="1" applyAlignment="1">
      <alignment wrapText="1"/>
    </xf>
    <xf numFmtId="3" fontId="11" fillId="0" borderId="29" xfId="0" applyNumberFormat="1" applyFont="1" applyBorder="1" applyAlignment="1">
      <alignment/>
    </xf>
    <xf numFmtId="10" fontId="11" fillId="0" borderId="29" xfId="0" applyNumberFormat="1" applyFont="1" applyBorder="1" applyAlignment="1">
      <alignment/>
    </xf>
    <xf numFmtId="10" fontId="11" fillId="0" borderId="30" xfId="0" applyNumberFormat="1" applyFont="1" applyBorder="1" applyAlignment="1">
      <alignment/>
    </xf>
    <xf numFmtId="0" fontId="11" fillId="0" borderId="31" xfId="0" applyFont="1" applyBorder="1" applyAlignment="1">
      <alignment/>
    </xf>
    <xf numFmtId="3" fontId="11" fillId="0" borderId="31" xfId="0" applyNumberFormat="1" applyFont="1" applyBorder="1" applyAlignment="1">
      <alignment/>
    </xf>
    <xf numFmtId="10" fontId="11" fillId="0" borderId="31" xfId="0" applyNumberFormat="1" applyFont="1" applyBorder="1" applyAlignment="1">
      <alignment/>
    </xf>
    <xf numFmtId="0" fontId="11" fillId="0" borderId="31" xfId="0" applyFont="1" applyBorder="1" applyAlignment="1">
      <alignment wrapText="1"/>
    </xf>
    <xf numFmtId="0" fontId="11" fillId="0" borderId="31" xfId="0" applyFont="1" applyBorder="1" applyAlignment="1">
      <alignment vertical="top" wrapText="1"/>
    </xf>
    <xf numFmtId="0" fontId="11" fillId="2" borderId="11" xfId="0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10" fontId="11" fillId="2" borderId="11" xfId="0" applyNumberFormat="1" applyFont="1" applyFill="1" applyBorder="1" applyAlignment="1">
      <alignment/>
    </xf>
    <xf numFmtId="0" fontId="7" fillId="3" borderId="11" xfId="0" applyFont="1" applyFill="1" applyBorder="1" applyAlignment="1">
      <alignment vertical="top"/>
    </xf>
    <xf numFmtId="10" fontId="7" fillId="0" borderId="1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22</xdr:row>
      <xdr:rowOff>0</xdr:rowOff>
    </xdr:from>
    <xdr:to>
      <xdr:col>1</xdr:col>
      <xdr:colOff>523875</xdr:colOff>
      <xdr:row>22</xdr:row>
      <xdr:rowOff>0</xdr:rowOff>
    </xdr:to>
    <xdr:sp>
      <xdr:nvSpPr>
        <xdr:cNvPr id="1" name="Arc 1"/>
        <xdr:cNvSpPr>
          <a:spLocks/>
        </xdr:cNvSpPr>
      </xdr:nvSpPr>
      <xdr:spPr>
        <a:xfrm>
          <a:off x="1057275" y="55816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52525" y="55816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30"/>
  <sheetViews>
    <sheetView tabSelected="1" zoomScale="70" zoomScaleNormal="70" workbookViewId="0" topLeftCell="A483">
      <selection activeCell="E496" sqref="E496:G497"/>
    </sheetView>
  </sheetViews>
  <sheetFormatPr defaultColWidth="9.00390625" defaultRowHeight="12.75"/>
  <cols>
    <col min="1" max="1" width="7.00390625" style="2" customWidth="1"/>
    <col min="2" max="2" width="8.125" style="2" customWidth="1"/>
    <col min="3" max="3" width="62.125" style="2" customWidth="1"/>
    <col min="4" max="6" width="18.75390625" style="5" customWidth="1"/>
    <col min="7" max="7" width="14.625" style="107" customWidth="1"/>
    <col min="8" max="8" width="9.125" style="2" customWidth="1"/>
    <col min="9" max="10" width="12.75390625" style="2" bestFit="1" customWidth="1"/>
    <col min="11" max="16384" width="9.125" style="2" customWidth="1"/>
  </cols>
  <sheetData>
    <row r="1" ht="19.5" customHeight="1"/>
    <row r="2" ht="19.5" customHeight="1"/>
    <row r="3" spans="3:6" ht="19.5" customHeight="1">
      <c r="C3" s="3" t="s">
        <v>265</v>
      </c>
      <c r="F3" s="100" t="s">
        <v>270</v>
      </c>
    </row>
    <row r="4" ht="19.5" customHeight="1">
      <c r="C4" s="3"/>
    </row>
    <row r="5" ht="15.75">
      <c r="C5" s="3"/>
    </row>
    <row r="6" ht="15.75" thickBot="1">
      <c r="G6" s="131" t="s">
        <v>273</v>
      </c>
    </row>
    <row r="7" spans="1:7" ht="17.25" customHeight="1" thickTop="1">
      <c r="A7" s="1"/>
      <c r="B7" s="1"/>
      <c r="C7" s="199" t="s">
        <v>0</v>
      </c>
      <c r="D7" s="201" t="s">
        <v>271</v>
      </c>
      <c r="E7" s="204" t="s">
        <v>272</v>
      </c>
      <c r="F7" s="204" t="s">
        <v>294</v>
      </c>
      <c r="G7" s="196" t="s">
        <v>266</v>
      </c>
    </row>
    <row r="8" spans="1:7" ht="22.5" customHeight="1">
      <c r="A8" s="23"/>
      <c r="B8" s="23"/>
      <c r="C8" s="200"/>
      <c r="D8" s="202"/>
      <c r="E8" s="205"/>
      <c r="F8" s="205"/>
      <c r="G8" s="197"/>
    </row>
    <row r="9" spans="1:7" ht="36.75" customHeight="1" thickBot="1">
      <c r="A9" s="7" t="s">
        <v>156</v>
      </c>
      <c r="B9" s="7" t="s">
        <v>1</v>
      </c>
      <c r="C9" s="21" t="s">
        <v>95</v>
      </c>
      <c r="D9" s="203"/>
      <c r="E9" s="206"/>
      <c r="F9" s="206"/>
      <c r="G9" s="198"/>
    </row>
    <row r="10" spans="1:7" s="32" customFormat="1" ht="14.25" customHeight="1" thickBot="1" thickTop="1">
      <c r="A10" s="30"/>
      <c r="B10" s="30">
        <v>2</v>
      </c>
      <c r="C10" s="30">
        <v>3</v>
      </c>
      <c r="D10" s="31">
        <v>4</v>
      </c>
      <c r="E10" s="31">
        <v>5</v>
      </c>
      <c r="F10" s="31">
        <v>6</v>
      </c>
      <c r="G10" s="132">
        <v>7</v>
      </c>
    </row>
    <row r="11" spans="1:10" s="6" customFormat="1" ht="24.75" customHeight="1" thickBot="1" thickTop="1">
      <c r="A11" s="9"/>
      <c r="B11" s="9"/>
      <c r="C11" s="12" t="s">
        <v>193</v>
      </c>
      <c r="D11" s="24">
        <f>D13+D377+D395</f>
        <v>650035225</v>
      </c>
      <c r="E11" s="24">
        <f>E13+E377+E395</f>
        <v>666688246</v>
      </c>
      <c r="F11" s="24">
        <f>F13+F377+F395</f>
        <v>321150680</v>
      </c>
      <c r="G11" s="25">
        <f>F11/E11</f>
        <v>0.48171042751517174</v>
      </c>
      <c r="I11" s="141"/>
      <c r="J11" s="141"/>
    </row>
    <row r="12" spans="1:7" s="6" customFormat="1" ht="19.5" customHeight="1">
      <c r="A12" s="10"/>
      <c r="B12" s="10"/>
      <c r="C12" s="13" t="s">
        <v>6</v>
      </c>
      <c r="D12" s="11"/>
      <c r="E12" s="11"/>
      <c r="F12" s="11"/>
      <c r="G12" s="164"/>
    </row>
    <row r="13" spans="1:10" s="6" customFormat="1" ht="19.5" customHeight="1" thickBot="1">
      <c r="A13" s="8"/>
      <c r="B13" s="8"/>
      <c r="C13" s="14" t="s">
        <v>7</v>
      </c>
      <c r="D13" s="22">
        <f>D20+D23+D37+D43+D59+D68+D83+D97+D103+D109+D178+D193+D251+D306+D342+D366+D14+D17</f>
        <v>593403515</v>
      </c>
      <c r="E13" s="22">
        <f>E20+E23+E37+E43+E59+E68+E83+E97+E103+E109+E178+E193+E251+E306+E342+E366+E14+E17</f>
        <v>609197619</v>
      </c>
      <c r="F13" s="22">
        <f>F20+F23+F37+F43+F59+F68+F83+F97+F103+F109+F178+F193+F251+F306+F342+F366+F14+F17</f>
        <v>291010089</v>
      </c>
      <c r="G13" s="108">
        <f aca="true" t="shared" si="0" ref="G13:G71">F13/E13</f>
        <v>0.477694068269167</v>
      </c>
      <c r="J13" s="141"/>
    </row>
    <row r="14" spans="1:7" s="6" customFormat="1" ht="19.5" customHeight="1" thickTop="1">
      <c r="A14" s="102" t="s">
        <v>81</v>
      </c>
      <c r="B14" s="33"/>
      <c r="C14" s="34" t="s">
        <v>82</v>
      </c>
      <c r="D14" s="35">
        <f aca="true" t="shared" si="1" ref="D14:F15">D15</f>
        <v>10000</v>
      </c>
      <c r="E14" s="35">
        <f t="shared" si="1"/>
        <v>10000</v>
      </c>
      <c r="F14" s="35">
        <f t="shared" si="1"/>
        <v>8879</v>
      </c>
      <c r="G14" s="109">
        <f t="shared" si="0"/>
        <v>0.8879</v>
      </c>
    </row>
    <row r="15" spans="1:7" s="27" customFormat="1" ht="19.5" customHeight="1">
      <c r="A15" s="37"/>
      <c r="B15" s="103" t="s">
        <v>173</v>
      </c>
      <c r="C15" s="38" t="s">
        <v>174</v>
      </c>
      <c r="D15" s="39">
        <f t="shared" si="1"/>
        <v>10000</v>
      </c>
      <c r="E15" s="39">
        <f t="shared" si="1"/>
        <v>10000</v>
      </c>
      <c r="F15" s="39">
        <f t="shared" si="1"/>
        <v>8879</v>
      </c>
      <c r="G15" s="110">
        <f t="shared" si="0"/>
        <v>0.8879</v>
      </c>
    </row>
    <row r="16" spans="1:7" s="28" customFormat="1" ht="19.5" customHeight="1">
      <c r="A16" s="41"/>
      <c r="B16" s="41"/>
      <c r="C16" s="69" t="s">
        <v>175</v>
      </c>
      <c r="D16" s="70">
        <v>10000</v>
      </c>
      <c r="E16" s="70">
        <v>10000</v>
      </c>
      <c r="F16" s="70">
        <v>8879</v>
      </c>
      <c r="G16" s="111">
        <f t="shared" si="0"/>
        <v>0.8879</v>
      </c>
    </row>
    <row r="17" spans="1:7" s="6" customFormat="1" ht="19.5" customHeight="1">
      <c r="A17" s="104" t="s">
        <v>86</v>
      </c>
      <c r="B17" s="33"/>
      <c r="C17" s="34" t="s">
        <v>87</v>
      </c>
      <c r="D17" s="35">
        <f aca="true" t="shared" si="2" ref="D17:F18">D18</f>
        <v>3000</v>
      </c>
      <c r="E17" s="35">
        <f t="shared" si="2"/>
        <v>4000</v>
      </c>
      <c r="F17" s="35">
        <f t="shared" si="2"/>
        <v>2000</v>
      </c>
      <c r="G17" s="109">
        <f t="shared" si="0"/>
        <v>0.5</v>
      </c>
    </row>
    <row r="18" spans="1:7" s="27" customFormat="1" ht="19.5" customHeight="1">
      <c r="A18" s="37"/>
      <c r="B18" s="103" t="s">
        <v>169</v>
      </c>
      <c r="C18" s="38" t="s">
        <v>184</v>
      </c>
      <c r="D18" s="39">
        <f t="shared" si="2"/>
        <v>3000</v>
      </c>
      <c r="E18" s="39">
        <f t="shared" si="2"/>
        <v>4000</v>
      </c>
      <c r="F18" s="39">
        <f t="shared" si="2"/>
        <v>2000</v>
      </c>
      <c r="G18" s="110">
        <f t="shared" si="0"/>
        <v>0.5</v>
      </c>
    </row>
    <row r="19" spans="1:7" s="28" customFormat="1" ht="19.5" customHeight="1">
      <c r="A19" s="41"/>
      <c r="B19" s="41"/>
      <c r="C19" s="69" t="s">
        <v>88</v>
      </c>
      <c r="D19" s="70">
        <v>3000</v>
      </c>
      <c r="E19" s="70">
        <v>4000</v>
      </c>
      <c r="F19" s="70">
        <v>2000</v>
      </c>
      <c r="G19" s="111">
        <f t="shared" si="0"/>
        <v>0.5</v>
      </c>
    </row>
    <row r="20" spans="1:7" s="6" customFormat="1" ht="19.5" customHeight="1">
      <c r="A20" s="33">
        <v>500</v>
      </c>
      <c r="B20" s="33"/>
      <c r="C20" s="34" t="s">
        <v>5</v>
      </c>
      <c r="D20" s="36">
        <f>D21</f>
        <v>6500</v>
      </c>
      <c r="E20" s="36">
        <f>E21</f>
        <v>6500</v>
      </c>
      <c r="F20" s="36">
        <f>F21</f>
        <v>2335</v>
      </c>
      <c r="G20" s="112">
        <f t="shared" si="0"/>
        <v>0.35923076923076924</v>
      </c>
    </row>
    <row r="21" spans="1:7" s="27" customFormat="1" ht="19.5" customHeight="1">
      <c r="A21" s="37"/>
      <c r="B21" s="38">
        <v>50095</v>
      </c>
      <c r="C21" s="38" t="s">
        <v>2</v>
      </c>
      <c r="D21" s="40">
        <f>SUM(D22:D22)</f>
        <v>6500</v>
      </c>
      <c r="E21" s="40">
        <f>SUM(E22:E22)</f>
        <v>6500</v>
      </c>
      <c r="F21" s="40">
        <f>F22</f>
        <v>2335</v>
      </c>
      <c r="G21" s="113">
        <f t="shared" si="0"/>
        <v>0.35923076923076924</v>
      </c>
    </row>
    <row r="22" spans="1:7" s="28" customFormat="1" ht="19.5" customHeight="1">
      <c r="A22" s="41"/>
      <c r="B22" s="41"/>
      <c r="C22" s="42" t="s">
        <v>3</v>
      </c>
      <c r="D22" s="53">
        <v>6500</v>
      </c>
      <c r="E22" s="43">
        <v>6500</v>
      </c>
      <c r="F22" s="43">
        <v>2335</v>
      </c>
      <c r="G22" s="114">
        <f t="shared" si="0"/>
        <v>0.35923076923076924</v>
      </c>
    </row>
    <row r="23" spans="1:7" s="6" customFormat="1" ht="19.5" customHeight="1">
      <c r="A23" s="33">
        <v>600</v>
      </c>
      <c r="B23" s="47"/>
      <c r="C23" s="48" t="s">
        <v>176</v>
      </c>
      <c r="D23" s="49">
        <f>D24+D27+D31+D35</f>
        <v>54787703</v>
      </c>
      <c r="E23" s="49">
        <f>E24+E27+E31+E35</f>
        <v>59287703</v>
      </c>
      <c r="F23" s="49">
        <f>F24+F27+F31+F35</f>
        <v>15749814</v>
      </c>
      <c r="G23" s="115">
        <f t="shared" si="0"/>
        <v>0.26565060211558544</v>
      </c>
    </row>
    <row r="24" spans="1:7" s="29" customFormat="1" ht="19.5" customHeight="1">
      <c r="A24" s="50"/>
      <c r="B24" s="38">
        <v>60004</v>
      </c>
      <c r="C24" s="38" t="s">
        <v>8</v>
      </c>
      <c r="D24" s="39">
        <f>SUM(D25:D26)</f>
        <v>22287703</v>
      </c>
      <c r="E24" s="39">
        <f>SUM(E25:E26)</f>
        <v>22287703</v>
      </c>
      <c r="F24" s="39">
        <f>SUM(F25:F26)</f>
        <v>9150000</v>
      </c>
      <c r="G24" s="110">
        <f t="shared" si="0"/>
        <v>0.41054028761959005</v>
      </c>
    </row>
    <row r="25" spans="1:7" s="29" customFormat="1" ht="19.5" customHeight="1">
      <c r="A25" s="50"/>
      <c r="B25" s="51"/>
      <c r="C25" s="52" t="s">
        <v>99</v>
      </c>
      <c r="D25" s="53">
        <f>15000000-600000</f>
        <v>14400000</v>
      </c>
      <c r="E25" s="53">
        <v>14400000</v>
      </c>
      <c r="F25" s="53">
        <v>8150000</v>
      </c>
      <c r="G25" s="116">
        <f t="shared" si="0"/>
        <v>0.5659722222222222</v>
      </c>
    </row>
    <row r="26" spans="1:7" s="29" customFormat="1" ht="19.5" customHeight="1">
      <c r="A26" s="50"/>
      <c r="B26" s="54"/>
      <c r="C26" s="54" t="s">
        <v>238</v>
      </c>
      <c r="D26" s="55">
        <v>7887703</v>
      </c>
      <c r="E26" s="55">
        <v>7887703</v>
      </c>
      <c r="F26" s="55">
        <v>1000000</v>
      </c>
      <c r="G26" s="118">
        <f t="shared" si="0"/>
        <v>0.12677962139294546</v>
      </c>
    </row>
    <row r="27" spans="1:7" s="29" customFormat="1" ht="19.5" customHeight="1">
      <c r="A27" s="50"/>
      <c r="B27" s="56">
        <v>60015</v>
      </c>
      <c r="C27" s="56" t="s">
        <v>9</v>
      </c>
      <c r="D27" s="57">
        <f>SUM(D28:D30)</f>
        <v>25361000</v>
      </c>
      <c r="E27" s="57">
        <f>SUM(E28:E30)</f>
        <v>29750000</v>
      </c>
      <c r="F27" s="57">
        <f>SUM(F28:F30)</f>
        <v>5906216</v>
      </c>
      <c r="G27" s="119">
        <f t="shared" si="0"/>
        <v>0.19852826890756303</v>
      </c>
    </row>
    <row r="28" spans="1:7" s="29" customFormat="1" ht="19.5" customHeight="1">
      <c r="A28" s="54"/>
      <c r="B28" s="68"/>
      <c r="C28" s="68" t="s">
        <v>12</v>
      </c>
      <c r="D28" s="70">
        <f>4100000+50000</f>
        <v>4150000</v>
      </c>
      <c r="E28" s="70">
        <v>4150000</v>
      </c>
      <c r="F28" s="70">
        <v>1529154</v>
      </c>
      <c r="G28" s="111">
        <f t="shared" si="0"/>
        <v>0.36847084337349395</v>
      </c>
    </row>
    <row r="29" spans="1:7" s="29" customFormat="1" ht="19.5" customHeight="1">
      <c r="A29" s="50"/>
      <c r="B29" s="50"/>
      <c r="C29" s="79" t="s">
        <v>11</v>
      </c>
      <c r="D29" s="43">
        <v>2000000</v>
      </c>
      <c r="E29" s="43">
        <v>2000000</v>
      </c>
      <c r="F29" s="43">
        <v>379524</v>
      </c>
      <c r="G29" s="114">
        <f t="shared" si="0"/>
        <v>0.189762</v>
      </c>
    </row>
    <row r="30" spans="1:7" s="6" customFormat="1" ht="19.5" customHeight="1">
      <c r="A30" s="50"/>
      <c r="B30" s="54"/>
      <c r="C30" s="54" t="s">
        <v>4</v>
      </c>
      <c r="D30" s="55">
        <f>18901000+310000</f>
        <v>19211000</v>
      </c>
      <c r="E30" s="55">
        <v>23600000</v>
      </c>
      <c r="F30" s="55">
        <v>3997538</v>
      </c>
      <c r="G30" s="118">
        <f t="shared" si="0"/>
        <v>0.16938720338983052</v>
      </c>
    </row>
    <row r="31" spans="1:7" s="6" customFormat="1" ht="19.5" customHeight="1">
      <c r="A31" s="50"/>
      <c r="B31" s="56">
        <v>60016</v>
      </c>
      <c r="C31" s="56" t="s">
        <v>10</v>
      </c>
      <c r="D31" s="57">
        <f>SUM(D32:D34)</f>
        <v>7039000</v>
      </c>
      <c r="E31" s="57">
        <f>SUM(E32:E34)</f>
        <v>7150000</v>
      </c>
      <c r="F31" s="57">
        <f>SUM(F32:F34)</f>
        <v>689321</v>
      </c>
      <c r="G31" s="119">
        <f t="shared" si="0"/>
        <v>0.09640853146853147</v>
      </c>
    </row>
    <row r="32" spans="1:7" s="6" customFormat="1" ht="18.75" customHeight="1">
      <c r="A32" s="50"/>
      <c r="B32" s="50"/>
      <c r="C32" s="52" t="s">
        <v>12</v>
      </c>
      <c r="D32" s="53">
        <f>2300000+40000</f>
        <v>2340000</v>
      </c>
      <c r="E32" s="53">
        <v>2340000</v>
      </c>
      <c r="F32" s="53">
        <v>491334</v>
      </c>
      <c r="G32" s="116">
        <f t="shared" si="0"/>
        <v>0.20997179487179488</v>
      </c>
    </row>
    <row r="33" spans="1:7" s="6" customFormat="1" ht="18.75" customHeight="1">
      <c r="A33" s="50"/>
      <c r="B33" s="50"/>
      <c r="C33" s="60" t="s">
        <v>11</v>
      </c>
      <c r="D33" s="59">
        <v>800000</v>
      </c>
      <c r="E33" s="59">
        <v>800000</v>
      </c>
      <c r="F33" s="59"/>
      <c r="G33" s="117"/>
    </row>
    <row r="34" spans="1:7" s="6" customFormat="1" ht="18.75" customHeight="1">
      <c r="A34" s="50"/>
      <c r="B34" s="54"/>
      <c r="C34" s="54" t="s">
        <v>4</v>
      </c>
      <c r="D34" s="55">
        <f>1807000+2092000</f>
        <v>3899000</v>
      </c>
      <c r="E34" s="55">
        <v>4010000</v>
      </c>
      <c r="F34" s="55">
        <v>197987</v>
      </c>
      <c r="G34" s="118">
        <f t="shared" si="0"/>
        <v>0.04937331670822943</v>
      </c>
    </row>
    <row r="35" spans="1:7" s="6" customFormat="1" ht="19.5" customHeight="1">
      <c r="A35" s="50"/>
      <c r="B35" s="56">
        <v>60017</v>
      </c>
      <c r="C35" s="56" t="s">
        <v>177</v>
      </c>
      <c r="D35" s="57">
        <f>D36</f>
        <v>100000</v>
      </c>
      <c r="E35" s="57">
        <f>E36</f>
        <v>100000</v>
      </c>
      <c r="F35" s="57">
        <f>F36</f>
        <v>4277</v>
      </c>
      <c r="G35" s="119">
        <f t="shared" si="0"/>
        <v>0.04277</v>
      </c>
    </row>
    <row r="36" spans="1:7" s="6" customFormat="1" ht="18.75" customHeight="1">
      <c r="A36" s="50"/>
      <c r="B36" s="68"/>
      <c r="C36" s="68" t="s">
        <v>12</v>
      </c>
      <c r="D36" s="70">
        <v>100000</v>
      </c>
      <c r="E36" s="70">
        <v>100000</v>
      </c>
      <c r="F36" s="70">
        <v>4277</v>
      </c>
      <c r="G36" s="111">
        <f t="shared" si="0"/>
        <v>0.04277</v>
      </c>
    </row>
    <row r="37" spans="1:7" s="6" customFormat="1" ht="19.5" customHeight="1">
      <c r="A37" s="33">
        <v>630</v>
      </c>
      <c r="B37" s="34"/>
      <c r="C37" s="34" t="s">
        <v>13</v>
      </c>
      <c r="D37" s="35">
        <f>D38+D41</f>
        <v>200000</v>
      </c>
      <c r="E37" s="35">
        <f>E38+E41</f>
        <v>200000</v>
      </c>
      <c r="F37" s="35">
        <f>F38+F41</f>
        <v>111100</v>
      </c>
      <c r="G37" s="109">
        <f t="shared" si="0"/>
        <v>0.5555</v>
      </c>
    </row>
    <row r="38" spans="1:7" s="6" customFormat="1" ht="19.5" customHeight="1">
      <c r="A38" s="50"/>
      <c r="B38" s="38">
        <v>63001</v>
      </c>
      <c r="C38" s="38" t="s">
        <v>14</v>
      </c>
      <c r="D38" s="39">
        <f>D39</f>
        <v>150000</v>
      </c>
      <c r="E38" s="39">
        <f>E39</f>
        <v>150000</v>
      </c>
      <c r="F38" s="39">
        <f>F39</f>
        <v>83000</v>
      </c>
      <c r="G38" s="110">
        <f t="shared" si="0"/>
        <v>0.5533333333333333</v>
      </c>
    </row>
    <row r="39" spans="1:7" s="6" customFormat="1" ht="18.75" customHeight="1">
      <c r="A39" s="50"/>
      <c r="B39" s="50"/>
      <c r="C39" s="50" t="s">
        <v>149</v>
      </c>
      <c r="D39" s="62">
        <v>150000</v>
      </c>
      <c r="E39" s="62">
        <v>150000</v>
      </c>
      <c r="F39" s="62">
        <v>83000</v>
      </c>
      <c r="G39" s="120">
        <f t="shared" si="0"/>
        <v>0.5533333333333333</v>
      </c>
    </row>
    <row r="40" spans="1:7" s="6" customFormat="1" ht="15.75" customHeight="1">
      <c r="A40" s="50"/>
      <c r="B40" s="54"/>
      <c r="C40" s="44" t="s">
        <v>286</v>
      </c>
      <c r="D40" s="80"/>
      <c r="E40" s="80"/>
      <c r="F40" s="80"/>
      <c r="G40" s="124"/>
    </row>
    <row r="41" spans="1:7" s="6" customFormat="1" ht="19.5" customHeight="1">
      <c r="A41" s="50"/>
      <c r="B41" s="56">
        <v>63003</v>
      </c>
      <c r="C41" s="56" t="s">
        <v>15</v>
      </c>
      <c r="D41" s="57">
        <f>D42</f>
        <v>50000</v>
      </c>
      <c r="E41" s="57">
        <f>E42</f>
        <v>50000</v>
      </c>
      <c r="F41" s="57">
        <f>F42</f>
        <v>28100</v>
      </c>
      <c r="G41" s="119">
        <f t="shared" si="0"/>
        <v>0.562</v>
      </c>
    </row>
    <row r="42" spans="1:7" s="6" customFormat="1" ht="18.75" customHeight="1">
      <c r="A42" s="54"/>
      <c r="B42" s="54"/>
      <c r="C42" s="54" t="s">
        <v>214</v>
      </c>
      <c r="D42" s="55">
        <v>50000</v>
      </c>
      <c r="E42" s="55">
        <v>50000</v>
      </c>
      <c r="F42" s="55">
        <v>28100</v>
      </c>
      <c r="G42" s="118">
        <f t="shared" si="0"/>
        <v>0.562</v>
      </c>
    </row>
    <row r="43" spans="1:7" s="6" customFormat="1" ht="19.5" customHeight="1">
      <c r="A43" s="34">
        <v>700</v>
      </c>
      <c r="B43" s="34"/>
      <c r="C43" s="34" t="s">
        <v>16</v>
      </c>
      <c r="D43" s="35">
        <f>D44+D47+D50+D56+D54</f>
        <v>9938000</v>
      </c>
      <c r="E43" s="35">
        <f>E44+E47+E50+E56+E54</f>
        <v>9938000</v>
      </c>
      <c r="F43" s="35">
        <f>F44+F47+F50+F56+F54</f>
        <v>3218679</v>
      </c>
      <c r="G43" s="109">
        <f t="shared" si="0"/>
        <v>0.3238759307707788</v>
      </c>
    </row>
    <row r="44" spans="1:7" s="6" customFormat="1" ht="19.5" customHeight="1">
      <c r="A44" s="50"/>
      <c r="B44" s="38">
        <v>70001</v>
      </c>
      <c r="C44" s="38" t="s">
        <v>17</v>
      </c>
      <c r="D44" s="39">
        <f>D45</f>
        <v>5200000</v>
      </c>
      <c r="E44" s="39">
        <f>E45</f>
        <v>5200000</v>
      </c>
      <c r="F44" s="39">
        <f>F45</f>
        <v>2500000</v>
      </c>
      <c r="G44" s="110">
        <f t="shared" si="0"/>
        <v>0.4807692307692308</v>
      </c>
    </row>
    <row r="45" spans="1:7" s="6" customFormat="1" ht="16.5" customHeight="1">
      <c r="A45" s="50"/>
      <c r="B45" s="50"/>
      <c r="C45" s="63" t="s">
        <v>166</v>
      </c>
      <c r="D45" s="62">
        <f>5000000+200000</f>
        <v>5200000</v>
      </c>
      <c r="E45" s="62">
        <v>5200000</v>
      </c>
      <c r="F45" s="62">
        <v>2500000</v>
      </c>
      <c r="G45" s="120">
        <f t="shared" si="0"/>
        <v>0.4807692307692308</v>
      </c>
    </row>
    <row r="46" spans="1:7" s="6" customFormat="1" ht="43.5" customHeight="1">
      <c r="A46" s="50"/>
      <c r="B46" s="54"/>
      <c r="C46" s="134" t="s">
        <v>287</v>
      </c>
      <c r="D46" s="55"/>
      <c r="E46" s="55"/>
      <c r="F46" s="55"/>
      <c r="G46" s="118"/>
    </row>
    <row r="47" spans="1:7" s="6" customFormat="1" ht="19.5" customHeight="1">
      <c r="A47" s="50"/>
      <c r="B47" s="101">
        <v>70004</v>
      </c>
      <c r="C47" s="66" t="s">
        <v>178</v>
      </c>
      <c r="D47" s="57">
        <f>SUM(D48:D49)</f>
        <v>125000</v>
      </c>
      <c r="E47" s="57">
        <f>SUM(E48:E49)</f>
        <v>175000</v>
      </c>
      <c r="F47" s="57">
        <f>SUM(F48:F49)</f>
        <v>106359</v>
      </c>
      <c r="G47" s="119">
        <f t="shared" si="0"/>
        <v>0.6077657142857142</v>
      </c>
    </row>
    <row r="48" spans="1:7" s="6" customFormat="1" ht="19.5" customHeight="1">
      <c r="A48" s="50"/>
      <c r="B48" s="50"/>
      <c r="C48" s="52" t="s">
        <v>115</v>
      </c>
      <c r="D48" s="53">
        <v>100000</v>
      </c>
      <c r="E48" s="53">
        <v>150000</v>
      </c>
      <c r="F48" s="53">
        <v>92666</v>
      </c>
      <c r="G48" s="116">
        <f t="shared" si="0"/>
        <v>0.6177733333333333</v>
      </c>
    </row>
    <row r="49" spans="1:7" s="6" customFormat="1" ht="40.5" customHeight="1">
      <c r="A49" s="50"/>
      <c r="B49" s="54"/>
      <c r="C49" s="67" t="s">
        <v>221</v>
      </c>
      <c r="D49" s="55">
        <v>25000</v>
      </c>
      <c r="E49" s="55">
        <v>25000</v>
      </c>
      <c r="F49" s="55">
        <v>13693</v>
      </c>
      <c r="G49" s="118">
        <f t="shared" si="0"/>
        <v>0.54772</v>
      </c>
    </row>
    <row r="50" spans="1:7" s="6" customFormat="1" ht="19.5" customHeight="1">
      <c r="A50" s="50"/>
      <c r="B50" s="56">
        <v>70005</v>
      </c>
      <c r="C50" s="56" t="s">
        <v>18</v>
      </c>
      <c r="D50" s="57">
        <f>SUM(D51:D52)</f>
        <v>910000</v>
      </c>
      <c r="E50" s="57">
        <f>SUM(E51:E52)</f>
        <v>860000</v>
      </c>
      <c r="F50" s="57">
        <f>SUM(F51:F52)</f>
        <v>269664</v>
      </c>
      <c r="G50" s="119">
        <f t="shared" si="0"/>
        <v>0.3135627906976744</v>
      </c>
    </row>
    <row r="51" spans="1:7" s="6" customFormat="1" ht="27.75" customHeight="1">
      <c r="A51" s="50"/>
      <c r="B51" s="50"/>
      <c r="C51" s="71" t="s">
        <v>194</v>
      </c>
      <c r="D51" s="53">
        <v>410000</v>
      </c>
      <c r="E51" s="53">
        <v>410000</v>
      </c>
      <c r="F51" s="53">
        <v>223164</v>
      </c>
      <c r="G51" s="116">
        <f t="shared" si="0"/>
        <v>0.5443024390243902</v>
      </c>
    </row>
    <row r="52" spans="1:7" s="6" customFormat="1" ht="19.5" customHeight="1">
      <c r="A52" s="50"/>
      <c r="B52" s="50"/>
      <c r="C52" s="63" t="s">
        <v>229</v>
      </c>
      <c r="D52" s="62">
        <v>500000</v>
      </c>
      <c r="E52" s="62">
        <v>450000</v>
      </c>
      <c r="F52" s="62">
        <v>46500</v>
      </c>
      <c r="G52" s="120">
        <f t="shared" si="0"/>
        <v>0.10333333333333333</v>
      </c>
    </row>
    <row r="53" spans="1:7" s="6" customFormat="1" ht="19.5" customHeight="1">
      <c r="A53" s="187"/>
      <c r="B53" s="187"/>
      <c r="C53" s="190"/>
      <c r="D53" s="188"/>
      <c r="E53" s="188"/>
      <c r="F53" s="188"/>
      <c r="G53" s="189"/>
    </row>
    <row r="54" spans="1:7" s="6" customFormat="1" ht="19.5" customHeight="1">
      <c r="A54" s="50"/>
      <c r="B54" s="56">
        <v>70021</v>
      </c>
      <c r="C54" s="56" t="s">
        <v>291</v>
      </c>
      <c r="D54" s="57">
        <f>D55</f>
        <v>2000000</v>
      </c>
      <c r="E54" s="57">
        <f>E55</f>
        <v>2000000</v>
      </c>
      <c r="F54" s="57"/>
      <c r="G54" s="119"/>
    </row>
    <row r="55" spans="1:7" s="6" customFormat="1" ht="19.5" customHeight="1">
      <c r="A55" s="50"/>
      <c r="B55" s="68"/>
      <c r="C55" s="69" t="s">
        <v>100</v>
      </c>
      <c r="D55" s="70">
        <f>2000000</f>
        <v>2000000</v>
      </c>
      <c r="E55" s="70">
        <v>2000000</v>
      </c>
      <c r="F55" s="70"/>
      <c r="G55" s="111"/>
    </row>
    <row r="56" spans="1:7" s="6" customFormat="1" ht="19.5" customHeight="1">
      <c r="A56" s="50"/>
      <c r="B56" s="56">
        <v>70095</v>
      </c>
      <c r="C56" s="56" t="s">
        <v>2</v>
      </c>
      <c r="D56" s="57">
        <f>SUM(D57:D58)</f>
        <v>1703000</v>
      </c>
      <c r="E56" s="57">
        <f>SUM(E57:E58)</f>
        <v>1703000</v>
      </c>
      <c r="F56" s="57">
        <f>SUM(F57:F58)</f>
        <v>342656</v>
      </c>
      <c r="G56" s="119">
        <f t="shared" si="0"/>
        <v>0.20120728126834997</v>
      </c>
    </row>
    <row r="57" spans="1:7" s="6" customFormat="1" ht="19.5" customHeight="1">
      <c r="A57" s="50"/>
      <c r="B57" s="50"/>
      <c r="C57" s="60" t="s">
        <v>116</v>
      </c>
      <c r="D57" s="59">
        <v>3000</v>
      </c>
      <c r="E57" s="59">
        <v>3000</v>
      </c>
      <c r="F57" s="59"/>
      <c r="G57" s="117"/>
    </row>
    <row r="58" spans="1:7" s="6" customFormat="1" ht="19.5" customHeight="1">
      <c r="A58" s="54"/>
      <c r="B58" s="54"/>
      <c r="C58" s="54" t="s">
        <v>4</v>
      </c>
      <c r="D58" s="55">
        <v>1700000</v>
      </c>
      <c r="E58" s="55">
        <v>1700000</v>
      </c>
      <c r="F58" s="55">
        <v>342656</v>
      </c>
      <c r="G58" s="118">
        <f t="shared" si="0"/>
        <v>0.20156235294117647</v>
      </c>
    </row>
    <row r="59" spans="1:7" s="6" customFormat="1" ht="19.5" customHeight="1">
      <c r="A59" s="34">
        <v>710</v>
      </c>
      <c r="B59" s="34"/>
      <c r="C59" s="34" t="s">
        <v>19</v>
      </c>
      <c r="D59" s="35">
        <f>D60+D63+D65</f>
        <v>1964500</v>
      </c>
      <c r="E59" s="35">
        <f>E60+E63+E65</f>
        <v>1964500</v>
      </c>
      <c r="F59" s="35">
        <f>F60+F63+F65</f>
        <v>701615</v>
      </c>
      <c r="G59" s="109">
        <f t="shared" si="0"/>
        <v>0.3571468567065411</v>
      </c>
    </row>
    <row r="60" spans="1:7" s="6" customFormat="1" ht="19.5" customHeight="1">
      <c r="A60" s="50"/>
      <c r="B60" s="38">
        <v>71004</v>
      </c>
      <c r="C60" s="38" t="s">
        <v>20</v>
      </c>
      <c r="D60" s="39">
        <f>SUM(D61:D62)</f>
        <v>110500</v>
      </c>
      <c r="E60" s="39">
        <f>SUM(E61:E62)</f>
        <v>110500</v>
      </c>
      <c r="F60" s="39">
        <f>SUM(F61:F62)</f>
        <v>43122</v>
      </c>
      <c r="G60" s="110">
        <f t="shared" si="0"/>
        <v>0.3902443438914027</v>
      </c>
    </row>
    <row r="61" spans="1:7" s="6" customFormat="1" ht="30" customHeight="1">
      <c r="A61" s="50"/>
      <c r="B61" s="50"/>
      <c r="C61" s="71" t="s">
        <v>117</v>
      </c>
      <c r="D61" s="53">
        <v>3000</v>
      </c>
      <c r="E61" s="53">
        <v>3000</v>
      </c>
      <c r="F61" s="53"/>
      <c r="G61" s="116"/>
    </row>
    <row r="62" spans="1:7" s="6" customFormat="1" ht="19.5" customHeight="1">
      <c r="A62" s="50"/>
      <c r="B62" s="54"/>
      <c r="C62" s="54" t="s">
        <v>154</v>
      </c>
      <c r="D62" s="55">
        <v>107500</v>
      </c>
      <c r="E62" s="55">
        <v>107500</v>
      </c>
      <c r="F62" s="55">
        <v>43122</v>
      </c>
      <c r="G62" s="118">
        <f t="shared" si="0"/>
        <v>0.40113488372093026</v>
      </c>
    </row>
    <row r="63" spans="1:7" s="6" customFormat="1" ht="19.5" customHeight="1">
      <c r="A63" s="50"/>
      <c r="B63" s="56">
        <v>71014</v>
      </c>
      <c r="C63" s="56" t="s">
        <v>21</v>
      </c>
      <c r="D63" s="57">
        <f>D64</f>
        <v>800000</v>
      </c>
      <c r="E63" s="57">
        <f>E64</f>
        <v>800000</v>
      </c>
      <c r="F63" s="57">
        <f>F64</f>
        <v>131831</v>
      </c>
      <c r="G63" s="119">
        <f t="shared" si="0"/>
        <v>0.16478875</v>
      </c>
    </row>
    <row r="64" spans="1:7" s="6" customFormat="1" ht="30" customHeight="1">
      <c r="A64" s="50"/>
      <c r="B64" s="68"/>
      <c r="C64" s="69" t="s">
        <v>159</v>
      </c>
      <c r="D64" s="70">
        <v>800000</v>
      </c>
      <c r="E64" s="70">
        <v>800000</v>
      </c>
      <c r="F64" s="70">
        <v>131831</v>
      </c>
      <c r="G64" s="111">
        <f t="shared" si="0"/>
        <v>0.16478875</v>
      </c>
    </row>
    <row r="65" spans="1:7" s="6" customFormat="1" ht="19.5" customHeight="1">
      <c r="A65" s="50"/>
      <c r="B65" s="56">
        <v>71035</v>
      </c>
      <c r="C65" s="56" t="s">
        <v>179</v>
      </c>
      <c r="D65" s="57">
        <f>SUM(D66:D67)</f>
        <v>1054000</v>
      </c>
      <c r="E65" s="57">
        <f>SUM(E66:E67)</f>
        <v>1054000</v>
      </c>
      <c r="F65" s="57">
        <f>SUM(F66:F67)</f>
        <v>526662</v>
      </c>
      <c r="G65" s="119">
        <f t="shared" si="0"/>
        <v>0.49967931688804557</v>
      </c>
    </row>
    <row r="66" spans="1:7" s="6" customFormat="1" ht="19.5" customHeight="1">
      <c r="A66" s="50"/>
      <c r="B66" s="51"/>
      <c r="C66" s="71" t="s">
        <v>180</v>
      </c>
      <c r="D66" s="53">
        <v>1020000</v>
      </c>
      <c r="E66" s="53">
        <v>1020000</v>
      </c>
      <c r="F66" s="53">
        <v>510000</v>
      </c>
      <c r="G66" s="116">
        <f t="shared" si="0"/>
        <v>0.5</v>
      </c>
    </row>
    <row r="67" spans="1:7" s="6" customFormat="1" ht="19.5" customHeight="1">
      <c r="A67" s="50"/>
      <c r="B67" s="50"/>
      <c r="C67" s="58" t="s">
        <v>185</v>
      </c>
      <c r="D67" s="59">
        <v>34000</v>
      </c>
      <c r="E67" s="59">
        <v>34000</v>
      </c>
      <c r="F67" s="59">
        <v>16662</v>
      </c>
      <c r="G67" s="117">
        <f t="shared" si="0"/>
        <v>0.49005882352941177</v>
      </c>
    </row>
    <row r="68" spans="1:7" s="6" customFormat="1" ht="19.5" customHeight="1">
      <c r="A68" s="33">
        <v>750</v>
      </c>
      <c r="B68" s="33"/>
      <c r="C68" s="33" t="s">
        <v>22</v>
      </c>
      <c r="D68" s="49">
        <f>D69+D72+D77+D79</f>
        <v>45335000</v>
      </c>
      <c r="E68" s="49">
        <f>E69+E72+E77+E79</f>
        <v>45335000</v>
      </c>
      <c r="F68" s="49">
        <f>F69+F72+F77+F79</f>
        <v>22420998</v>
      </c>
      <c r="G68" s="115">
        <f t="shared" si="0"/>
        <v>0.4945626557847138</v>
      </c>
    </row>
    <row r="69" spans="1:7" s="6" customFormat="1" ht="19.5" customHeight="1">
      <c r="A69" s="50"/>
      <c r="B69" s="38">
        <v>75022</v>
      </c>
      <c r="C69" s="38" t="s">
        <v>23</v>
      </c>
      <c r="D69" s="39">
        <f>SUM(D70:D71)</f>
        <v>1190000</v>
      </c>
      <c r="E69" s="39">
        <f>SUM(E70:E71)</f>
        <v>1190000</v>
      </c>
      <c r="F69" s="39">
        <f>SUM(F70:F71)</f>
        <v>552065</v>
      </c>
      <c r="G69" s="110">
        <f t="shared" si="0"/>
        <v>0.4639201680672269</v>
      </c>
    </row>
    <row r="70" spans="1:7" s="6" customFormat="1" ht="19.5" customHeight="1">
      <c r="A70" s="50"/>
      <c r="B70" s="50"/>
      <c r="C70" s="52" t="s">
        <v>262</v>
      </c>
      <c r="D70" s="53">
        <f>740000+50000</f>
        <v>790000</v>
      </c>
      <c r="E70" s="53">
        <v>790000</v>
      </c>
      <c r="F70" s="53">
        <v>378687</v>
      </c>
      <c r="G70" s="116">
        <f t="shared" si="0"/>
        <v>0.4793506329113924</v>
      </c>
    </row>
    <row r="71" spans="1:7" s="6" customFormat="1" ht="30.75" customHeight="1">
      <c r="A71" s="50"/>
      <c r="B71" s="54"/>
      <c r="C71" s="45" t="s">
        <v>165</v>
      </c>
      <c r="D71" s="46">
        <f>370000+30000</f>
        <v>400000</v>
      </c>
      <c r="E71" s="46">
        <v>400000</v>
      </c>
      <c r="F71" s="46">
        <v>173378</v>
      </c>
      <c r="G71" s="121">
        <f t="shared" si="0"/>
        <v>0.433445</v>
      </c>
    </row>
    <row r="72" spans="1:7" s="6" customFormat="1" ht="19.5" customHeight="1">
      <c r="A72" s="50"/>
      <c r="B72" s="56">
        <v>75023</v>
      </c>
      <c r="C72" s="56" t="s">
        <v>157</v>
      </c>
      <c r="D72" s="57">
        <f>SUM(D73:D76)</f>
        <v>42880000</v>
      </c>
      <c r="E72" s="57">
        <f>SUM(E73:E76)</f>
        <v>42880000</v>
      </c>
      <c r="F72" s="57">
        <f>SUM(F73:F76)</f>
        <v>21162438</v>
      </c>
      <c r="G72" s="119">
        <f aca="true" t="shared" si="3" ref="G72:G135">F72/E72</f>
        <v>0.4935270055970149</v>
      </c>
    </row>
    <row r="73" spans="1:7" s="6" customFormat="1" ht="19.5" customHeight="1">
      <c r="A73" s="50"/>
      <c r="B73" s="50"/>
      <c r="C73" s="52" t="s">
        <v>36</v>
      </c>
      <c r="D73" s="53">
        <f>27010000+410000</f>
        <v>27420000</v>
      </c>
      <c r="E73" s="53">
        <v>27420000</v>
      </c>
      <c r="F73" s="53">
        <v>13021253</v>
      </c>
      <c r="G73" s="116">
        <f t="shared" si="3"/>
        <v>0.4748815827862874</v>
      </c>
    </row>
    <row r="74" spans="1:7" s="6" customFormat="1" ht="19.5" customHeight="1">
      <c r="A74" s="50"/>
      <c r="B74" s="50"/>
      <c r="C74" s="60" t="s">
        <v>37</v>
      </c>
      <c r="D74" s="59">
        <v>9400000</v>
      </c>
      <c r="E74" s="59">
        <v>9415000</v>
      </c>
      <c r="F74" s="59">
        <v>5602388</v>
      </c>
      <c r="G74" s="117">
        <f t="shared" si="3"/>
        <v>0.5950491768454593</v>
      </c>
    </row>
    <row r="75" spans="1:7" s="6" customFormat="1" ht="19.5" customHeight="1">
      <c r="A75" s="50"/>
      <c r="B75" s="50"/>
      <c r="C75" s="60" t="s">
        <v>38</v>
      </c>
      <c r="D75" s="59">
        <f>5370000+90000</f>
        <v>5460000</v>
      </c>
      <c r="E75" s="59">
        <v>5460000</v>
      </c>
      <c r="F75" s="59">
        <v>2514613</v>
      </c>
      <c r="G75" s="117">
        <f t="shared" si="3"/>
        <v>0.4605518315018315</v>
      </c>
    </row>
    <row r="76" spans="1:7" s="6" customFormat="1" ht="19.5" customHeight="1">
      <c r="A76" s="50"/>
      <c r="B76" s="54"/>
      <c r="C76" s="54" t="s">
        <v>4</v>
      </c>
      <c r="D76" s="55">
        <v>600000</v>
      </c>
      <c r="E76" s="55">
        <v>585000</v>
      </c>
      <c r="F76" s="55">
        <v>24184</v>
      </c>
      <c r="G76" s="118">
        <f t="shared" si="3"/>
        <v>0.041340170940170944</v>
      </c>
    </row>
    <row r="77" spans="1:7" s="6" customFormat="1" ht="29.25" customHeight="1">
      <c r="A77" s="50"/>
      <c r="B77" s="65">
        <v>75047</v>
      </c>
      <c r="C77" s="66" t="s">
        <v>181</v>
      </c>
      <c r="D77" s="57">
        <f>D78</f>
        <v>380000</v>
      </c>
      <c r="E77" s="57">
        <f>E78</f>
        <v>380000</v>
      </c>
      <c r="F77" s="57">
        <f>F78</f>
        <v>106362</v>
      </c>
      <c r="G77" s="119">
        <f t="shared" si="3"/>
        <v>0.2799</v>
      </c>
    </row>
    <row r="78" spans="1:7" s="6" customFormat="1" ht="21" customHeight="1">
      <c r="A78" s="54"/>
      <c r="B78" s="68"/>
      <c r="C78" s="69" t="s">
        <v>186</v>
      </c>
      <c r="D78" s="70">
        <v>380000</v>
      </c>
      <c r="E78" s="70">
        <v>380000</v>
      </c>
      <c r="F78" s="70">
        <v>106362</v>
      </c>
      <c r="G78" s="111">
        <f t="shared" si="3"/>
        <v>0.2799</v>
      </c>
    </row>
    <row r="79" spans="1:7" s="6" customFormat="1" ht="19.5" customHeight="1">
      <c r="A79" s="50"/>
      <c r="B79" s="56">
        <v>75095</v>
      </c>
      <c r="C79" s="56" t="s">
        <v>2</v>
      </c>
      <c r="D79" s="57">
        <f>D80+D82</f>
        <v>885000</v>
      </c>
      <c r="E79" s="57">
        <f>E80+E82</f>
        <v>885000</v>
      </c>
      <c r="F79" s="57">
        <f>F80+F82</f>
        <v>600133</v>
      </c>
      <c r="G79" s="119">
        <f t="shared" si="3"/>
        <v>0.678116384180791</v>
      </c>
    </row>
    <row r="80" spans="1:7" s="6" customFormat="1" ht="19.5" customHeight="1">
      <c r="A80" s="50"/>
      <c r="B80" s="51"/>
      <c r="C80" s="51" t="s">
        <v>118</v>
      </c>
      <c r="D80" s="148">
        <v>860000</v>
      </c>
      <c r="E80" s="148">
        <v>860000</v>
      </c>
      <c r="F80" s="148">
        <v>578891</v>
      </c>
      <c r="G80" s="149">
        <f t="shared" si="3"/>
        <v>0.6731290697674419</v>
      </c>
    </row>
    <row r="81" spans="1:7" s="28" customFormat="1" ht="17.25" customHeight="1">
      <c r="A81" s="41"/>
      <c r="B81" s="41"/>
      <c r="C81" s="158" t="s">
        <v>288</v>
      </c>
      <c r="D81" s="159"/>
      <c r="E81" s="159"/>
      <c r="F81" s="159"/>
      <c r="G81" s="160"/>
    </row>
    <row r="82" spans="1:7" s="6" customFormat="1" ht="29.25" customHeight="1">
      <c r="A82" s="54"/>
      <c r="B82" s="54"/>
      <c r="C82" s="45" t="s">
        <v>198</v>
      </c>
      <c r="D82" s="46">
        <v>25000</v>
      </c>
      <c r="E82" s="46">
        <v>25000</v>
      </c>
      <c r="F82" s="46">
        <v>21242</v>
      </c>
      <c r="G82" s="121">
        <f t="shared" si="3"/>
        <v>0.84968</v>
      </c>
    </row>
    <row r="83" spans="1:7" s="6" customFormat="1" ht="21" customHeight="1">
      <c r="A83" s="94">
        <v>754</v>
      </c>
      <c r="B83" s="34"/>
      <c r="C83" s="91" t="s">
        <v>24</v>
      </c>
      <c r="D83" s="35">
        <f>D84+D86+D88+D90+D95</f>
        <v>4521000</v>
      </c>
      <c r="E83" s="35">
        <f>E84+E86+E88+E90+E95</f>
        <v>4521000</v>
      </c>
      <c r="F83" s="35">
        <f>F84+F86+F88+F90+F95</f>
        <v>2066295</v>
      </c>
      <c r="G83" s="109">
        <f t="shared" si="3"/>
        <v>0.45704379562043795</v>
      </c>
    </row>
    <row r="84" spans="1:7" s="6" customFormat="1" ht="19.5" customHeight="1">
      <c r="A84" s="50"/>
      <c r="B84" s="38">
        <v>75405</v>
      </c>
      <c r="C84" s="38" t="s">
        <v>26</v>
      </c>
      <c r="D84" s="39">
        <f>D85</f>
        <v>400000</v>
      </c>
      <c r="E84" s="39">
        <f>E85</f>
        <v>400000</v>
      </c>
      <c r="F84" s="39"/>
      <c r="G84" s="110"/>
    </row>
    <row r="85" spans="1:7" s="6" customFormat="1" ht="30" customHeight="1">
      <c r="A85" s="50"/>
      <c r="B85" s="68"/>
      <c r="C85" s="69" t="s">
        <v>267</v>
      </c>
      <c r="D85" s="70">
        <v>400000</v>
      </c>
      <c r="E85" s="70">
        <v>400000</v>
      </c>
      <c r="F85" s="70"/>
      <c r="G85" s="111"/>
    </row>
    <row r="86" spans="1:7" s="6" customFormat="1" ht="19.5" customHeight="1">
      <c r="A86" s="50"/>
      <c r="B86" s="56">
        <v>75411</v>
      </c>
      <c r="C86" s="56" t="s">
        <v>25</v>
      </c>
      <c r="D86" s="57">
        <f>D87</f>
        <v>100000</v>
      </c>
      <c r="E86" s="57">
        <f>E87</f>
        <v>100000</v>
      </c>
      <c r="F86" s="57"/>
      <c r="G86" s="119"/>
    </row>
    <row r="87" spans="1:7" s="6" customFormat="1" ht="19.5" customHeight="1">
      <c r="A87" s="50"/>
      <c r="B87" s="68"/>
      <c r="C87" s="68" t="s">
        <v>119</v>
      </c>
      <c r="D87" s="70">
        <v>100000</v>
      </c>
      <c r="E87" s="70">
        <v>100000</v>
      </c>
      <c r="F87" s="70"/>
      <c r="G87" s="111"/>
    </row>
    <row r="88" spans="1:7" s="27" customFormat="1" ht="19.5" customHeight="1">
      <c r="A88" s="37"/>
      <c r="B88" s="56">
        <v>75412</v>
      </c>
      <c r="C88" s="56" t="s">
        <v>27</v>
      </c>
      <c r="D88" s="57">
        <f>D89</f>
        <v>35000</v>
      </c>
      <c r="E88" s="57">
        <f>E89</f>
        <v>35000</v>
      </c>
      <c r="F88" s="57">
        <f>F89</f>
        <v>30470</v>
      </c>
      <c r="G88" s="119">
        <f t="shared" si="3"/>
        <v>0.8705714285714286</v>
      </c>
    </row>
    <row r="89" spans="1:7" s="6" customFormat="1" ht="29.25" customHeight="1">
      <c r="A89" s="50"/>
      <c r="B89" s="68"/>
      <c r="C89" s="69" t="s">
        <v>120</v>
      </c>
      <c r="D89" s="70">
        <v>35000</v>
      </c>
      <c r="E89" s="70">
        <v>35000</v>
      </c>
      <c r="F89" s="70">
        <v>30470</v>
      </c>
      <c r="G89" s="111">
        <f t="shared" si="3"/>
        <v>0.8705714285714286</v>
      </c>
    </row>
    <row r="90" spans="1:7" s="27" customFormat="1" ht="19.5" customHeight="1">
      <c r="A90" s="37"/>
      <c r="B90" s="56">
        <v>75416</v>
      </c>
      <c r="C90" s="56" t="s">
        <v>28</v>
      </c>
      <c r="D90" s="57">
        <f>SUM(D91:D94)</f>
        <v>3836000</v>
      </c>
      <c r="E90" s="57">
        <f>SUM(E91:E94)</f>
        <v>3836000</v>
      </c>
      <c r="F90" s="57">
        <f>SUM(F91:F94)</f>
        <v>2025545</v>
      </c>
      <c r="G90" s="119">
        <f t="shared" si="3"/>
        <v>0.5280357142857143</v>
      </c>
    </row>
    <row r="91" spans="1:7" s="6" customFormat="1" ht="19.5" customHeight="1">
      <c r="A91" s="50"/>
      <c r="B91" s="50"/>
      <c r="C91" s="52" t="s">
        <v>36</v>
      </c>
      <c r="D91" s="53">
        <v>2800000</v>
      </c>
      <c r="E91" s="53">
        <v>2800000</v>
      </c>
      <c r="F91" s="53">
        <v>1412522</v>
      </c>
      <c r="G91" s="116">
        <f t="shared" si="3"/>
        <v>0.5044721428571428</v>
      </c>
    </row>
    <row r="92" spans="1:7" s="6" customFormat="1" ht="19.5" customHeight="1">
      <c r="A92" s="50"/>
      <c r="B92" s="50"/>
      <c r="C92" s="60" t="s">
        <v>37</v>
      </c>
      <c r="D92" s="59">
        <v>471000</v>
      </c>
      <c r="E92" s="59">
        <v>459000</v>
      </c>
      <c r="F92" s="59">
        <v>323041</v>
      </c>
      <c r="G92" s="117">
        <f t="shared" si="3"/>
        <v>0.7037930283224401</v>
      </c>
    </row>
    <row r="93" spans="1:7" s="6" customFormat="1" ht="19.5" customHeight="1">
      <c r="A93" s="50"/>
      <c r="B93" s="50"/>
      <c r="C93" s="60" t="s">
        <v>38</v>
      </c>
      <c r="D93" s="59">
        <v>565000</v>
      </c>
      <c r="E93" s="59">
        <v>565000</v>
      </c>
      <c r="F93" s="59">
        <v>278002</v>
      </c>
      <c r="G93" s="117">
        <f t="shared" si="3"/>
        <v>0.49203893805309734</v>
      </c>
    </row>
    <row r="94" spans="1:7" s="6" customFormat="1" ht="19.5" customHeight="1">
      <c r="A94" s="50"/>
      <c r="B94" s="166"/>
      <c r="C94" s="67" t="s">
        <v>4</v>
      </c>
      <c r="D94" s="55"/>
      <c r="E94" s="55">
        <v>12000</v>
      </c>
      <c r="F94" s="55">
        <v>11980</v>
      </c>
      <c r="G94" s="118">
        <f>F94/E94</f>
        <v>0.9983333333333333</v>
      </c>
    </row>
    <row r="95" spans="1:7" s="6" customFormat="1" ht="19.5" customHeight="1">
      <c r="A95" s="50"/>
      <c r="B95" s="56">
        <v>75495</v>
      </c>
      <c r="C95" s="56" t="s">
        <v>2</v>
      </c>
      <c r="D95" s="57">
        <f>D96</f>
        <v>150000</v>
      </c>
      <c r="E95" s="57">
        <f>E96</f>
        <v>150000</v>
      </c>
      <c r="F95" s="57">
        <f>F96</f>
        <v>10280</v>
      </c>
      <c r="G95" s="119">
        <f t="shared" si="3"/>
        <v>0.06853333333333333</v>
      </c>
    </row>
    <row r="96" spans="1:7" s="6" customFormat="1" ht="19.5" customHeight="1">
      <c r="A96" s="54"/>
      <c r="B96" s="68"/>
      <c r="C96" s="68" t="s">
        <v>257</v>
      </c>
      <c r="D96" s="70">
        <v>150000</v>
      </c>
      <c r="E96" s="70">
        <v>150000</v>
      </c>
      <c r="F96" s="70">
        <v>10280</v>
      </c>
      <c r="G96" s="111">
        <f t="shared" si="3"/>
        <v>0.06853333333333333</v>
      </c>
    </row>
    <row r="97" spans="1:7" s="6" customFormat="1" ht="19.5" customHeight="1">
      <c r="A97" s="34">
        <v>757</v>
      </c>
      <c r="B97" s="34"/>
      <c r="C97" s="34" t="s">
        <v>29</v>
      </c>
      <c r="D97" s="35">
        <f>D98</f>
        <v>10900000</v>
      </c>
      <c r="E97" s="35">
        <f>E98</f>
        <v>11077000</v>
      </c>
      <c r="F97" s="35">
        <f>F98</f>
        <v>3992381</v>
      </c>
      <c r="G97" s="109">
        <f t="shared" si="3"/>
        <v>0.3604207818001264</v>
      </c>
    </row>
    <row r="98" spans="1:7" s="6" customFormat="1" ht="29.25" customHeight="1">
      <c r="A98" s="50"/>
      <c r="B98" s="72">
        <v>75702</v>
      </c>
      <c r="C98" s="73" t="s">
        <v>30</v>
      </c>
      <c r="D98" s="39">
        <f>SUM(D99:D101)</f>
        <v>10900000</v>
      </c>
      <c r="E98" s="39">
        <f>SUM(E99:E101)</f>
        <v>11077000</v>
      </c>
      <c r="F98" s="39">
        <f>SUM(F99:F101)</f>
        <v>3992381</v>
      </c>
      <c r="G98" s="110">
        <f t="shared" si="3"/>
        <v>0.3604207818001264</v>
      </c>
    </row>
    <row r="99" spans="1:7" s="6" customFormat="1" ht="28.5" customHeight="1">
      <c r="A99" s="50"/>
      <c r="B99" s="50"/>
      <c r="C99" s="71" t="s">
        <v>295</v>
      </c>
      <c r="D99" s="53">
        <v>85000</v>
      </c>
      <c r="E99" s="53">
        <f>85000+110000</f>
        <v>195000</v>
      </c>
      <c r="F99" s="53">
        <v>1795</v>
      </c>
      <c r="G99" s="116">
        <f t="shared" si="3"/>
        <v>0.009205128205128204</v>
      </c>
    </row>
    <row r="100" spans="1:7" s="6" customFormat="1" ht="19.5" customHeight="1">
      <c r="A100" s="50"/>
      <c r="B100" s="50"/>
      <c r="C100" s="60" t="s">
        <v>160</v>
      </c>
      <c r="D100" s="59">
        <v>10550000</v>
      </c>
      <c r="E100" s="59">
        <v>10550000</v>
      </c>
      <c r="F100" s="59">
        <v>3838020</v>
      </c>
      <c r="G100" s="117">
        <f t="shared" si="3"/>
        <v>0.36379336492890996</v>
      </c>
    </row>
    <row r="101" spans="1:7" s="6" customFormat="1" ht="19.5" customHeight="1">
      <c r="A101" s="54"/>
      <c r="B101" s="54"/>
      <c r="C101" s="67" t="s">
        <v>263</v>
      </c>
      <c r="D101" s="55">
        <v>265000</v>
      </c>
      <c r="E101" s="55">
        <f>265000+67000</f>
        <v>332000</v>
      </c>
      <c r="F101" s="55">
        <v>152566</v>
      </c>
      <c r="G101" s="118">
        <f t="shared" si="3"/>
        <v>0.45953614457831327</v>
      </c>
    </row>
    <row r="102" spans="1:7" s="6" customFormat="1" ht="30" customHeight="1">
      <c r="A102" s="187"/>
      <c r="B102" s="187"/>
      <c r="C102" s="190"/>
      <c r="D102" s="188"/>
      <c r="E102" s="188"/>
      <c r="F102" s="188"/>
      <c r="G102" s="189"/>
    </row>
    <row r="103" spans="1:7" s="6" customFormat="1" ht="19.5" customHeight="1">
      <c r="A103" s="34">
        <v>758</v>
      </c>
      <c r="B103" s="34"/>
      <c r="C103" s="34" t="s">
        <v>31</v>
      </c>
      <c r="D103" s="35">
        <f>D104+D107</f>
        <v>6274677</v>
      </c>
      <c r="E103" s="35">
        <f>E104+E107</f>
        <v>3532639</v>
      </c>
      <c r="F103" s="35">
        <f>F104+F107</f>
        <v>248</v>
      </c>
      <c r="G103" s="109">
        <f t="shared" si="3"/>
        <v>7.020247469384786E-05</v>
      </c>
    </row>
    <row r="104" spans="1:7" s="6" customFormat="1" ht="19.5" customHeight="1">
      <c r="A104" s="50"/>
      <c r="B104" s="38">
        <v>75818</v>
      </c>
      <c r="C104" s="38" t="s">
        <v>32</v>
      </c>
      <c r="D104" s="39">
        <f>SUM(D105:D106)</f>
        <v>6224677</v>
      </c>
      <c r="E104" s="39">
        <f>SUM(E105:E106)</f>
        <v>3482639</v>
      </c>
      <c r="F104" s="39"/>
      <c r="G104" s="110"/>
    </row>
    <row r="105" spans="1:7" s="6" customFormat="1" ht="20.25" customHeight="1">
      <c r="A105" s="50"/>
      <c r="B105" s="50"/>
      <c r="C105" s="71" t="s">
        <v>122</v>
      </c>
      <c r="D105" s="53">
        <f>5565894-10000+568000+783</f>
        <v>6124677</v>
      </c>
      <c r="E105" s="53">
        <v>3382639</v>
      </c>
      <c r="F105" s="53"/>
      <c r="G105" s="116"/>
    </row>
    <row r="106" spans="1:7" s="6" customFormat="1" ht="29.25" customHeight="1">
      <c r="A106" s="50"/>
      <c r="B106" s="54"/>
      <c r="C106" s="45" t="s">
        <v>239</v>
      </c>
      <c r="D106" s="46">
        <v>100000</v>
      </c>
      <c r="E106" s="46">
        <v>100000</v>
      </c>
      <c r="F106" s="46"/>
      <c r="G106" s="121"/>
    </row>
    <row r="107" spans="1:7" s="6" customFormat="1" ht="19.5" customHeight="1">
      <c r="A107" s="50"/>
      <c r="B107" s="56">
        <v>75820</v>
      </c>
      <c r="C107" s="56" t="s">
        <v>33</v>
      </c>
      <c r="D107" s="57">
        <f>D108</f>
        <v>50000</v>
      </c>
      <c r="E107" s="57">
        <f>E108</f>
        <v>50000</v>
      </c>
      <c r="F107" s="57">
        <f>F108</f>
        <v>248</v>
      </c>
      <c r="G107" s="119">
        <f t="shared" si="3"/>
        <v>0.00496</v>
      </c>
    </row>
    <row r="108" spans="1:7" s="6" customFormat="1" ht="19.5" customHeight="1">
      <c r="A108" s="54"/>
      <c r="B108" s="54"/>
      <c r="C108" s="54" t="s">
        <v>121</v>
      </c>
      <c r="D108" s="55">
        <v>50000</v>
      </c>
      <c r="E108" s="55">
        <v>50000</v>
      </c>
      <c r="F108" s="55">
        <v>248</v>
      </c>
      <c r="G108" s="118">
        <f t="shared" si="3"/>
        <v>0.00496</v>
      </c>
    </row>
    <row r="109" spans="1:7" s="6" customFormat="1" ht="18" customHeight="1">
      <c r="A109" s="34">
        <v>801</v>
      </c>
      <c r="B109" s="34"/>
      <c r="C109" s="34" t="s">
        <v>34</v>
      </c>
      <c r="D109" s="35">
        <f>D110+D117+D121+D125+D131+D135+D137+D143+D147+D152+D158+D162+D166+D168+D170+D176</f>
        <v>246268675</v>
      </c>
      <c r="E109" s="35">
        <f>E110+E117+E121+E125+E131+E135+E137+E143+E147+E152+E158+E162+E166+E168+E170+E176</f>
        <v>251354179</v>
      </c>
      <c r="F109" s="35">
        <f>F110+F117+F121+F125+F131+F135+F137+F143+F147+F152+F158+F162+F166+F168+F170+F176</f>
        <v>130649854</v>
      </c>
      <c r="G109" s="109">
        <f t="shared" si="3"/>
        <v>0.5197838942634011</v>
      </c>
    </row>
    <row r="110" spans="1:7" s="6" customFormat="1" ht="20.25" customHeight="1">
      <c r="A110" s="50"/>
      <c r="B110" s="38">
        <v>80101</v>
      </c>
      <c r="C110" s="38" t="s">
        <v>35</v>
      </c>
      <c r="D110" s="39">
        <f>SUM(D111:D116)</f>
        <v>81881000</v>
      </c>
      <c r="E110" s="39">
        <f>SUM(E111:E116)</f>
        <v>81834759</v>
      </c>
      <c r="F110" s="39">
        <f>SUM(F111:F116)</f>
        <v>44071074</v>
      </c>
      <c r="G110" s="110">
        <f t="shared" si="3"/>
        <v>0.5385373469481348</v>
      </c>
    </row>
    <row r="111" spans="1:7" s="6" customFormat="1" ht="18.75" customHeight="1">
      <c r="A111" s="50"/>
      <c r="B111" s="50"/>
      <c r="C111" s="52" t="s">
        <v>36</v>
      </c>
      <c r="D111" s="53">
        <f>55041000-250000</f>
        <v>54791000</v>
      </c>
      <c r="E111" s="53">
        <v>54756803</v>
      </c>
      <c r="F111" s="53">
        <v>28759018</v>
      </c>
      <c r="G111" s="116">
        <f t="shared" si="3"/>
        <v>0.5252136067914702</v>
      </c>
    </row>
    <row r="112" spans="1:7" s="6" customFormat="1" ht="18.75" customHeight="1">
      <c r="A112" s="50"/>
      <c r="B112" s="50"/>
      <c r="C112" s="60" t="s">
        <v>37</v>
      </c>
      <c r="D112" s="59">
        <v>11478000</v>
      </c>
      <c r="E112" s="59">
        <v>11467325</v>
      </c>
      <c r="F112" s="59">
        <v>7556400</v>
      </c>
      <c r="G112" s="117">
        <f t="shared" si="3"/>
        <v>0.6589505399035956</v>
      </c>
    </row>
    <row r="113" spans="1:7" s="6" customFormat="1" ht="18.75" customHeight="1">
      <c r="A113" s="50"/>
      <c r="B113" s="50"/>
      <c r="C113" s="79" t="s">
        <v>38</v>
      </c>
      <c r="D113" s="43">
        <v>10900000</v>
      </c>
      <c r="E113" s="43">
        <f>10900000-2700</f>
        <v>10897300</v>
      </c>
      <c r="F113" s="43">
        <v>5681004</v>
      </c>
      <c r="G113" s="114">
        <f t="shared" si="3"/>
        <v>0.5213221623704954</v>
      </c>
    </row>
    <row r="114" spans="1:7" s="6" customFormat="1" ht="18.75" customHeight="1">
      <c r="A114" s="50"/>
      <c r="B114" s="50"/>
      <c r="C114" s="60" t="s">
        <v>213</v>
      </c>
      <c r="D114" s="59">
        <v>350000</v>
      </c>
      <c r="E114" s="59">
        <v>350000</v>
      </c>
      <c r="F114" s="59">
        <v>191033</v>
      </c>
      <c r="G114" s="117">
        <f t="shared" si="3"/>
        <v>0.5458085714285714</v>
      </c>
    </row>
    <row r="115" spans="1:7" s="6" customFormat="1" ht="18.75" customHeight="1">
      <c r="A115" s="50"/>
      <c r="B115" s="50"/>
      <c r="C115" s="60" t="s">
        <v>123</v>
      </c>
      <c r="D115" s="59">
        <v>1000000</v>
      </c>
      <c r="E115" s="59">
        <v>1000000</v>
      </c>
      <c r="F115" s="59">
        <v>444910</v>
      </c>
      <c r="G115" s="117">
        <f t="shared" si="3"/>
        <v>0.44491</v>
      </c>
    </row>
    <row r="116" spans="1:7" s="6" customFormat="1" ht="18.75" customHeight="1">
      <c r="A116" s="50"/>
      <c r="B116" s="54"/>
      <c r="C116" s="54" t="s">
        <v>4</v>
      </c>
      <c r="D116" s="55">
        <f>2962000+400000</f>
        <v>3362000</v>
      </c>
      <c r="E116" s="55">
        <v>3363331</v>
      </c>
      <c r="F116" s="55">
        <v>1438709</v>
      </c>
      <c r="G116" s="118">
        <f t="shared" si="3"/>
        <v>0.42776313125291565</v>
      </c>
    </row>
    <row r="117" spans="1:7" s="6" customFormat="1" ht="19.5" customHeight="1">
      <c r="A117" s="50"/>
      <c r="B117" s="38">
        <v>80102</v>
      </c>
      <c r="C117" s="38" t="s">
        <v>39</v>
      </c>
      <c r="D117" s="39">
        <f>SUM(D118:D120)</f>
        <v>5735000</v>
      </c>
      <c r="E117" s="39">
        <f>SUM(E118:E120)</f>
        <v>5735000</v>
      </c>
      <c r="F117" s="39">
        <f>SUM(F118:F120)</f>
        <v>3208781</v>
      </c>
      <c r="G117" s="110">
        <f t="shared" si="3"/>
        <v>0.5595084568439407</v>
      </c>
    </row>
    <row r="118" spans="1:7" s="6" customFormat="1" ht="18.75" customHeight="1">
      <c r="A118" s="50"/>
      <c r="B118" s="50"/>
      <c r="C118" s="52" t="s">
        <v>36</v>
      </c>
      <c r="D118" s="53">
        <v>4366000</v>
      </c>
      <c r="E118" s="53">
        <v>4366000</v>
      </c>
      <c r="F118" s="53">
        <v>2415521</v>
      </c>
      <c r="G118" s="116">
        <f t="shared" si="3"/>
        <v>0.5532572148419606</v>
      </c>
    </row>
    <row r="119" spans="1:7" s="6" customFormat="1" ht="18.75" customHeight="1">
      <c r="A119" s="50"/>
      <c r="B119" s="50"/>
      <c r="C119" s="60" t="s">
        <v>37</v>
      </c>
      <c r="D119" s="59">
        <v>499000</v>
      </c>
      <c r="E119" s="59">
        <v>499000</v>
      </c>
      <c r="F119" s="59">
        <v>337704</v>
      </c>
      <c r="G119" s="117">
        <f t="shared" si="3"/>
        <v>0.6767615230460922</v>
      </c>
    </row>
    <row r="120" spans="1:7" s="6" customFormat="1" ht="18.75" customHeight="1">
      <c r="A120" s="50"/>
      <c r="B120" s="50"/>
      <c r="C120" s="60" t="s">
        <v>38</v>
      </c>
      <c r="D120" s="59">
        <v>870000</v>
      </c>
      <c r="E120" s="59">
        <v>870000</v>
      </c>
      <c r="F120" s="59">
        <v>455556</v>
      </c>
      <c r="G120" s="117">
        <f t="shared" si="3"/>
        <v>0.5236275862068965</v>
      </c>
    </row>
    <row r="121" spans="1:7" s="6" customFormat="1" ht="19.5" customHeight="1">
      <c r="A121" s="50"/>
      <c r="B121" s="38">
        <v>80104</v>
      </c>
      <c r="C121" s="38" t="s">
        <v>170</v>
      </c>
      <c r="D121" s="39">
        <f>SUM(D122:D124)</f>
        <v>1183000</v>
      </c>
      <c r="E121" s="39">
        <f>SUM(E122:E124)</f>
        <v>1236137</v>
      </c>
      <c r="F121" s="39">
        <f>SUM(F122:F124)</f>
        <v>660311</v>
      </c>
      <c r="G121" s="110">
        <f t="shared" si="3"/>
        <v>0.5341729921521644</v>
      </c>
    </row>
    <row r="122" spans="1:7" s="6" customFormat="1" ht="18.75" customHeight="1">
      <c r="A122" s="50"/>
      <c r="B122" s="50"/>
      <c r="C122" s="52" t="s">
        <v>36</v>
      </c>
      <c r="D122" s="53">
        <v>880000</v>
      </c>
      <c r="E122" s="53">
        <v>914197</v>
      </c>
      <c r="F122" s="53">
        <v>498999</v>
      </c>
      <c r="G122" s="116">
        <f t="shared" si="3"/>
        <v>0.5458331191198396</v>
      </c>
    </row>
    <row r="123" spans="1:7" s="6" customFormat="1" ht="18.75" customHeight="1">
      <c r="A123" s="50"/>
      <c r="B123" s="50"/>
      <c r="C123" s="60" t="s">
        <v>37</v>
      </c>
      <c r="D123" s="59">
        <v>123000</v>
      </c>
      <c r="E123" s="59">
        <v>139240</v>
      </c>
      <c r="F123" s="59">
        <v>67270</v>
      </c>
      <c r="G123" s="117">
        <f t="shared" si="3"/>
        <v>0.48312266590060327</v>
      </c>
    </row>
    <row r="124" spans="1:7" s="6" customFormat="1" ht="18.75" customHeight="1">
      <c r="A124" s="50"/>
      <c r="B124" s="54"/>
      <c r="C124" s="64" t="s">
        <v>38</v>
      </c>
      <c r="D124" s="46">
        <v>180000</v>
      </c>
      <c r="E124" s="46">
        <v>182700</v>
      </c>
      <c r="F124" s="46">
        <v>94042</v>
      </c>
      <c r="G124" s="121">
        <f t="shared" si="3"/>
        <v>0.5147345374931582</v>
      </c>
    </row>
    <row r="125" spans="1:7" s="27" customFormat="1" ht="19.5" customHeight="1">
      <c r="A125" s="37"/>
      <c r="B125" s="56">
        <v>80110</v>
      </c>
      <c r="C125" s="56" t="s">
        <v>40</v>
      </c>
      <c r="D125" s="57">
        <f>SUM(D126:D130)</f>
        <v>47251000</v>
      </c>
      <c r="E125" s="57">
        <f>SUM(E126:E130)</f>
        <v>47233492</v>
      </c>
      <c r="F125" s="57">
        <f>SUM(F126:F130)</f>
        <v>24688867</v>
      </c>
      <c r="G125" s="119">
        <f t="shared" si="3"/>
        <v>0.522698321775574</v>
      </c>
    </row>
    <row r="126" spans="1:7" s="6" customFormat="1" ht="18.75" customHeight="1">
      <c r="A126" s="50"/>
      <c r="B126" s="50"/>
      <c r="C126" s="52" t="s">
        <v>36</v>
      </c>
      <c r="D126" s="53">
        <f>30817000-820000</f>
        <v>29997000</v>
      </c>
      <c r="E126" s="53">
        <v>29997000</v>
      </c>
      <c r="F126" s="53">
        <v>15790204</v>
      </c>
      <c r="G126" s="116">
        <f t="shared" si="3"/>
        <v>0.5263927726105944</v>
      </c>
    </row>
    <row r="127" spans="1:7" s="6" customFormat="1" ht="18.75" customHeight="1">
      <c r="A127" s="50"/>
      <c r="B127" s="50"/>
      <c r="C127" s="60" t="s">
        <v>37</v>
      </c>
      <c r="D127" s="59">
        <f>6334000+100000</f>
        <v>6434000</v>
      </c>
      <c r="E127" s="59">
        <v>6489977</v>
      </c>
      <c r="F127" s="59">
        <v>4263647</v>
      </c>
      <c r="G127" s="117">
        <f t="shared" si="3"/>
        <v>0.656958722658031</v>
      </c>
    </row>
    <row r="128" spans="1:7" s="6" customFormat="1" ht="18.75" customHeight="1">
      <c r="A128" s="50"/>
      <c r="B128" s="50"/>
      <c r="C128" s="60" t="s">
        <v>38</v>
      </c>
      <c r="D128" s="59">
        <f>6300000-80000</f>
        <v>6220000</v>
      </c>
      <c r="E128" s="59">
        <v>6200000</v>
      </c>
      <c r="F128" s="59">
        <v>3046542</v>
      </c>
      <c r="G128" s="117">
        <f t="shared" si="3"/>
        <v>0.4913777419354839</v>
      </c>
    </row>
    <row r="129" spans="1:7" s="6" customFormat="1" ht="18.75" customHeight="1">
      <c r="A129" s="50"/>
      <c r="B129" s="50"/>
      <c r="C129" s="60" t="s">
        <v>163</v>
      </c>
      <c r="D129" s="59">
        <v>1700000</v>
      </c>
      <c r="E129" s="59">
        <v>1700000</v>
      </c>
      <c r="F129" s="59">
        <v>989553</v>
      </c>
      <c r="G129" s="117">
        <f t="shared" si="3"/>
        <v>0.58209</v>
      </c>
    </row>
    <row r="130" spans="1:7" s="6" customFormat="1" ht="18.75" customHeight="1">
      <c r="A130" s="54"/>
      <c r="B130" s="54"/>
      <c r="C130" s="54" t="s">
        <v>4</v>
      </c>
      <c r="D130" s="55">
        <f>1400000+1500000</f>
        <v>2900000</v>
      </c>
      <c r="E130" s="55">
        <v>2846515</v>
      </c>
      <c r="F130" s="55">
        <v>598921</v>
      </c>
      <c r="G130" s="118">
        <f t="shared" si="3"/>
        <v>0.2104050040136799</v>
      </c>
    </row>
    <row r="131" spans="1:7" s="27" customFormat="1" ht="19.5" customHeight="1">
      <c r="A131" s="37"/>
      <c r="B131" s="56">
        <v>80111</v>
      </c>
      <c r="C131" s="56" t="s">
        <v>150</v>
      </c>
      <c r="D131" s="57">
        <f>SUM(D132:D134)</f>
        <v>3119000</v>
      </c>
      <c r="E131" s="57">
        <f>SUM(E132:E134)</f>
        <v>3119000</v>
      </c>
      <c r="F131" s="57">
        <f>SUM(F132:F134)</f>
        <v>1807560</v>
      </c>
      <c r="G131" s="119">
        <f t="shared" si="3"/>
        <v>0.5795319012504008</v>
      </c>
    </row>
    <row r="132" spans="1:7" s="6" customFormat="1" ht="19.5" customHeight="1">
      <c r="A132" s="50"/>
      <c r="B132" s="50"/>
      <c r="C132" s="52" t="s">
        <v>36</v>
      </c>
      <c r="D132" s="53">
        <v>2300000</v>
      </c>
      <c r="E132" s="53">
        <v>2300000</v>
      </c>
      <c r="F132" s="53">
        <v>1363686</v>
      </c>
      <c r="G132" s="116">
        <f t="shared" si="3"/>
        <v>0.5929069565217391</v>
      </c>
    </row>
    <row r="133" spans="1:7" s="6" customFormat="1" ht="19.5" customHeight="1">
      <c r="A133" s="50"/>
      <c r="B133" s="50"/>
      <c r="C133" s="60" t="s">
        <v>37</v>
      </c>
      <c r="D133" s="59">
        <v>339000</v>
      </c>
      <c r="E133" s="59">
        <v>339000</v>
      </c>
      <c r="F133" s="59">
        <v>191456</v>
      </c>
      <c r="G133" s="117">
        <f t="shared" si="3"/>
        <v>0.5647669616519174</v>
      </c>
    </row>
    <row r="134" spans="1:7" s="6" customFormat="1" ht="19.5" customHeight="1">
      <c r="A134" s="50"/>
      <c r="B134" s="54"/>
      <c r="C134" s="54" t="s">
        <v>38</v>
      </c>
      <c r="D134" s="55">
        <v>480000</v>
      </c>
      <c r="E134" s="55">
        <v>480000</v>
      </c>
      <c r="F134" s="55">
        <v>252418</v>
      </c>
      <c r="G134" s="118">
        <f t="shared" si="3"/>
        <v>0.5258708333333333</v>
      </c>
    </row>
    <row r="135" spans="1:7" s="27" customFormat="1" ht="19.5" customHeight="1">
      <c r="A135" s="37"/>
      <c r="B135" s="56">
        <v>80113</v>
      </c>
      <c r="C135" s="56" t="s">
        <v>41</v>
      </c>
      <c r="D135" s="57">
        <f>D136</f>
        <v>270000</v>
      </c>
      <c r="E135" s="57">
        <f>E136</f>
        <v>270000</v>
      </c>
      <c r="F135" s="57">
        <f>F136</f>
        <v>147705</v>
      </c>
      <c r="G135" s="119">
        <f t="shared" si="3"/>
        <v>0.5470555555555555</v>
      </c>
    </row>
    <row r="136" spans="1:7" s="6" customFormat="1" ht="19.5" customHeight="1">
      <c r="A136" s="50"/>
      <c r="B136" s="68"/>
      <c r="C136" s="68" t="s">
        <v>151</v>
      </c>
      <c r="D136" s="70">
        <v>270000</v>
      </c>
      <c r="E136" s="70">
        <v>270000</v>
      </c>
      <c r="F136" s="70">
        <v>147705</v>
      </c>
      <c r="G136" s="111">
        <f aca="true" t="shared" si="4" ref="G136:G198">F136/E136</f>
        <v>0.5470555555555555</v>
      </c>
    </row>
    <row r="137" spans="1:7" s="27" customFormat="1" ht="19.5" customHeight="1">
      <c r="A137" s="37"/>
      <c r="B137" s="56">
        <v>80120</v>
      </c>
      <c r="C137" s="56" t="s">
        <v>212</v>
      </c>
      <c r="D137" s="57">
        <f>SUM(D138:D142)</f>
        <v>38192000</v>
      </c>
      <c r="E137" s="57">
        <f>SUM(E138:E142)</f>
        <v>38279555</v>
      </c>
      <c r="F137" s="57">
        <f>SUM(F138:F142)</f>
        <v>20485338</v>
      </c>
      <c r="G137" s="119">
        <f t="shared" si="4"/>
        <v>0.5351508919056138</v>
      </c>
    </row>
    <row r="138" spans="1:7" s="6" customFormat="1" ht="19.5" customHeight="1">
      <c r="A138" s="50"/>
      <c r="B138" s="50"/>
      <c r="C138" s="52" t="s">
        <v>36</v>
      </c>
      <c r="D138" s="53">
        <f>24700000-200000</f>
        <v>24500000</v>
      </c>
      <c r="E138" s="53">
        <v>24643000</v>
      </c>
      <c r="F138" s="53">
        <v>12935658</v>
      </c>
      <c r="G138" s="116">
        <f t="shared" si="4"/>
        <v>0.5249222091466137</v>
      </c>
    </row>
    <row r="139" spans="1:7" s="6" customFormat="1" ht="19.5" customHeight="1">
      <c r="A139" s="50"/>
      <c r="B139" s="50"/>
      <c r="C139" s="60" t="s">
        <v>37</v>
      </c>
      <c r="D139" s="59">
        <f>4502000+100000</f>
        <v>4602000</v>
      </c>
      <c r="E139" s="59">
        <v>4641248</v>
      </c>
      <c r="F139" s="59">
        <v>2971094</v>
      </c>
      <c r="G139" s="117">
        <f t="shared" si="4"/>
        <v>0.6401498045353319</v>
      </c>
    </row>
    <row r="140" spans="1:7" s="6" customFormat="1" ht="19.5" customHeight="1">
      <c r="A140" s="50"/>
      <c r="B140" s="50"/>
      <c r="C140" s="60" t="s">
        <v>38</v>
      </c>
      <c r="D140" s="59">
        <v>4990000</v>
      </c>
      <c r="E140" s="59">
        <v>4983250</v>
      </c>
      <c r="F140" s="59">
        <v>2602271</v>
      </c>
      <c r="G140" s="117">
        <f t="shared" si="4"/>
        <v>0.522203581999699</v>
      </c>
    </row>
    <row r="141" spans="1:7" s="6" customFormat="1" ht="20.25" customHeight="1">
      <c r="A141" s="50"/>
      <c r="B141" s="50"/>
      <c r="C141" s="58" t="s">
        <v>211</v>
      </c>
      <c r="D141" s="59">
        <v>4100000</v>
      </c>
      <c r="E141" s="59">
        <v>3994900</v>
      </c>
      <c r="F141" s="59">
        <v>1959194</v>
      </c>
      <c r="G141" s="117">
        <f t="shared" si="4"/>
        <v>0.49042379033267414</v>
      </c>
    </row>
    <row r="142" spans="1:7" s="6" customFormat="1" ht="19.5" customHeight="1">
      <c r="A142" s="50"/>
      <c r="B142" s="54"/>
      <c r="C142" s="54" t="s">
        <v>4</v>
      </c>
      <c r="D142" s="55"/>
      <c r="E142" s="55">
        <v>17157</v>
      </c>
      <c r="F142" s="55">
        <v>17121</v>
      </c>
      <c r="G142" s="118">
        <f t="shared" si="4"/>
        <v>0.9979017310718657</v>
      </c>
    </row>
    <row r="143" spans="1:7" s="27" customFormat="1" ht="19.5" customHeight="1">
      <c r="A143" s="37"/>
      <c r="B143" s="56">
        <v>80121</v>
      </c>
      <c r="C143" s="56" t="s">
        <v>210</v>
      </c>
      <c r="D143" s="57">
        <f>SUM(D144:D146)</f>
        <v>1179000</v>
      </c>
      <c r="E143" s="57">
        <f>SUM(E144:E146)</f>
        <v>1179000</v>
      </c>
      <c r="F143" s="57">
        <f>SUM(F144:F146)</f>
        <v>675692</v>
      </c>
      <c r="G143" s="119">
        <f t="shared" si="4"/>
        <v>0.573106022052587</v>
      </c>
    </row>
    <row r="144" spans="1:7" s="6" customFormat="1" ht="19.5" customHeight="1">
      <c r="A144" s="50"/>
      <c r="B144" s="50"/>
      <c r="C144" s="52" t="s">
        <v>36</v>
      </c>
      <c r="D144" s="53">
        <v>890000</v>
      </c>
      <c r="E144" s="53">
        <v>890000</v>
      </c>
      <c r="F144" s="53">
        <v>498382</v>
      </c>
      <c r="G144" s="116">
        <f t="shared" si="4"/>
        <v>0.5599797752808989</v>
      </c>
    </row>
    <row r="145" spans="1:7" s="6" customFormat="1" ht="19.5" customHeight="1">
      <c r="A145" s="50"/>
      <c r="B145" s="50"/>
      <c r="C145" s="60" t="s">
        <v>37</v>
      </c>
      <c r="D145" s="59">
        <v>114000</v>
      </c>
      <c r="E145" s="59">
        <v>114000</v>
      </c>
      <c r="F145" s="59">
        <v>77616</v>
      </c>
      <c r="G145" s="117">
        <f t="shared" si="4"/>
        <v>0.6808421052631579</v>
      </c>
    </row>
    <row r="146" spans="1:7" s="6" customFormat="1" ht="19.5" customHeight="1">
      <c r="A146" s="50"/>
      <c r="B146" s="54"/>
      <c r="C146" s="64" t="s">
        <v>38</v>
      </c>
      <c r="D146" s="46">
        <v>175000</v>
      </c>
      <c r="E146" s="46">
        <v>175000</v>
      </c>
      <c r="F146" s="46">
        <v>99694</v>
      </c>
      <c r="G146" s="121">
        <f t="shared" si="4"/>
        <v>0.56968</v>
      </c>
    </row>
    <row r="147" spans="1:7" s="27" customFormat="1" ht="19.5" customHeight="1">
      <c r="A147" s="37"/>
      <c r="B147" s="56">
        <v>80123</v>
      </c>
      <c r="C147" s="56" t="s">
        <v>224</v>
      </c>
      <c r="D147" s="57">
        <f>SUM(D148:D151)</f>
        <v>3200000</v>
      </c>
      <c r="E147" s="57">
        <f>SUM(E148:E151)</f>
        <v>3579100</v>
      </c>
      <c r="F147" s="57">
        <f>SUM(F148:F151)</f>
        <v>1798447</v>
      </c>
      <c r="G147" s="119">
        <f t="shared" si="4"/>
        <v>0.502485820457657</v>
      </c>
    </row>
    <row r="148" spans="1:7" s="6" customFormat="1" ht="19.5" customHeight="1">
      <c r="A148" s="50"/>
      <c r="B148" s="50"/>
      <c r="C148" s="52" t="s">
        <v>36</v>
      </c>
      <c r="D148" s="53">
        <v>2042000</v>
      </c>
      <c r="E148" s="53">
        <v>2272000</v>
      </c>
      <c r="F148" s="53">
        <v>1186335</v>
      </c>
      <c r="G148" s="116">
        <f t="shared" si="4"/>
        <v>0.5221544894366197</v>
      </c>
    </row>
    <row r="149" spans="1:7" s="6" customFormat="1" ht="19.5" customHeight="1">
      <c r="A149" s="50"/>
      <c r="B149" s="50"/>
      <c r="C149" s="60" t="s">
        <v>37</v>
      </c>
      <c r="D149" s="43">
        <v>458000</v>
      </c>
      <c r="E149" s="43">
        <v>458000</v>
      </c>
      <c r="F149" s="43">
        <v>228029</v>
      </c>
      <c r="G149" s="114">
        <f t="shared" si="4"/>
        <v>0.4978799126637555</v>
      </c>
    </row>
    <row r="150" spans="1:7" s="6" customFormat="1" ht="19.5" customHeight="1">
      <c r="A150" s="50"/>
      <c r="B150" s="50"/>
      <c r="C150" s="60" t="s">
        <v>38</v>
      </c>
      <c r="D150" s="59">
        <v>500000</v>
      </c>
      <c r="E150" s="59">
        <v>544000</v>
      </c>
      <c r="F150" s="59">
        <v>219094</v>
      </c>
      <c r="G150" s="117">
        <f t="shared" si="4"/>
        <v>0.40274632352941175</v>
      </c>
    </row>
    <row r="151" spans="1:7" s="6" customFormat="1" ht="20.25" customHeight="1">
      <c r="A151" s="50"/>
      <c r="B151" s="54"/>
      <c r="C151" s="45" t="s">
        <v>230</v>
      </c>
      <c r="D151" s="46">
        <v>200000</v>
      </c>
      <c r="E151" s="46">
        <v>305100</v>
      </c>
      <c r="F151" s="46">
        <v>164989</v>
      </c>
      <c r="G151" s="121">
        <f t="shared" si="4"/>
        <v>0.5407702392658145</v>
      </c>
    </row>
    <row r="152" spans="1:7" s="27" customFormat="1" ht="19.5" customHeight="1">
      <c r="A152" s="37"/>
      <c r="B152" s="56">
        <v>80130</v>
      </c>
      <c r="C152" s="56" t="s">
        <v>171</v>
      </c>
      <c r="D152" s="57">
        <f>SUM(D153:D157)</f>
        <v>49082675</v>
      </c>
      <c r="E152" s="57">
        <f>SUM(E153:E157)</f>
        <v>53711668</v>
      </c>
      <c r="F152" s="57">
        <f>SUM(F153:F157)</f>
        <v>24763290</v>
      </c>
      <c r="G152" s="119">
        <f t="shared" si="4"/>
        <v>0.46104116520827465</v>
      </c>
    </row>
    <row r="153" spans="1:7" s="6" customFormat="1" ht="19.5" customHeight="1">
      <c r="A153" s="50"/>
      <c r="B153" s="50"/>
      <c r="C153" s="52" t="s">
        <v>36</v>
      </c>
      <c r="D153" s="53">
        <f>33000000-834325</f>
        <v>32165675</v>
      </c>
      <c r="E153" s="53">
        <v>31792675</v>
      </c>
      <c r="F153" s="53">
        <v>15719065</v>
      </c>
      <c r="G153" s="116">
        <f t="shared" si="4"/>
        <v>0.49442410869799414</v>
      </c>
    </row>
    <row r="154" spans="1:7" s="6" customFormat="1" ht="19.5" customHeight="1">
      <c r="A154" s="50"/>
      <c r="B154" s="50"/>
      <c r="C154" s="79" t="s">
        <v>37</v>
      </c>
      <c r="D154" s="43">
        <f>5697000+100000</f>
        <v>5797000</v>
      </c>
      <c r="E154" s="43">
        <v>5924530</v>
      </c>
      <c r="F154" s="43">
        <v>3881695</v>
      </c>
      <c r="G154" s="114">
        <f t="shared" si="4"/>
        <v>0.6551903695314227</v>
      </c>
    </row>
    <row r="155" spans="1:7" s="6" customFormat="1" ht="19.5" customHeight="1">
      <c r="A155" s="50"/>
      <c r="B155" s="50"/>
      <c r="C155" s="60" t="s">
        <v>38</v>
      </c>
      <c r="D155" s="59">
        <v>6620000</v>
      </c>
      <c r="E155" s="59">
        <v>6489950</v>
      </c>
      <c r="F155" s="59">
        <v>3070662</v>
      </c>
      <c r="G155" s="117">
        <f t="shared" si="4"/>
        <v>0.4731410873735545</v>
      </c>
    </row>
    <row r="156" spans="1:7" s="6" customFormat="1" ht="20.25" customHeight="1">
      <c r="A156" s="50"/>
      <c r="B156" s="50"/>
      <c r="C156" s="58" t="s">
        <v>209</v>
      </c>
      <c r="D156" s="59">
        <v>3300000</v>
      </c>
      <c r="E156" s="59">
        <v>3300000</v>
      </c>
      <c r="F156" s="59">
        <v>1674545</v>
      </c>
      <c r="G156" s="117">
        <f t="shared" si="4"/>
        <v>0.5074378787878788</v>
      </c>
    </row>
    <row r="157" spans="1:7" s="6" customFormat="1" ht="19.5" customHeight="1">
      <c r="A157" s="54"/>
      <c r="B157" s="54"/>
      <c r="C157" s="54" t="s">
        <v>4</v>
      </c>
      <c r="D157" s="55">
        <f>1000000+200000</f>
        <v>1200000</v>
      </c>
      <c r="E157" s="55">
        <v>6204513</v>
      </c>
      <c r="F157" s="55">
        <v>417323</v>
      </c>
      <c r="G157" s="118">
        <f t="shared" si="4"/>
        <v>0.06726120164467381</v>
      </c>
    </row>
    <row r="158" spans="1:7" s="27" customFormat="1" ht="19.5" customHeight="1">
      <c r="A158" s="37"/>
      <c r="B158" s="56">
        <v>80134</v>
      </c>
      <c r="C158" s="56" t="s">
        <v>42</v>
      </c>
      <c r="D158" s="57">
        <f>SUM(D159:D161)</f>
        <v>4397000</v>
      </c>
      <c r="E158" s="57">
        <f>SUM(E159:E161)</f>
        <v>4397000</v>
      </c>
      <c r="F158" s="57">
        <f>SUM(F159:F161)</f>
        <v>2300224</v>
      </c>
      <c r="G158" s="119">
        <f t="shared" si="4"/>
        <v>0.523134864680464</v>
      </c>
    </row>
    <row r="159" spans="1:7" s="6" customFormat="1" ht="19.5" customHeight="1">
      <c r="A159" s="50"/>
      <c r="B159" s="50"/>
      <c r="C159" s="52" t="s">
        <v>36</v>
      </c>
      <c r="D159" s="53">
        <v>3300000</v>
      </c>
      <c r="E159" s="53">
        <v>3300000</v>
      </c>
      <c r="F159" s="53">
        <v>1657526</v>
      </c>
      <c r="G159" s="116">
        <f t="shared" si="4"/>
        <v>0.5022806060606061</v>
      </c>
    </row>
    <row r="160" spans="1:7" s="6" customFormat="1" ht="19.5" customHeight="1">
      <c r="A160" s="50"/>
      <c r="B160" s="50"/>
      <c r="C160" s="60" t="s">
        <v>37</v>
      </c>
      <c r="D160" s="59">
        <v>427000</v>
      </c>
      <c r="E160" s="59">
        <v>427000</v>
      </c>
      <c r="F160" s="59">
        <v>322010</v>
      </c>
      <c r="G160" s="117">
        <f t="shared" si="4"/>
        <v>0.7541217798594848</v>
      </c>
    </row>
    <row r="161" spans="1:7" s="6" customFormat="1" ht="19.5" customHeight="1">
      <c r="A161" s="50"/>
      <c r="B161" s="54"/>
      <c r="C161" s="64" t="s">
        <v>38</v>
      </c>
      <c r="D161" s="46">
        <v>670000</v>
      </c>
      <c r="E161" s="46">
        <v>670000</v>
      </c>
      <c r="F161" s="46">
        <v>320688</v>
      </c>
      <c r="G161" s="121">
        <f t="shared" si="4"/>
        <v>0.47863880597014924</v>
      </c>
    </row>
    <row r="162" spans="1:7" s="27" customFormat="1" ht="30" customHeight="1">
      <c r="A162" s="37"/>
      <c r="B162" s="65">
        <v>80140</v>
      </c>
      <c r="C162" s="66" t="s">
        <v>125</v>
      </c>
      <c r="D162" s="57">
        <f>SUM(D163:D165)</f>
        <v>8083000</v>
      </c>
      <c r="E162" s="57">
        <f>SUM(E163:E165)</f>
        <v>8083000</v>
      </c>
      <c r="F162" s="57">
        <f>SUM(F163:F165)</f>
        <v>4578132</v>
      </c>
      <c r="G162" s="119">
        <f t="shared" si="4"/>
        <v>0.5663902016578003</v>
      </c>
    </row>
    <row r="163" spans="1:7" s="6" customFormat="1" ht="19.5" customHeight="1">
      <c r="A163" s="50"/>
      <c r="B163" s="51"/>
      <c r="C163" s="52" t="s">
        <v>36</v>
      </c>
      <c r="D163" s="53">
        <v>5900000</v>
      </c>
      <c r="E163" s="53">
        <v>5900000</v>
      </c>
      <c r="F163" s="53">
        <v>3241053</v>
      </c>
      <c r="G163" s="116">
        <f t="shared" si="4"/>
        <v>0.5493310169491525</v>
      </c>
    </row>
    <row r="164" spans="1:7" s="6" customFormat="1" ht="19.5" customHeight="1">
      <c r="A164" s="50"/>
      <c r="B164" s="50"/>
      <c r="C164" s="60" t="s">
        <v>37</v>
      </c>
      <c r="D164" s="59">
        <v>993000</v>
      </c>
      <c r="E164" s="59">
        <v>1028000</v>
      </c>
      <c r="F164" s="59">
        <v>738114</v>
      </c>
      <c r="G164" s="117">
        <f t="shared" si="4"/>
        <v>0.7180097276264591</v>
      </c>
    </row>
    <row r="165" spans="1:7" s="6" customFormat="1" ht="19.5" customHeight="1">
      <c r="A165" s="50"/>
      <c r="B165" s="54"/>
      <c r="C165" s="64" t="s">
        <v>38</v>
      </c>
      <c r="D165" s="46">
        <v>1190000</v>
      </c>
      <c r="E165" s="46">
        <v>1155000</v>
      </c>
      <c r="F165" s="46">
        <v>598965</v>
      </c>
      <c r="G165" s="121">
        <f t="shared" si="4"/>
        <v>0.5185844155844156</v>
      </c>
    </row>
    <row r="166" spans="1:7" s="6" customFormat="1" ht="19.5" customHeight="1">
      <c r="A166" s="50"/>
      <c r="B166" s="56">
        <v>80145</v>
      </c>
      <c r="C166" s="56" t="s">
        <v>126</v>
      </c>
      <c r="D166" s="57">
        <f>D167</f>
        <v>60000</v>
      </c>
      <c r="E166" s="57">
        <f>E167</f>
        <v>60468</v>
      </c>
      <c r="F166" s="57"/>
      <c r="G166" s="119"/>
    </row>
    <row r="167" spans="1:7" s="6" customFormat="1" ht="19.5" customHeight="1">
      <c r="A167" s="50"/>
      <c r="B167" s="54"/>
      <c r="C167" s="67" t="s">
        <v>202</v>
      </c>
      <c r="D167" s="55">
        <v>60000</v>
      </c>
      <c r="E167" s="55">
        <v>60468</v>
      </c>
      <c r="F167" s="55"/>
      <c r="G167" s="118"/>
    </row>
    <row r="168" spans="1:7" s="6" customFormat="1" ht="19.5" customHeight="1">
      <c r="A168" s="50"/>
      <c r="B168" s="56">
        <v>80146</v>
      </c>
      <c r="C168" s="56" t="s">
        <v>225</v>
      </c>
      <c r="D168" s="57">
        <f>D169</f>
        <v>1200000</v>
      </c>
      <c r="E168" s="57">
        <f>E169</f>
        <v>1200000</v>
      </c>
      <c r="F168" s="57">
        <f>F169</f>
        <v>415048</v>
      </c>
      <c r="G168" s="119">
        <f t="shared" si="4"/>
        <v>0.3458733333333333</v>
      </c>
    </row>
    <row r="169" spans="1:7" s="6" customFormat="1" ht="19.5" customHeight="1">
      <c r="A169" s="50"/>
      <c r="B169" s="54"/>
      <c r="C169" s="67" t="s">
        <v>226</v>
      </c>
      <c r="D169" s="55">
        <v>1200000</v>
      </c>
      <c r="E169" s="55">
        <v>1200000</v>
      </c>
      <c r="F169" s="55">
        <v>415048</v>
      </c>
      <c r="G169" s="118">
        <f t="shared" si="4"/>
        <v>0.3458733333333333</v>
      </c>
    </row>
    <row r="170" spans="1:7" s="27" customFormat="1" ht="19.5" customHeight="1">
      <c r="A170" s="37"/>
      <c r="B170" s="56">
        <v>80195</v>
      </c>
      <c r="C170" s="56" t="s">
        <v>2</v>
      </c>
      <c r="D170" s="57">
        <f>SUM(D171:D174)</f>
        <v>1299000</v>
      </c>
      <c r="E170" s="57">
        <f>SUM(E171:E175)</f>
        <v>1299000</v>
      </c>
      <c r="F170" s="57">
        <f>SUM(F171:F175)</f>
        <v>980685</v>
      </c>
      <c r="G170" s="119">
        <f t="shared" si="4"/>
        <v>0.7549538106235566</v>
      </c>
    </row>
    <row r="171" spans="1:7" s="6" customFormat="1" ht="28.5" customHeight="1">
      <c r="A171" s="50"/>
      <c r="B171" s="50"/>
      <c r="C171" s="71" t="s">
        <v>128</v>
      </c>
      <c r="D171" s="53">
        <v>15000</v>
      </c>
      <c r="E171" s="53">
        <v>15000</v>
      </c>
      <c r="F171" s="53">
        <v>7286</v>
      </c>
      <c r="G171" s="116">
        <f t="shared" si="4"/>
        <v>0.48573333333333335</v>
      </c>
    </row>
    <row r="172" spans="1:7" s="6" customFormat="1" ht="19.5" customHeight="1">
      <c r="A172" s="50"/>
      <c r="B172" s="50"/>
      <c r="C172" s="58" t="s">
        <v>116</v>
      </c>
      <c r="D172" s="59">
        <v>3000</v>
      </c>
      <c r="E172" s="59">
        <v>3000</v>
      </c>
      <c r="F172" s="59">
        <v>595</v>
      </c>
      <c r="G172" s="117">
        <f t="shared" si="4"/>
        <v>0.19833333333333333</v>
      </c>
    </row>
    <row r="173" spans="1:7" s="6" customFormat="1" ht="55.5" customHeight="1">
      <c r="A173" s="50"/>
      <c r="B173" s="50"/>
      <c r="C173" s="42" t="s">
        <v>237</v>
      </c>
      <c r="D173" s="43">
        <f>800000-500000</f>
        <v>300000</v>
      </c>
      <c r="E173" s="43">
        <v>300000</v>
      </c>
      <c r="F173" s="43"/>
      <c r="G173" s="114"/>
    </row>
    <row r="174" spans="1:7" s="6" customFormat="1" ht="30" customHeight="1">
      <c r="A174" s="50"/>
      <c r="B174" s="50"/>
      <c r="C174" s="58" t="s">
        <v>296</v>
      </c>
      <c r="D174" s="59">
        <f>1000000-19000</f>
        <v>981000</v>
      </c>
      <c r="E174" s="59">
        <v>978582</v>
      </c>
      <c r="F174" s="59">
        <v>970386</v>
      </c>
      <c r="G174" s="117">
        <f t="shared" si="4"/>
        <v>0.9916246160260459</v>
      </c>
    </row>
    <row r="175" spans="1:7" s="6" customFormat="1" ht="29.25" customHeight="1">
      <c r="A175" s="50"/>
      <c r="B175" s="54"/>
      <c r="C175" s="45" t="s">
        <v>279</v>
      </c>
      <c r="D175" s="46"/>
      <c r="E175" s="46">
        <v>2418</v>
      </c>
      <c r="F175" s="46">
        <v>2418</v>
      </c>
      <c r="G175" s="121">
        <f>F175/E175</f>
        <v>1</v>
      </c>
    </row>
    <row r="176" spans="1:7" s="27" customFormat="1" ht="19.5" customHeight="1">
      <c r="A176" s="37"/>
      <c r="B176" s="56">
        <v>80197</v>
      </c>
      <c r="C176" s="56" t="s">
        <v>61</v>
      </c>
      <c r="D176" s="57">
        <f>D177</f>
        <v>137000</v>
      </c>
      <c r="E176" s="57">
        <f>E177</f>
        <v>137000</v>
      </c>
      <c r="F176" s="57">
        <f>F177</f>
        <v>68700</v>
      </c>
      <c r="G176" s="119">
        <f t="shared" si="4"/>
        <v>0.5014598540145986</v>
      </c>
    </row>
    <row r="177" spans="1:7" s="6" customFormat="1" ht="31.5" customHeight="1">
      <c r="A177" s="54"/>
      <c r="B177" s="68"/>
      <c r="C177" s="69" t="s">
        <v>127</v>
      </c>
      <c r="D177" s="70">
        <v>137000</v>
      </c>
      <c r="E177" s="70">
        <v>137000</v>
      </c>
      <c r="F177" s="70">
        <v>68700</v>
      </c>
      <c r="G177" s="111">
        <f t="shared" si="4"/>
        <v>0.5014598540145986</v>
      </c>
    </row>
    <row r="178" spans="1:7" s="6" customFormat="1" ht="19.5" customHeight="1">
      <c r="A178" s="34">
        <v>851</v>
      </c>
      <c r="B178" s="34"/>
      <c r="C178" s="34" t="s">
        <v>44</v>
      </c>
      <c r="D178" s="35">
        <f>D179+D184+D186+D188+D190</f>
        <v>7095000</v>
      </c>
      <c r="E178" s="35">
        <f>E179+E184+E186+E188+E190</f>
        <v>8861000</v>
      </c>
      <c r="F178" s="35">
        <f>F179+F184+F186+F188+F190</f>
        <v>4014812</v>
      </c>
      <c r="G178" s="109">
        <f t="shared" si="4"/>
        <v>0.4530879133280668</v>
      </c>
    </row>
    <row r="179" spans="1:7" s="27" customFormat="1" ht="19.5" customHeight="1">
      <c r="A179" s="37"/>
      <c r="B179" s="38">
        <v>85121</v>
      </c>
      <c r="C179" s="38" t="s">
        <v>43</v>
      </c>
      <c r="D179" s="39">
        <f>SUM(D180:D183)</f>
        <v>2885000</v>
      </c>
      <c r="E179" s="39">
        <f>SUM(E180:E183)</f>
        <v>3651000</v>
      </c>
      <c r="F179" s="39">
        <f>SUM(F180:F183)</f>
        <v>2215401</v>
      </c>
      <c r="G179" s="110">
        <f t="shared" si="4"/>
        <v>0.6067929334428923</v>
      </c>
    </row>
    <row r="180" spans="1:7" s="6" customFormat="1" ht="19.5" customHeight="1">
      <c r="A180" s="54"/>
      <c r="B180" s="54"/>
      <c r="C180" s="54" t="s">
        <v>227</v>
      </c>
      <c r="D180" s="55">
        <f>1400000+35000</f>
        <v>1435000</v>
      </c>
      <c r="E180" s="55">
        <v>1935000</v>
      </c>
      <c r="F180" s="55">
        <v>1399996</v>
      </c>
      <c r="G180" s="118">
        <f t="shared" si="4"/>
        <v>0.7235121447028424</v>
      </c>
    </row>
    <row r="181" spans="1:7" s="6" customFormat="1" ht="19.5" customHeight="1">
      <c r="A181" s="50"/>
      <c r="B181" s="50"/>
      <c r="C181" s="79" t="s">
        <v>129</v>
      </c>
      <c r="D181" s="43">
        <v>1100000</v>
      </c>
      <c r="E181" s="43">
        <v>1100000</v>
      </c>
      <c r="F181" s="43">
        <v>510000</v>
      </c>
      <c r="G181" s="114">
        <f t="shared" si="4"/>
        <v>0.4636363636363636</v>
      </c>
    </row>
    <row r="182" spans="1:7" s="6" customFormat="1" ht="27.75" customHeight="1">
      <c r="A182" s="50"/>
      <c r="B182" s="50"/>
      <c r="C182" s="58" t="s">
        <v>187</v>
      </c>
      <c r="D182" s="59">
        <v>50000</v>
      </c>
      <c r="E182" s="59">
        <v>50000</v>
      </c>
      <c r="F182" s="59">
        <v>5590</v>
      </c>
      <c r="G182" s="117">
        <f t="shared" si="4"/>
        <v>0.1118</v>
      </c>
    </row>
    <row r="183" spans="1:7" s="6" customFormat="1" ht="19.5" customHeight="1">
      <c r="A183" s="50"/>
      <c r="B183" s="54"/>
      <c r="C183" s="67" t="s">
        <v>4</v>
      </c>
      <c r="D183" s="55">
        <f>200000+100000</f>
        <v>300000</v>
      </c>
      <c r="E183" s="55">
        <v>566000</v>
      </c>
      <c r="F183" s="55">
        <v>299815</v>
      </c>
      <c r="G183" s="118">
        <f t="shared" si="4"/>
        <v>0.529708480565371</v>
      </c>
    </row>
    <row r="184" spans="1:7" s="27" customFormat="1" ht="19.5" customHeight="1">
      <c r="A184" s="37"/>
      <c r="B184" s="56">
        <v>85149</v>
      </c>
      <c r="C184" s="56" t="s">
        <v>45</v>
      </c>
      <c r="D184" s="57">
        <f>D185</f>
        <v>200000</v>
      </c>
      <c r="E184" s="57">
        <f>E185</f>
        <v>200000</v>
      </c>
      <c r="F184" s="57">
        <f>F185</f>
        <v>44859</v>
      </c>
      <c r="G184" s="119">
        <f t="shared" si="4"/>
        <v>0.224295</v>
      </c>
    </row>
    <row r="185" spans="1:7" s="6" customFormat="1" ht="20.25" customHeight="1">
      <c r="A185" s="50"/>
      <c r="B185" s="68"/>
      <c r="C185" s="68" t="s">
        <v>129</v>
      </c>
      <c r="D185" s="70">
        <f>1300000-1100000</f>
        <v>200000</v>
      </c>
      <c r="E185" s="70">
        <v>200000</v>
      </c>
      <c r="F185" s="70">
        <v>44859</v>
      </c>
      <c r="G185" s="111">
        <f t="shared" si="4"/>
        <v>0.224295</v>
      </c>
    </row>
    <row r="186" spans="1:7" s="27" customFormat="1" ht="19.5" customHeight="1">
      <c r="A186" s="37"/>
      <c r="B186" s="38">
        <v>85153</v>
      </c>
      <c r="C186" s="38" t="s">
        <v>152</v>
      </c>
      <c r="D186" s="39">
        <f>D187</f>
        <v>100000</v>
      </c>
      <c r="E186" s="39">
        <f>E187</f>
        <v>100000</v>
      </c>
      <c r="F186" s="39">
        <f>F187</f>
        <v>48581</v>
      </c>
      <c r="G186" s="110">
        <f t="shared" si="4"/>
        <v>0.48581</v>
      </c>
    </row>
    <row r="187" spans="1:7" s="6" customFormat="1" ht="30" customHeight="1">
      <c r="A187" s="50"/>
      <c r="B187" s="68"/>
      <c r="C187" s="69" t="s">
        <v>130</v>
      </c>
      <c r="D187" s="70">
        <v>100000</v>
      </c>
      <c r="E187" s="70">
        <v>100000</v>
      </c>
      <c r="F187" s="70">
        <v>48581</v>
      </c>
      <c r="G187" s="111">
        <f t="shared" si="4"/>
        <v>0.48581</v>
      </c>
    </row>
    <row r="188" spans="1:7" s="27" customFormat="1" ht="19.5" customHeight="1">
      <c r="A188" s="37"/>
      <c r="B188" s="56">
        <v>85154</v>
      </c>
      <c r="C188" s="56" t="s">
        <v>46</v>
      </c>
      <c r="D188" s="57">
        <f>D189</f>
        <v>3500000</v>
      </c>
      <c r="E188" s="57">
        <f>E189</f>
        <v>4500000</v>
      </c>
      <c r="F188" s="57">
        <f>F189</f>
        <v>1484268</v>
      </c>
      <c r="G188" s="119">
        <f t="shared" si="4"/>
        <v>0.3298373333333333</v>
      </c>
    </row>
    <row r="189" spans="1:7" s="6" customFormat="1" ht="29.25" customHeight="1">
      <c r="A189" s="50"/>
      <c r="B189" s="68"/>
      <c r="C189" s="69" t="s">
        <v>220</v>
      </c>
      <c r="D189" s="70">
        <v>3500000</v>
      </c>
      <c r="E189" s="70">
        <v>4500000</v>
      </c>
      <c r="F189" s="70">
        <v>1484268</v>
      </c>
      <c r="G189" s="111">
        <f t="shared" si="4"/>
        <v>0.3298373333333333</v>
      </c>
    </row>
    <row r="190" spans="1:7" s="27" customFormat="1" ht="19.5" customHeight="1">
      <c r="A190" s="37"/>
      <c r="B190" s="56">
        <v>85195</v>
      </c>
      <c r="C190" s="56" t="s">
        <v>2</v>
      </c>
      <c r="D190" s="57">
        <f>SUM(D191:D192)</f>
        <v>410000</v>
      </c>
      <c r="E190" s="57">
        <f>SUM(E191:E192)</f>
        <v>410000</v>
      </c>
      <c r="F190" s="57">
        <f>SUM(F191:F192)</f>
        <v>221703</v>
      </c>
      <c r="G190" s="119">
        <f t="shared" si="4"/>
        <v>0.5407390243902439</v>
      </c>
    </row>
    <row r="191" spans="1:7" s="6" customFormat="1" ht="28.5" customHeight="1">
      <c r="A191" s="50"/>
      <c r="B191" s="50"/>
      <c r="C191" s="58" t="s">
        <v>264</v>
      </c>
      <c r="D191" s="59">
        <v>400000</v>
      </c>
      <c r="E191" s="59">
        <v>400000</v>
      </c>
      <c r="F191" s="59">
        <v>216687</v>
      </c>
      <c r="G191" s="117">
        <f t="shared" si="4"/>
        <v>0.5417175</v>
      </c>
    </row>
    <row r="192" spans="1:7" s="6" customFormat="1" ht="19.5" customHeight="1">
      <c r="A192" s="54"/>
      <c r="B192" s="54"/>
      <c r="C192" s="54" t="s">
        <v>131</v>
      </c>
      <c r="D192" s="55">
        <v>10000</v>
      </c>
      <c r="E192" s="55">
        <v>10000</v>
      </c>
      <c r="F192" s="55">
        <v>5016</v>
      </c>
      <c r="G192" s="118">
        <f t="shared" si="4"/>
        <v>0.5016</v>
      </c>
    </row>
    <row r="193" spans="1:7" s="6" customFormat="1" ht="19.5" customHeight="1">
      <c r="A193" s="34">
        <v>853</v>
      </c>
      <c r="B193" s="34"/>
      <c r="C193" s="34" t="s">
        <v>47</v>
      </c>
      <c r="D193" s="35">
        <f>D194+D199+D206+D211+D213+D217+D219+D222+D227+D229+D233+D235+D243+D239+D241</f>
        <v>70675000</v>
      </c>
      <c r="E193" s="35">
        <f>E194+E199+E206+E211+E213+E217+E219+E222+E227+E229+E233+E235+E243+E239+E241</f>
        <v>76001379</v>
      </c>
      <c r="F193" s="35">
        <f>F194+F199+F206+F211+F213+F217+F219+F222+F227+F229+F233+F235+F243+F239+F241</f>
        <v>40499572</v>
      </c>
      <c r="G193" s="109">
        <f t="shared" si="4"/>
        <v>0.5328794363060175</v>
      </c>
    </row>
    <row r="194" spans="1:7" s="6" customFormat="1" ht="19.5" customHeight="1">
      <c r="A194" s="50"/>
      <c r="B194" s="38">
        <v>85301</v>
      </c>
      <c r="C194" s="38" t="s">
        <v>48</v>
      </c>
      <c r="D194" s="39">
        <f>SUM(D195:D198)</f>
        <v>9576000</v>
      </c>
      <c r="E194" s="39">
        <f>SUM(E195:E198)</f>
        <v>10793000</v>
      </c>
      <c r="F194" s="39">
        <f>SUM(F195:F198)</f>
        <v>4661575</v>
      </c>
      <c r="G194" s="110">
        <f t="shared" si="4"/>
        <v>0.43190725470212177</v>
      </c>
    </row>
    <row r="195" spans="1:7" s="6" customFormat="1" ht="19.5" customHeight="1">
      <c r="A195" s="50"/>
      <c r="B195" s="37"/>
      <c r="C195" s="52" t="s">
        <v>36</v>
      </c>
      <c r="D195" s="53">
        <f>2755000+1820000+87900</f>
        <v>4662900</v>
      </c>
      <c r="E195" s="53">
        <v>4634900</v>
      </c>
      <c r="F195" s="53">
        <v>2256913</v>
      </c>
      <c r="G195" s="116">
        <f t="shared" si="4"/>
        <v>0.4869388767826706</v>
      </c>
    </row>
    <row r="196" spans="1:7" s="6" customFormat="1" ht="19.5" customHeight="1">
      <c r="A196" s="50"/>
      <c r="B196" s="37"/>
      <c r="C196" s="60" t="s">
        <v>37</v>
      </c>
      <c r="D196" s="59">
        <f>380000+1167000+142000+576000+98600</f>
        <v>2363600</v>
      </c>
      <c r="E196" s="59">
        <v>3607500</v>
      </c>
      <c r="F196" s="59">
        <v>1155300</v>
      </c>
      <c r="G196" s="117">
        <f t="shared" si="4"/>
        <v>0.32024948024948025</v>
      </c>
    </row>
    <row r="197" spans="1:7" s="6" customFormat="1" ht="19.5" customHeight="1">
      <c r="A197" s="50"/>
      <c r="B197" s="50"/>
      <c r="C197" s="60" t="s">
        <v>38</v>
      </c>
      <c r="D197" s="59">
        <f>500000+332000+15100+2400</f>
        <v>849500</v>
      </c>
      <c r="E197" s="59">
        <v>850600</v>
      </c>
      <c r="F197" s="59">
        <v>455462</v>
      </c>
      <c r="G197" s="117">
        <f t="shared" si="4"/>
        <v>0.5354596755231601</v>
      </c>
    </row>
    <row r="198" spans="1:7" s="6" customFormat="1" ht="19.5" customHeight="1">
      <c r="A198" s="50"/>
      <c r="B198" s="50"/>
      <c r="C198" s="161" t="s">
        <v>158</v>
      </c>
      <c r="D198" s="162">
        <f>1200000+500000</f>
        <v>1700000</v>
      </c>
      <c r="E198" s="162">
        <v>1700000</v>
      </c>
      <c r="F198" s="162">
        <v>793900</v>
      </c>
      <c r="G198" s="163">
        <f t="shared" si="4"/>
        <v>0.467</v>
      </c>
    </row>
    <row r="199" spans="1:7" s="6" customFormat="1" ht="19.5" customHeight="1">
      <c r="A199" s="50"/>
      <c r="B199" s="38">
        <v>85302</v>
      </c>
      <c r="C199" s="38" t="s">
        <v>49</v>
      </c>
      <c r="D199" s="39">
        <f>SUM(D200:D203)</f>
        <v>13583400</v>
      </c>
      <c r="E199" s="39">
        <f>SUM(E200:E204)</f>
        <v>14054828</v>
      </c>
      <c r="F199" s="39">
        <f>SUM(F200:F204)</f>
        <v>6878234</v>
      </c>
      <c r="G199" s="110">
        <f aca="true" t="shared" si="5" ref="G199:G260">F199/E199</f>
        <v>0.48938585374363885</v>
      </c>
    </row>
    <row r="200" spans="1:7" s="6" customFormat="1" ht="19.5" customHeight="1">
      <c r="A200" s="50"/>
      <c r="B200" s="50"/>
      <c r="C200" s="52" t="s">
        <v>36</v>
      </c>
      <c r="D200" s="53">
        <f>7061000+20000+74000</f>
        <v>7155000</v>
      </c>
      <c r="E200" s="53">
        <v>7261700</v>
      </c>
      <c r="F200" s="53">
        <v>3551104</v>
      </c>
      <c r="G200" s="116">
        <f t="shared" si="5"/>
        <v>0.48901827395788866</v>
      </c>
    </row>
    <row r="201" spans="1:7" s="6" customFormat="1" ht="19.5" customHeight="1">
      <c r="A201" s="50"/>
      <c r="B201" s="50"/>
      <c r="C201" s="60" t="s">
        <v>37</v>
      </c>
      <c r="D201" s="59">
        <f>3593500+266900</f>
        <v>3860400</v>
      </c>
      <c r="E201" s="59">
        <v>3957400</v>
      </c>
      <c r="F201" s="59">
        <v>2055463</v>
      </c>
      <c r="G201" s="117">
        <f t="shared" si="5"/>
        <v>0.5193973315813413</v>
      </c>
    </row>
    <row r="202" spans="1:7" s="6" customFormat="1" ht="19.5" customHeight="1">
      <c r="A202" s="50"/>
      <c r="B202" s="50"/>
      <c r="C202" s="60" t="s">
        <v>38</v>
      </c>
      <c r="D202" s="59">
        <f>1430000+4000+14000</f>
        <v>1448000</v>
      </c>
      <c r="E202" s="59">
        <v>1467200</v>
      </c>
      <c r="F202" s="59">
        <v>646863</v>
      </c>
      <c r="G202" s="117">
        <f t="shared" si="5"/>
        <v>0.44088263358778623</v>
      </c>
    </row>
    <row r="203" spans="1:7" s="6" customFormat="1" ht="19.5" customHeight="1">
      <c r="A203" s="50"/>
      <c r="B203" s="50"/>
      <c r="C203" s="167" t="s">
        <v>4</v>
      </c>
      <c r="D203" s="162">
        <v>1120000</v>
      </c>
      <c r="E203" s="162">
        <v>1168328</v>
      </c>
      <c r="F203" s="162">
        <v>624804</v>
      </c>
      <c r="G203" s="163">
        <f t="shared" si="5"/>
        <v>0.5347847522271143</v>
      </c>
    </row>
    <row r="204" spans="1:7" s="6" customFormat="1" ht="29.25" customHeight="1">
      <c r="A204" s="50"/>
      <c r="B204" s="50"/>
      <c r="C204" s="178" t="s">
        <v>289</v>
      </c>
      <c r="D204" s="162"/>
      <c r="E204" s="162">
        <v>200200</v>
      </c>
      <c r="F204" s="162"/>
      <c r="G204" s="163"/>
    </row>
    <row r="205" spans="1:7" s="6" customFormat="1" ht="19.5" customHeight="1">
      <c r="A205" s="187"/>
      <c r="B205" s="187"/>
      <c r="C205" s="191"/>
      <c r="D205" s="188"/>
      <c r="E205" s="188"/>
      <c r="F205" s="188"/>
      <c r="G205" s="189"/>
    </row>
    <row r="206" spans="1:7" s="6" customFormat="1" ht="19.5" customHeight="1">
      <c r="A206" s="50"/>
      <c r="B206" s="56">
        <v>85303</v>
      </c>
      <c r="C206" s="56" t="s">
        <v>50</v>
      </c>
      <c r="D206" s="57">
        <f>SUM(D207:D210)</f>
        <v>2790000</v>
      </c>
      <c r="E206" s="57">
        <f>SUM(E207:E210)</f>
        <v>2800000</v>
      </c>
      <c r="F206" s="57">
        <f>SUM(F207:F210)</f>
        <v>1424772</v>
      </c>
      <c r="G206" s="119">
        <f t="shared" si="5"/>
        <v>0.5088471428571428</v>
      </c>
    </row>
    <row r="207" spans="1:7" s="6" customFormat="1" ht="19.5" customHeight="1">
      <c r="A207" s="50"/>
      <c r="B207" s="50"/>
      <c r="C207" s="52" t="s">
        <v>36</v>
      </c>
      <c r="D207" s="53">
        <v>1519000</v>
      </c>
      <c r="E207" s="53">
        <v>1519000</v>
      </c>
      <c r="F207" s="53">
        <v>789781</v>
      </c>
      <c r="G207" s="116">
        <f t="shared" si="5"/>
        <v>0.5199348255431204</v>
      </c>
    </row>
    <row r="208" spans="1:7" s="6" customFormat="1" ht="19.5" customHeight="1">
      <c r="A208" s="50"/>
      <c r="B208" s="50"/>
      <c r="C208" s="60" t="s">
        <v>37</v>
      </c>
      <c r="D208" s="59">
        <v>371000</v>
      </c>
      <c r="E208" s="59">
        <v>381000</v>
      </c>
      <c r="F208" s="59">
        <v>206057</v>
      </c>
      <c r="G208" s="117">
        <f t="shared" si="5"/>
        <v>0.5408320209973754</v>
      </c>
    </row>
    <row r="209" spans="1:7" s="6" customFormat="1" ht="19.5" customHeight="1">
      <c r="A209" s="50"/>
      <c r="B209" s="50"/>
      <c r="C209" s="60" t="s">
        <v>38</v>
      </c>
      <c r="D209" s="59">
        <v>300000</v>
      </c>
      <c r="E209" s="59">
        <v>300000</v>
      </c>
      <c r="F209" s="59">
        <v>128934</v>
      </c>
      <c r="G209" s="117">
        <f t="shared" si="5"/>
        <v>0.42978</v>
      </c>
    </row>
    <row r="210" spans="1:7" s="6" customFormat="1" ht="28.5" customHeight="1">
      <c r="A210" s="50"/>
      <c r="B210" s="54"/>
      <c r="C210" s="67" t="s">
        <v>200</v>
      </c>
      <c r="D210" s="46">
        <v>600000</v>
      </c>
      <c r="E210" s="46">
        <v>600000</v>
      </c>
      <c r="F210" s="46">
        <v>300000</v>
      </c>
      <c r="G210" s="121">
        <f t="shared" si="5"/>
        <v>0.5</v>
      </c>
    </row>
    <row r="211" spans="1:7" s="6" customFormat="1" ht="19.5" customHeight="1">
      <c r="A211" s="50"/>
      <c r="B211" s="56">
        <v>85304</v>
      </c>
      <c r="C211" s="66" t="s">
        <v>91</v>
      </c>
      <c r="D211" s="57">
        <f>D212</f>
        <v>3662000</v>
      </c>
      <c r="E211" s="57">
        <f>E212</f>
        <v>4254110</v>
      </c>
      <c r="F211" s="57">
        <f>F212</f>
        <v>2671343</v>
      </c>
      <c r="G211" s="119">
        <f t="shared" si="5"/>
        <v>0.6279440352976299</v>
      </c>
    </row>
    <row r="212" spans="1:7" s="6" customFormat="1" ht="21.75" customHeight="1">
      <c r="A212" s="50"/>
      <c r="B212" s="68"/>
      <c r="C212" s="69" t="s">
        <v>92</v>
      </c>
      <c r="D212" s="70">
        <v>3662000</v>
      </c>
      <c r="E212" s="70">
        <v>4254110</v>
      </c>
      <c r="F212" s="70">
        <v>2671343</v>
      </c>
      <c r="G212" s="111">
        <f t="shared" si="5"/>
        <v>0.6279440352976299</v>
      </c>
    </row>
    <row r="213" spans="1:7" s="6" customFormat="1" ht="19.5" customHeight="1">
      <c r="A213" s="50"/>
      <c r="B213" s="56">
        <v>85305</v>
      </c>
      <c r="C213" s="56" t="s">
        <v>51</v>
      </c>
      <c r="D213" s="57">
        <f>SUM(D214:D216)</f>
        <v>4434000</v>
      </c>
      <c r="E213" s="57">
        <f>SUM(E214:E216)</f>
        <v>4484000</v>
      </c>
      <c r="F213" s="57">
        <f>SUM(F214:F216)</f>
        <v>2381492</v>
      </c>
      <c r="G213" s="119">
        <f t="shared" si="5"/>
        <v>0.5311088314005352</v>
      </c>
    </row>
    <row r="214" spans="1:7" s="6" customFormat="1" ht="18.75" customHeight="1">
      <c r="A214" s="50"/>
      <c r="B214" s="50"/>
      <c r="C214" s="52" t="s">
        <v>36</v>
      </c>
      <c r="D214" s="53">
        <v>3129000</v>
      </c>
      <c r="E214" s="53">
        <v>3129000</v>
      </c>
      <c r="F214" s="53">
        <v>1655724</v>
      </c>
      <c r="G214" s="116">
        <f t="shared" si="5"/>
        <v>0.5291543624161074</v>
      </c>
    </row>
    <row r="215" spans="1:7" s="6" customFormat="1" ht="18.75" customHeight="1">
      <c r="A215" s="50"/>
      <c r="B215" s="50"/>
      <c r="C215" s="60" t="s">
        <v>37</v>
      </c>
      <c r="D215" s="59">
        <v>670000</v>
      </c>
      <c r="E215" s="59">
        <v>720000</v>
      </c>
      <c r="F215" s="59">
        <v>398422</v>
      </c>
      <c r="G215" s="117">
        <f t="shared" si="5"/>
        <v>0.5533638888888889</v>
      </c>
    </row>
    <row r="216" spans="1:7" s="6" customFormat="1" ht="18.75" customHeight="1">
      <c r="A216" s="50"/>
      <c r="B216" s="50"/>
      <c r="C216" s="167" t="s">
        <v>38</v>
      </c>
      <c r="D216" s="162">
        <v>635000</v>
      </c>
      <c r="E216" s="162">
        <v>635000</v>
      </c>
      <c r="F216" s="162">
        <v>327346</v>
      </c>
      <c r="G216" s="163">
        <f t="shared" si="5"/>
        <v>0.5155055118110237</v>
      </c>
    </row>
    <row r="217" spans="1:7" s="27" customFormat="1" ht="29.25" customHeight="1">
      <c r="A217" s="37"/>
      <c r="B217" s="72">
        <v>85314</v>
      </c>
      <c r="C217" s="73" t="s">
        <v>222</v>
      </c>
      <c r="D217" s="39">
        <f>D218</f>
        <v>6620000</v>
      </c>
      <c r="E217" s="39">
        <f>E218</f>
        <v>6620000</v>
      </c>
      <c r="F217" s="39">
        <f>F218</f>
        <v>4144475</v>
      </c>
      <c r="G217" s="110">
        <f t="shared" si="5"/>
        <v>0.6260536253776435</v>
      </c>
    </row>
    <row r="218" spans="1:7" s="6" customFormat="1" ht="19.5" customHeight="1">
      <c r="A218" s="50"/>
      <c r="B218" s="68"/>
      <c r="C218" s="68" t="s">
        <v>92</v>
      </c>
      <c r="D218" s="70">
        <f>6650000-30000</f>
        <v>6620000</v>
      </c>
      <c r="E218" s="70">
        <v>6620000</v>
      </c>
      <c r="F218" s="70">
        <v>4144475</v>
      </c>
      <c r="G218" s="111">
        <f t="shared" si="5"/>
        <v>0.6260536253776435</v>
      </c>
    </row>
    <row r="219" spans="1:7" s="27" customFormat="1" ht="19.5" customHeight="1">
      <c r="A219" s="37"/>
      <c r="B219" s="56">
        <v>85315</v>
      </c>
      <c r="C219" s="56" t="s">
        <v>52</v>
      </c>
      <c r="D219" s="57">
        <f>D220</f>
        <v>13700000</v>
      </c>
      <c r="E219" s="57">
        <f>E220</f>
        <v>16305770</v>
      </c>
      <c r="F219" s="57">
        <f>F220</f>
        <v>9697896</v>
      </c>
      <c r="G219" s="119">
        <f t="shared" si="5"/>
        <v>0.5947524097298073</v>
      </c>
    </row>
    <row r="220" spans="1:7" s="6" customFormat="1" ht="19.5" customHeight="1">
      <c r="A220" s="50"/>
      <c r="B220" s="50"/>
      <c r="C220" s="50" t="s">
        <v>97</v>
      </c>
      <c r="D220" s="62">
        <v>13700000</v>
      </c>
      <c r="E220" s="62">
        <v>16305770</v>
      </c>
      <c r="F220" s="62">
        <v>9697896</v>
      </c>
      <c r="G220" s="120">
        <f t="shared" si="5"/>
        <v>0.5947524097298073</v>
      </c>
    </row>
    <row r="221" spans="1:7" s="6" customFormat="1" ht="15.75" customHeight="1">
      <c r="A221" s="50"/>
      <c r="B221" s="54"/>
      <c r="C221" s="44" t="s">
        <v>98</v>
      </c>
      <c r="D221" s="80">
        <v>13700000</v>
      </c>
      <c r="E221" s="80">
        <v>13700000</v>
      </c>
      <c r="F221" s="80">
        <v>7092126</v>
      </c>
      <c r="G221" s="124">
        <f t="shared" si="5"/>
        <v>0.5176734306569343</v>
      </c>
    </row>
    <row r="222" spans="1:7" s="6" customFormat="1" ht="19.5" customHeight="1">
      <c r="A222" s="50"/>
      <c r="B222" s="56">
        <v>85319</v>
      </c>
      <c r="C222" s="56" t="s">
        <v>182</v>
      </c>
      <c r="D222" s="57">
        <f>SUM(D223:D226)</f>
        <v>7073400</v>
      </c>
      <c r="E222" s="57">
        <f>SUM(E223:E226)</f>
        <v>7073400</v>
      </c>
      <c r="F222" s="57">
        <f>SUM(F223:F226)</f>
        <v>3674881</v>
      </c>
      <c r="G222" s="119">
        <f t="shared" si="5"/>
        <v>0.5195353012695451</v>
      </c>
    </row>
    <row r="223" spans="1:7" s="6" customFormat="1" ht="18.75" customHeight="1">
      <c r="A223" s="50"/>
      <c r="B223" s="50"/>
      <c r="C223" s="52" t="s">
        <v>36</v>
      </c>
      <c r="D223" s="53">
        <v>5047400</v>
      </c>
      <c r="E223" s="53">
        <v>5047400</v>
      </c>
      <c r="F223" s="53">
        <v>2572770</v>
      </c>
      <c r="G223" s="116">
        <f t="shared" si="5"/>
        <v>0.5097218369853787</v>
      </c>
    </row>
    <row r="224" spans="1:7" s="6" customFormat="1" ht="18.75" customHeight="1">
      <c r="A224" s="50"/>
      <c r="B224" s="50"/>
      <c r="C224" s="60" t="s">
        <v>37</v>
      </c>
      <c r="D224" s="59">
        <v>900000</v>
      </c>
      <c r="E224" s="59">
        <v>900000</v>
      </c>
      <c r="F224" s="59">
        <v>599328</v>
      </c>
      <c r="G224" s="117">
        <f t="shared" si="5"/>
        <v>0.66592</v>
      </c>
    </row>
    <row r="225" spans="1:7" s="6" customFormat="1" ht="18.75" customHeight="1">
      <c r="A225" s="50"/>
      <c r="B225" s="50"/>
      <c r="C225" s="60" t="s">
        <v>38</v>
      </c>
      <c r="D225" s="59">
        <v>1026000</v>
      </c>
      <c r="E225" s="59">
        <v>1026000</v>
      </c>
      <c r="F225" s="59">
        <v>498270</v>
      </c>
      <c r="G225" s="117">
        <f t="shared" si="5"/>
        <v>0.48564327485380115</v>
      </c>
    </row>
    <row r="226" spans="1:7" s="6" customFormat="1" ht="18.75" customHeight="1">
      <c r="A226" s="50"/>
      <c r="B226" s="54"/>
      <c r="C226" s="54" t="s">
        <v>4</v>
      </c>
      <c r="D226" s="55">
        <v>100000</v>
      </c>
      <c r="E226" s="55">
        <v>100000</v>
      </c>
      <c r="F226" s="55">
        <v>4513</v>
      </c>
      <c r="G226" s="118">
        <f t="shared" si="5"/>
        <v>0.04513</v>
      </c>
    </row>
    <row r="227" spans="1:7" s="27" customFormat="1" ht="19.5" customHeight="1">
      <c r="A227" s="37"/>
      <c r="B227" s="56">
        <v>85321</v>
      </c>
      <c r="C227" s="66" t="s">
        <v>280</v>
      </c>
      <c r="D227" s="57">
        <f>D228</f>
        <v>100000</v>
      </c>
      <c r="E227" s="57">
        <f>E228</f>
        <v>100000</v>
      </c>
      <c r="F227" s="57">
        <f>F228</f>
        <v>58118</v>
      </c>
      <c r="G227" s="119">
        <f t="shared" si="5"/>
        <v>0.58118</v>
      </c>
    </row>
    <row r="228" spans="1:7" s="6" customFormat="1" ht="27.75" customHeight="1">
      <c r="A228" s="50"/>
      <c r="B228" s="54"/>
      <c r="C228" s="67" t="s">
        <v>248</v>
      </c>
      <c r="D228" s="55">
        <v>100000</v>
      </c>
      <c r="E228" s="55">
        <v>100000</v>
      </c>
      <c r="F228" s="55">
        <v>58118</v>
      </c>
      <c r="G228" s="118">
        <f t="shared" si="5"/>
        <v>0.58118</v>
      </c>
    </row>
    <row r="229" spans="1:7" s="27" customFormat="1" ht="19.5" customHeight="1">
      <c r="A229" s="37"/>
      <c r="B229" s="56">
        <v>85326</v>
      </c>
      <c r="C229" s="56" t="s">
        <v>53</v>
      </c>
      <c r="D229" s="57">
        <f>SUM(D230:D232)</f>
        <v>245200</v>
      </c>
      <c r="E229" s="57">
        <f>SUM(E230:E232)</f>
        <v>245200</v>
      </c>
      <c r="F229" s="57">
        <f>SUM(F230:F232)</f>
        <v>117969</v>
      </c>
      <c r="G229" s="119">
        <f t="shared" si="5"/>
        <v>0.48111337683523653</v>
      </c>
    </row>
    <row r="230" spans="1:7" s="6" customFormat="1" ht="18.75" customHeight="1">
      <c r="A230" s="50"/>
      <c r="B230" s="50"/>
      <c r="C230" s="52" t="s">
        <v>36</v>
      </c>
      <c r="D230" s="53">
        <v>171200</v>
      </c>
      <c r="E230" s="53">
        <v>171200</v>
      </c>
      <c r="F230" s="53">
        <v>78358</v>
      </c>
      <c r="G230" s="116">
        <f t="shared" si="5"/>
        <v>0.45769859813084113</v>
      </c>
    </row>
    <row r="231" spans="1:7" s="6" customFormat="1" ht="18.75" customHeight="1">
      <c r="A231" s="50"/>
      <c r="B231" s="50"/>
      <c r="C231" s="60" t="s">
        <v>37</v>
      </c>
      <c r="D231" s="59">
        <v>40000</v>
      </c>
      <c r="E231" s="59">
        <v>40000</v>
      </c>
      <c r="F231" s="59">
        <v>24682</v>
      </c>
      <c r="G231" s="117">
        <f t="shared" si="5"/>
        <v>0.61705</v>
      </c>
    </row>
    <row r="232" spans="1:7" s="6" customFormat="1" ht="18.75" customHeight="1">
      <c r="A232" s="54"/>
      <c r="B232" s="54"/>
      <c r="C232" s="64" t="s">
        <v>38</v>
      </c>
      <c r="D232" s="46">
        <v>34000</v>
      </c>
      <c r="E232" s="46">
        <v>34000</v>
      </c>
      <c r="F232" s="46">
        <v>14929</v>
      </c>
      <c r="G232" s="121">
        <f t="shared" si="5"/>
        <v>0.43908823529411767</v>
      </c>
    </row>
    <row r="233" spans="1:7" s="27" customFormat="1" ht="19.5" customHeight="1">
      <c r="A233" s="37"/>
      <c r="B233" s="56">
        <v>85328</v>
      </c>
      <c r="C233" s="56" t="s">
        <v>54</v>
      </c>
      <c r="D233" s="57">
        <f>D234</f>
        <v>7400000</v>
      </c>
      <c r="E233" s="57">
        <f>E234</f>
        <v>7400000</v>
      </c>
      <c r="F233" s="57">
        <f>F234</f>
        <v>3691755</v>
      </c>
      <c r="G233" s="119">
        <f t="shared" si="5"/>
        <v>0.4988858108108108</v>
      </c>
    </row>
    <row r="234" spans="1:7" s="6" customFormat="1" ht="19.5" customHeight="1">
      <c r="A234" s="50"/>
      <c r="B234" s="68"/>
      <c r="C234" s="68" t="s">
        <v>96</v>
      </c>
      <c r="D234" s="70">
        <v>7400000</v>
      </c>
      <c r="E234" s="70">
        <v>7400000</v>
      </c>
      <c r="F234" s="70">
        <v>3691755</v>
      </c>
      <c r="G234" s="111">
        <f t="shared" si="5"/>
        <v>0.4988858108108108</v>
      </c>
    </row>
    <row r="235" spans="1:7" s="27" customFormat="1" ht="19.5" customHeight="1">
      <c r="A235" s="37"/>
      <c r="B235" s="56">
        <v>85333</v>
      </c>
      <c r="C235" s="56" t="s">
        <v>55</v>
      </c>
      <c r="D235" s="57">
        <f>SUM(D236:D238)</f>
        <v>618000</v>
      </c>
      <c r="E235" s="57">
        <f>SUM(E236:E238)</f>
        <v>643858</v>
      </c>
      <c r="F235" s="57">
        <f>SUM(F236:F238)</f>
        <v>339833</v>
      </c>
      <c r="G235" s="119">
        <f t="shared" si="5"/>
        <v>0.527807373675562</v>
      </c>
    </row>
    <row r="236" spans="1:7" s="6" customFormat="1" ht="19.5" customHeight="1">
      <c r="A236" s="50"/>
      <c r="B236" s="50"/>
      <c r="C236" s="52" t="s">
        <v>36</v>
      </c>
      <c r="D236" s="53">
        <v>417300</v>
      </c>
      <c r="E236" s="53">
        <v>439558</v>
      </c>
      <c r="F236" s="53">
        <v>218418</v>
      </c>
      <c r="G236" s="116">
        <f t="shared" si="5"/>
        <v>0.49690370781557835</v>
      </c>
    </row>
    <row r="237" spans="1:7" s="6" customFormat="1" ht="19.5" customHeight="1">
      <c r="A237" s="50"/>
      <c r="B237" s="50"/>
      <c r="C237" s="60" t="s">
        <v>37</v>
      </c>
      <c r="D237" s="59">
        <f>230700-114000</f>
        <v>116700</v>
      </c>
      <c r="E237" s="59">
        <v>116700</v>
      </c>
      <c r="F237" s="59">
        <v>80359</v>
      </c>
      <c r="G237" s="117">
        <f t="shared" si="5"/>
        <v>0.6885946872322194</v>
      </c>
    </row>
    <row r="238" spans="1:7" s="6" customFormat="1" ht="19.5" customHeight="1">
      <c r="A238" s="50"/>
      <c r="B238" s="50"/>
      <c r="C238" s="167" t="s">
        <v>38</v>
      </c>
      <c r="D238" s="162">
        <v>84000</v>
      </c>
      <c r="E238" s="162">
        <v>87600</v>
      </c>
      <c r="F238" s="162">
        <v>41056</v>
      </c>
      <c r="G238" s="163">
        <f t="shared" si="5"/>
        <v>0.468675799086758</v>
      </c>
    </row>
    <row r="239" spans="1:7" s="27" customFormat="1" ht="19.5" customHeight="1">
      <c r="A239" s="37"/>
      <c r="B239" s="38">
        <v>85334</v>
      </c>
      <c r="C239" s="38" t="s">
        <v>231</v>
      </c>
      <c r="D239" s="39">
        <f>D240</f>
        <v>50000</v>
      </c>
      <c r="E239" s="39">
        <f>E240</f>
        <v>50000</v>
      </c>
      <c r="F239" s="39">
        <f>F240</f>
        <v>12264</v>
      </c>
      <c r="G239" s="110">
        <f t="shared" si="5"/>
        <v>0.24528</v>
      </c>
    </row>
    <row r="240" spans="1:7" s="6" customFormat="1" ht="19.5" customHeight="1">
      <c r="A240" s="50"/>
      <c r="B240" s="68"/>
      <c r="C240" s="68" t="s">
        <v>232</v>
      </c>
      <c r="D240" s="70">
        <v>50000</v>
      </c>
      <c r="E240" s="70">
        <v>50000</v>
      </c>
      <c r="F240" s="70">
        <v>12264</v>
      </c>
      <c r="G240" s="111">
        <f t="shared" si="5"/>
        <v>0.24528</v>
      </c>
    </row>
    <row r="241" spans="1:7" s="27" customFormat="1" ht="19.5" customHeight="1">
      <c r="A241" s="37"/>
      <c r="B241" s="56">
        <v>85346</v>
      </c>
      <c r="C241" s="56" t="s">
        <v>225</v>
      </c>
      <c r="D241" s="57">
        <f>D242</f>
        <v>31000</v>
      </c>
      <c r="E241" s="57">
        <f>E242</f>
        <v>31000</v>
      </c>
      <c r="F241" s="57">
        <f>F242</f>
        <v>3849</v>
      </c>
      <c r="G241" s="119">
        <f t="shared" si="5"/>
        <v>0.12416129032258065</v>
      </c>
    </row>
    <row r="242" spans="1:7" s="6" customFormat="1" ht="19.5" customHeight="1">
      <c r="A242" s="50"/>
      <c r="B242" s="68"/>
      <c r="C242" s="68" t="s">
        <v>226</v>
      </c>
      <c r="D242" s="70">
        <v>31000</v>
      </c>
      <c r="E242" s="70">
        <v>31000</v>
      </c>
      <c r="F242" s="70">
        <v>3849</v>
      </c>
      <c r="G242" s="111">
        <f t="shared" si="5"/>
        <v>0.12416129032258065</v>
      </c>
    </row>
    <row r="243" spans="1:7" s="27" customFormat="1" ht="19.5" customHeight="1">
      <c r="A243" s="37"/>
      <c r="B243" s="56">
        <v>85395</v>
      </c>
      <c r="C243" s="56" t="s">
        <v>2</v>
      </c>
      <c r="D243" s="57">
        <f>SUM(D244:D250)</f>
        <v>792000</v>
      </c>
      <c r="E243" s="57">
        <f>SUM(E244:E250)</f>
        <v>1146213</v>
      </c>
      <c r="F243" s="57">
        <f>SUM(F244:F250)</f>
        <v>741116</v>
      </c>
      <c r="G243" s="119">
        <f t="shared" si="5"/>
        <v>0.6465779048047788</v>
      </c>
    </row>
    <row r="244" spans="1:7" s="6" customFormat="1" ht="44.25" customHeight="1">
      <c r="A244" s="50"/>
      <c r="B244" s="150"/>
      <c r="C244" s="71" t="s">
        <v>219</v>
      </c>
      <c r="D244" s="53">
        <f>30000-3000</f>
        <v>27000</v>
      </c>
      <c r="E244" s="53">
        <v>27000</v>
      </c>
      <c r="F244" s="53">
        <v>13700</v>
      </c>
      <c r="G244" s="116">
        <f t="shared" si="5"/>
        <v>0.5074074074074074</v>
      </c>
    </row>
    <row r="245" spans="1:7" s="6" customFormat="1" ht="19.5" customHeight="1">
      <c r="A245" s="50"/>
      <c r="B245" s="37"/>
      <c r="C245" s="58" t="s">
        <v>282</v>
      </c>
      <c r="D245" s="59">
        <v>30000</v>
      </c>
      <c r="E245" s="59">
        <v>30000</v>
      </c>
      <c r="F245" s="59"/>
      <c r="G245" s="117"/>
    </row>
    <row r="246" spans="1:7" s="6" customFormat="1" ht="19.5" customHeight="1">
      <c r="A246" s="50"/>
      <c r="B246" s="37"/>
      <c r="C246" s="58" t="s">
        <v>260</v>
      </c>
      <c r="D246" s="59">
        <v>500000</v>
      </c>
      <c r="E246" s="59"/>
      <c r="F246" s="59"/>
      <c r="G246" s="117"/>
    </row>
    <row r="247" spans="1:7" s="6" customFormat="1" ht="19.5" customHeight="1">
      <c r="A247" s="50"/>
      <c r="B247" s="50"/>
      <c r="C247" s="60" t="s">
        <v>188</v>
      </c>
      <c r="D247" s="59">
        <v>180000</v>
      </c>
      <c r="E247" s="59">
        <v>180000</v>
      </c>
      <c r="F247" s="59">
        <v>75000</v>
      </c>
      <c r="G247" s="117">
        <f t="shared" si="5"/>
        <v>0.4166666666666667</v>
      </c>
    </row>
    <row r="248" spans="1:7" s="6" customFormat="1" ht="19.5" customHeight="1">
      <c r="A248" s="50"/>
      <c r="B248" s="50"/>
      <c r="C248" s="60" t="s">
        <v>223</v>
      </c>
      <c r="D248" s="59">
        <v>40000</v>
      </c>
      <c r="E248" s="59">
        <v>40000</v>
      </c>
      <c r="F248" s="59">
        <v>20000</v>
      </c>
      <c r="G248" s="117">
        <f t="shared" si="5"/>
        <v>0.5</v>
      </c>
    </row>
    <row r="249" spans="1:7" s="6" customFormat="1" ht="19.5" customHeight="1">
      <c r="A249" s="50"/>
      <c r="B249" s="50"/>
      <c r="C249" s="58" t="s">
        <v>281</v>
      </c>
      <c r="D249" s="59"/>
      <c r="E249" s="59">
        <v>854213</v>
      </c>
      <c r="F249" s="59">
        <v>632416</v>
      </c>
      <c r="G249" s="117">
        <f t="shared" si="5"/>
        <v>0.7403493039792183</v>
      </c>
    </row>
    <row r="250" spans="1:7" s="6" customFormat="1" ht="19.5" customHeight="1">
      <c r="A250" s="54"/>
      <c r="B250" s="54"/>
      <c r="C250" s="54" t="s">
        <v>189</v>
      </c>
      <c r="D250" s="55">
        <v>15000</v>
      </c>
      <c r="E250" s="55">
        <v>15000</v>
      </c>
      <c r="F250" s="55"/>
      <c r="G250" s="118"/>
    </row>
    <row r="251" spans="1:7" s="6" customFormat="1" ht="19.5" customHeight="1">
      <c r="A251" s="34">
        <v>854</v>
      </c>
      <c r="B251" s="34"/>
      <c r="C251" s="34" t="s">
        <v>56</v>
      </c>
      <c r="D251" s="35">
        <f>D252+D256+D262+D267+D271+D275+D279+D285+D287+D290+D296+D304+D294</f>
        <v>80905700</v>
      </c>
      <c r="E251" s="35">
        <f>E252+E256+E262+E267+E271+E275+E279+E285+E287+E290+E296+E304+E294</f>
        <v>81182959</v>
      </c>
      <c r="F251" s="35">
        <f>F252+F256+F262+F267+F271+F275+F279+F285+F287+F290+F296+F304+F294</f>
        <v>43899607</v>
      </c>
      <c r="G251" s="109">
        <f t="shared" si="5"/>
        <v>0.5407490382310406</v>
      </c>
    </row>
    <row r="252" spans="1:7" s="6" customFormat="1" ht="19.5" customHeight="1">
      <c r="A252" s="50"/>
      <c r="B252" s="38">
        <v>85401</v>
      </c>
      <c r="C252" s="38" t="s">
        <v>57</v>
      </c>
      <c r="D252" s="39">
        <f>SUM(D253:D255)</f>
        <v>5323000</v>
      </c>
      <c r="E252" s="39">
        <f>SUM(E253:E255)</f>
        <v>5338000</v>
      </c>
      <c r="F252" s="39">
        <f>SUM(F253:F255)</f>
        <v>2946835</v>
      </c>
      <c r="G252" s="110">
        <f t="shared" si="5"/>
        <v>0.5520485200449606</v>
      </c>
    </row>
    <row r="253" spans="1:7" s="6" customFormat="1" ht="19.5" customHeight="1">
      <c r="A253" s="50"/>
      <c r="B253" s="50"/>
      <c r="C253" s="52" t="s">
        <v>36</v>
      </c>
      <c r="D253" s="53">
        <f>4250000-200000</f>
        <v>4050000</v>
      </c>
      <c r="E253" s="53">
        <v>4065000</v>
      </c>
      <c r="F253" s="53">
        <v>2274338</v>
      </c>
      <c r="G253" s="116">
        <f t="shared" si="5"/>
        <v>0.5594927429274292</v>
      </c>
    </row>
    <row r="254" spans="1:7" s="6" customFormat="1" ht="19.5" customHeight="1">
      <c r="A254" s="50"/>
      <c r="B254" s="50"/>
      <c r="C254" s="60" t="s">
        <v>37</v>
      </c>
      <c r="D254" s="59">
        <v>413000</v>
      </c>
      <c r="E254" s="59">
        <v>409600</v>
      </c>
      <c r="F254" s="59">
        <v>225686</v>
      </c>
      <c r="G254" s="117">
        <f t="shared" si="5"/>
        <v>0.5509912109375</v>
      </c>
    </row>
    <row r="255" spans="1:7" s="6" customFormat="1" ht="19.5" customHeight="1">
      <c r="A255" s="50"/>
      <c r="B255" s="54"/>
      <c r="C255" s="54" t="s">
        <v>38</v>
      </c>
      <c r="D255" s="55">
        <v>860000</v>
      </c>
      <c r="E255" s="55">
        <v>863400</v>
      </c>
      <c r="F255" s="55">
        <v>446811</v>
      </c>
      <c r="G255" s="118">
        <f t="shared" si="5"/>
        <v>0.5175017373175816</v>
      </c>
    </row>
    <row r="256" spans="1:7" s="6" customFormat="1" ht="19.5" customHeight="1">
      <c r="A256" s="50"/>
      <c r="B256" s="56">
        <v>85403</v>
      </c>
      <c r="C256" s="56" t="s">
        <v>132</v>
      </c>
      <c r="D256" s="57">
        <f>SUM(D257:D261)</f>
        <v>7610000</v>
      </c>
      <c r="E256" s="57">
        <f>SUM(E257:E261)</f>
        <v>7610000</v>
      </c>
      <c r="F256" s="57">
        <f>SUM(F257:F261)</f>
        <v>4316401</v>
      </c>
      <c r="G256" s="119">
        <f t="shared" si="5"/>
        <v>0.5672011826544021</v>
      </c>
    </row>
    <row r="257" spans="1:7" s="6" customFormat="1" ht="19.5" customHeight="1">
      <c r="A257" s="50"/>
      <c r="B257" s="51"/>
      <c r="C257" s="52" t="s">
        <v>36</v>
      </c>
      <c r="D257" s="53">
        <v>4870000</v>
      </c>
      <c r="E257" s="53">
        <v>4870000</v>
      </c>
      <c r="F257" s="53">
        <v>2574907</v>
      </c>
      <c r="G257" s="116">
        <f t="shared" si="5"/>
        <v>0.5287283367556468</v>
      </c>
    </row>
    <row r="258" spans="1:7" s="6" customFormat="1" ht="19.5" customHeight="1">
      <c r="A258" s="54"/>
      <c r="B258" s="54"/>
      <c r="C258" s="64" t="s">
        <v>37</v>
      </c>
      <c r="D258" s="46">
        <v>1051000</v>
      </c>
      <c r="E258" s="46">
        <v>1083000</v>
      </c>
      <c r="F258" s="46">
        <v>766868</v>
      </c>
      <c r="G258" s="121">
        <f t="shared" si="5"/>
        <v>0.7080960295475531</v>
      </c>
    </row>
    <row r="259" spans="1:7" s="6" customFormat="1" ht="19.5" customHeight="1">
      <c r="A259" s="50"/>
      <c r="B259" s="50"/>
      <c r="C259" s="79" t="s">
        <v>38</v>
      </c>
      <c r="D259" s="43">
        <v>950000</v>
      </c>
      <c r="E259" s="43">
        <v>918000</v>
      </c>
      <c r="F259" s="43">
        <v>498490</v>
      </c>
      <c r="G259" s="114">
        <f t="shared" si="5"/>
        <v>0.5430174291938998</v>
      </c>
    </row>
    <row r="260" spans="1:7" s="6" customFormat="1" ht="19.5" customHeight="1">
      <c r="A260" s="50"/>
      <c r="B260" s="50"/>
      <c r="C260" s="58" t="s">
        <v>208</v>
      </c>
      <c r="D260" s="59">
        <v>550000</v>
      </c>
      <c r="E260" s="59">
        <v>550000</v>
      </c>
      <c r="F260" s="59">
        <v>287520</v>
      </c>
      <c r="G260" s="117">
        <f t="shared" si="5"/>
        <v>0.5227636363636363</v>
      </c>
    </row>
    <row r="261" spans="1:7" s="6" customFormat="1" ht="19.5" customHeight="1">
      <c r="A261" s="50"/>
      <c r="B261" s="54"/>
      <c r="C261" s="54" t="s">
        <v>283</v>
      </c>
      <c r="D261" s="55">
        <f>81000+108000</f>
        <v>189000</v>
      </c>
      <c r="E261" s="55">
        <v>189000</v>
      </c>
      <c r="F261" s="55">
        <v>188616</v>
      </c>
      <c r="G261" s="118">
        <f aca="true" t="shared" si="6" ref="G261:G318">F261/E261</f>
        <v>0.997968253968254</v>
      </c>
    </row>
    <row r="262" spans="1:7" s="6" customFormat="1" ht="19.5" customHeight="1">
      <c r="A262" s="50"/>
      <c r="B262" s="56">
        <v>85404</v>
      </c>
      <c r="C262" s="56" t="s">
        <v>172</v>
      </c>
      <c r="D262" s="57">
        <f>SUM(D263:D266)</f>
        <v>43722000</v>
      </c>
      <c r="E262" s="57">
        <f>SUM(E263:E266)</f>
        <v>43722000</v>
      </c>
      <c r="F262" s="57">
        <f>SUM(F263:F266)</f>
        <v>23199862</v>
      </c>
      <c r="G262" s="119">
        <f t="shared" si="6"/>
        <v>0.530622158181236</v>
      </c>
    </row>
    <row r="263" spans="1:7" s="6" customFormat="1" ht="19.5" customHeight="1">
      <c r="A263" s="50"/>
      <c r="B263" s="50"/>
      <c r="C263" s="52" t="s">
        <v>36</v>
      </c>
      <c r="D263" s="53">
        <f>28800000-100000</f>
        <v>28700000</v>
      </c>
      <c r="E263" s="53">
        <v>28595960</v>
      </c>
      <c r="F263" s="53">
        <v>14746853</v>
      </c>
      <c r="G263" s="116">
        <f t="shared" si="6"/>
        <v>0.5156970774892677</v>
      </c>
    </row>
    <row r="264" spans="1:7" s="6" customFormat="1" ht="19.5" customHeight="1">
      <c r="A264" s="50"/>
      <c r="B264" s="50"/>
      <c r="C264" s="60" t="s">
        <v>37</v>
      </c>
      <c r="D264" s="59">
        <v>6048000</v>
      </c>
      <c r="E264" s="59">
        <v>6159040</v>
      </c>
      <c r="F264" s="59">
        <v>3931504</v>
      </c>
      <c r="G264" s="117">
        <f t="shared" si="6"/>
        <v>0.6383306489323012</v>
      </c>
    </row>
    <row r="265" spans="1:7" s="6" customFormat="1" ht="19.5" customHeight="1">
      <c r="A265" s="50"/>
      <c r="B265" s="50"/>
      <c r="C265" s="60" t="s">
        <v>38</v>
      </c>
      <c r="D265" s="59">
        <v>5774000</v>
      </c>
      <c r="E265" s="59">
        <v>5767000</v>
      </c>
      <c r="F265" s="59">
        <v>2927706</v>
      </c>
      <c r="G265" s="117">
        <f t="shared" si="6"/>
        <v>0.507665337263742</v>
      </c>
    </row>
    <row r="266" spans="1:7" s="6" customFormat="1" ht="20.25" customHeight="1">
      <c r="A266" s="50"/>
      <c r="B266" s="50"/>
      <c r="C266" s="161" t="s">
        <v>207</v>
      </c>
      <c r="D266" s="162">
        <v>3200000</v>
      </c>
      <c r="E266" s="162">
        <v>3200000</v>
      </c>
      <c r="F266" s="162">
        <v>1593799</v>
      </c>
      <c r="G266" s="163">
        <f t="shared" si="6"/>
        <v>0.4980621875</v>
      </c>
    </row>
    <row r="267" spans="1:7" s="6" customFormat="1" ht="19.5" customHeight="1">
      <c r="A267" s="50"/>
      <c r="B267" s="38">
        <v>85405</v>
      </c>
      <c r="C267" s="38" t="s">
        <v>58</v>
      </c>
      <c r="D267" s="39">
        <f>SUM(D268:D270)</f>
        <v>1327000</v>
      </c>
      <c r="E267" s="39">
        <f>SUM(E268:E270)</f>
        <v>1327000</v>
      </c>
      <c r="F267" s="39">
        <f>SUM(F268:F270)</f>
        <v>739865</v>
      </c>
      <c r="G267" s="110">
        <f t="shared" si="6"/>
        <v>0.5575470987189148</v>
      </c>
    </row>
    <row r="268" spans="1:7" s="6" customFormat="1" ht="19.5" customHeight="1">
      <c r="A268" s="50"/>
      <c r="B268" s="50"/>
      <c r="C268" s="52" t="s">
        <v>36</v>
      </c>
      <c r="D268" s="53">
        <v>990000</v>
      </c>
      <c r="E268" s="53">
        <v>990000</v>
      </c>
      <c r="F268" s="53">
        <v>556978</v>
      </c>
      <c r="G268" s="116">
        <f t="shared" si="6"/>
        <v>0.5626040404040404</v>
      </c>
    </row>
    <row r="269" spans="1:7" s="6" customFormat="1" ht="19.5" customHeight="1">
      <c r="A269" s="50"/>
      <c r="B269" s="50"/>
      <c r="C269" s="60" t="s">
        <v>37</v>
      </c>
      <c r="D269" s="59">
        <v>137000</v>
      </c>
      <c r="E269" s="59">
        <v>137000</v>
      </c>
      <c r="F269" s="59">
        <v>101683</v>
      </c>
      <c r="G269" s="117">
        <f t="shared" si="6"/>
        <v>0.7422116788321168</v>
      </c>
    </row>
    <row r="270" spans="1:7" s="6" customFormat="1" ht="19.5" customHeight="1">
      <c r="A270" s="50"/>
      <c r="B270" s="54"/>
      <c r="C270" s="54" t="s">
        <v>38</v>
      </c>
      <c r="D270" s="55">
        <v>200000</v>
      </c>
      <c r="E270" s="55">
        <v>200000</v>
      </c>
      <c r="F270" s="55">
        <v>81204</v>
      </c>
      <c r="G270" s="118">
        <f t="shared" si="6"/>
        <v>0.40602</v>
      </c>
    </row>
    <row r="271" spans="1:7" s="27" customFormat="1" ht="29.25" customHeight="1">
      <c r="A271" s="37"/>
      <c r="B271" s="65">
        <v>85406</v>
      </c>
      <c r="C271" s="66" t="s">
        <v>292</v>
      </c>
      <c r="D271" s="57">
        <f>SUM(D272:D274)</f>
        <v>4756500</v>
      </c>
      <c r="E271" s="57">
        <f>SUM(E272:E274)</f>
        <v>4756500</v>
      </c>
      <c r="F271" s="57">
        <f>SUM(F272:F274)</f>
        <v>2505014</v>
      </c>
      <c r="G271" s="119">
        <f t="shared" si="6"/>
        <v>0.5266506885314832</v>
      </c>
    </row>
    <row r="272" spans="1:7" s="6" customFormat="1" ht="19.5" customHeight="1">
      <c r="A272" s="50"/>
      <c r="B272" s="50"/>
      <c r="C272" s="52" t="s">
        <v>36</v>
      </c>
      <c r="D272" s="53">
        <f>3600000-100000</f>
        <v>3500000</v>
      </c>
      <c r="E272" s="53">
        <v>3500000</v>
      </c>
      <c r="F272" s="53">
        <v>1851339</v>
      </c>
      <c r="G272" s="116">
        <f t="shared" si="6"/>
        <v>0.528954</v>
      </c>
    </row>
    <row r="273" spans="1:7" s="6" customFormat="1" ht="19.5" customHeight="1">
      <c r="A273" s="50"/>
      <c r="B273" s="50"/>
      <c r="C273" s="60" t="s">
        <v>37</v>
      </c>
      <c r="D273" s="59">
        <v>536500</v>
      </c>
      <c r="E273" s="59">
        <v>536500</v>
      </c>
      <c r="F273" s="59">
        <v>287001</v>
      </c>
      <c r="G273" s="117">
        <f t="shared" si="6"/>
        <v>0.534950605778192</v>
      </c>
    </row>
    <row r="274" spans="1:7" s="6" customFormat="1" ht="19.5" customHeight="1">
      <c r="A274" s="50"/>
      <c r="B274" s="50"/>
      <c r="C274" s="167" t="s">
        <v>38</v>
      </c>
      <c r="D274" s="162">
        <v>720000</v>
      </c>
      <c r="E274" s="162">
        <v>720000</v>
      </c>
      <c r="F274" s="162">
        <v>366674</v>
      </c>
      <c r="G274" s="163">
        <f t="shared" si="6"/>
        <v>0.5092694444444444</v>
      </c>
    </row>
    <row r="275" spans="1:7" s="27" customFormat="1" ht="19.5" customHeight="1">
      <c r="A275" s="37"/>
      <c r="B275" s="38">
        <v>85407</v>
      </c>
      <c r="C275" s="38" t="s">
        <v>59</v>
      </c>
      <c r="D275" s="39">
        <f>SUM(D276:D278)</f>
        <v>2062000</v>
      </c>
      <c r="E275" s="39">
        <f>SUM(E276:E278)</f>
        <v>2062000</v>
      </c>
      <c r="F275" s="39">
        <f>SUM(F276:F278)</f>
        <v>1106663</v>
      </c>
      <c r="G275" s="110">
        <f t="shared" si="6"/>
        <v>0.5366939864209506</v>
      </c>
    </row>
    <row r="276" spans="1:7" s="6" customFormat="1" ht="19.5" customHeight="1">
      <c r="A276" s="50"/>
      <c r="B276" s="50"/>
      <c r="C276" s="52" t="s">
        <v>36</v>
      </c>
      <c r="D276" s="53">
        <v>1440000</v>
      </c>
      <c r="E276" s="53">
        <v>1440000</v>
      </c>
      <c r="F276" s="53">
        <v>756910</v>
      </c>
      <c r="G276" s="116">
        <f t="shared" si="6"/>
        <v>0.5256319444444445</v>
      </c>
    </row>
    <row r="277" spans="1:7" s="6" customFormat="1" ht="19.5" customHeight="1">
      <c r="A277" s="50"/>
      <c r="B277" s="50"/>
      <c r="C277" s="79" t="s">
        <v>37</v>
      </c>
      <c r="D277" s="43">
        <v>352000</v>
      </c>
      <c r="E277" s="43">
        <v>352000</v>
      </c>
      <c r="F277" s="43">
        <v>202561</v>
      </c>
      <c r="G277" s="114">
        <f t="shared" si="6"/>
        <v>0.5754573863636364</v>
      </c>
    </row>
    <row r="278" spans="1:7" s="6" customFormat="1" ht="19.5" customHeight="1">
      <c r="A278" s="50"/>
      <c r="B278" s="50"/>
      <c r="C278" s="167" t="s">
        <v>38</v>
      </c>
      <c r="D278" s="162">
        <v>270000</v>
      </c>
      <c r="E278" s="162">
        <v>270000</v>
      </c>
      <c r="F278" s="162">
        <v>147192</v>
      </c>
      <c r="G278" s="163">
        <f t="shared" si="6"/>
        <v>0.5451555555555555</v>
      </c>
    </row>
    <row r="279" spans="1:7" s="27" customFormat="1" ht="19.5" customHeight="1">
      <c r="A279" s="37"/>
      <c r="B279" s="38">
        <v>85410</v>
      </c>
      <c r="C279" s="38" t="s">
        <v>60</v>
      </c>
      <c r="D279" s="39">
        <f>SUM(D280:D283)</f>
        <v>6473000</v>
      </c>
      <c r="E279" s="39">
        <f>SUM(E280:E284)</f>
        <v>6473000</v>
      </c>
      <c r="F279" s="39">
        <f>SUM(F280:F284)</f>
        <v>3611692</v>
      </c>
      <c r="G279" s="110">
        <f t="shared" si="6"/>
        <v>0.5579626139348062</v>
      </c>
    </row>
    <row r="280" spans="1:7" s="6" customFormat="1" ht="19.5" customHeight="1">
      <c r="A280" s="50"/>
      <c r="B280" s="50"/>
      <c r="C280" s="52" t="s">
        <v>36</v>
      </c>
      <c r="D280" s="53">
        <f>3900000-50000</f>
        <v>3850000</v>
      </c>
      <c r="E280" s="53">
        <v>3850000</v>
      </c>
      <c r="F280" s="53">
        <v>2076475</v>
      </c>
      <c r="G280" s="116">
        <f t="shared" si="6"/>
        <v>0.5393441558441558</v>
      </c>
    </row>
    <row r="281" spans="1:7" s="6" customFormat="1" ht="19.5" customHeight="1">
      <c r="A281" s="50"/>
      <c r="B281" s="50"/>
      <c r="C281" s="60" t="s">
        <v>37</v>
      </c>
      <c r="D281" s="59">
        <v>1368000</v>
      </c>
      <c r="E281" s="59">
        <v>1358200</v>
      </c>
      <c r="F281" s="59">
        <v>854028</v>
      </c>
      <c r="G281" s="117">
        <f t="shared" si="6"/>
        <v>0.6287939920482992</v>
      </c>
    </row>
    <row r="282" spans="1:7" s="6" customFormat="1" ht="19.5" customHeight="1">
      <c r="A282" s="50"/>
      <c r="B282" s="50"/>
      <c r="C282" s="60" t="s">
        <v>38</v>
      </c>
      <c r="D282" s="59">
        <v>755000</v>
      </c>
      <c r="E282" s="59">
        <v>755000</v>
      </c>
      <c r="F282" s="59">
        <v>403363</v>
      </c>
      <c r="G282" s="117">
        <f t="shared" si="6"/>
        <v>0.5342556291390729</v>
      </c>
    </row>
    <row r="283" spans="1:7" s="6" customFormat="1" ht="19.5" customHeight="1">
      <c r="A283" s="50"/>
      <c r="B283" s="50"/>
      <c r="C283" s="60" t="s">
        <v>192</v>
      </c>
      <c r="D283" s="59">
        <v>500000</v>
      </c>
      <c r="E283" s="59">
        <v>500000</v>
      </c>
      <c r="F283" s="59">
        <v>268026</v>
      </c>
      <c r="G283" s="117">
        <f t="shared" si="6"/>
        <v>0.536052</v>
      </c>
    </row>
    <row r="284" spans="1:7" s="6" customFormat="1" ht="19.5" customHeight="1">
      <c r="A284" s="54"/>
      <c r="B284" s="54"/>
      <c r="C284" s="54" t="s">
        <v>4</v>
      </c>
      <c r="D284" s="55"/>
      <c r="E284" s="55">
        <v>9800</v>
      </c>
      <c r="F284" s="55">
        <v>9800</v>
      </c>
      <c r="G284" s="121">
        <f t="shared" si="6"/>
        <v>1</v>
      </c>
    </row>
    <row r="285" spans="1:7" s="27" customFormat="1" ht="29.25" customHeight="1">
      <c r="A285" s="37"/>
      <c r="B285" s="72">
        <v>85412</v>
      </c>
      <c r="C285" s="73" t="s">
        <v>284</v>
      </c>
      <c r="D285" s="39">
        <f>SUM(D286:D286)</f>
        <v>143000</v>
      </c>
      <c r="E285" s="39">
        <f>SUM(E286:E286)</f>
        <v>143000</v>
      </c>
      <c r="F285" s="39">
        <f>SUM(F286:F286)</f>
        <v>83220</v>
      </c>
      <c r="G285" s="110">
        <f t="shared" si="6"/>
        <v>0.5819580419580419</v>
      </c>
    </row>
    <row r="286" spans="1:7" s="6" customFormat="1" ht="27.75" customHeight="1">
      <c r="A286" s="50"/>
      <c r="B286" s="68"/>
      <c r="C286" s="69" t="s">
        <v>218</v>
      </c>
      <c r="D286" s="70">
        <v>143000</v>
      </c>
      <c r="E286" s="70">
        <v>143000</v>
      </c>
      <c r="F286" s="70">
        <v>83220</v>
      </c>
      <c r="G286" s="111">
        <f t="shared" si="6"/>
        <v>0.5819580419580419</v>
      </c>
    </row>
    <row r="287" spans="1:7" s="27" customFormat="1" ht="19.5" customHeight="1">
      <c r="A287" s="37"/>
      <c r="B287" s="56">
        <v>85415</v>
      </c>
      <c r="C287" s="56" t="s">
        <v>133</v>
      </c>
      <c r="D287" s="57">
        <f>SUM(D288:D289)</f>
        <v>597000</v>
      </c>
      <c r="E287" s="57">
        <f>SUM(E288:E289)</f>
        <v>874259</v>
      </c>
      <c r="F287" s="57">
        <f>SUM(F288:F289)</f>
        <v>601759</v>
      </c>
      <c r="G287" s="119">
        <f t="shared" si="6"/>
        <v>0.6883074695256212</v>
      </c>
    </row>
    <row r="288" spans="1:7" s="6" customFormat="1" ht="21" customHeight="1">
      <c r="A288" s="50"/>
      <c r="B288" s="50"/>
      <c r="C288" s="58" t="s">
        <v>155</v>
      </c>
      <c r="D288" s="59">
        <v>597000</v>
      </c>
      <c r="E288" s="59">
        <v>597000</v>
      </c>
      <c r="F288" s="59">
        <v>359806</v>
      </c>
      <c r="G288" s="117">
        <f t="shared" si="6"/>
        <v>0.6026901172529313</v>
      </c>
    </row>
    <row r="289" spans="1:7" s="6" customFormat="1" ht="19.5" customHeight="1">
      <c r="A289" s="50"/>
      <c r="B289" s="54"/>
      <c r="C289" s="54" t="s">
        <v>206</v>
      </c>
      <c r="D289" s="55"/>
      <c r="E289" s="55">
        <v>277259</v>
      </c>
      <c r="F289" s="55">
        <v>241953</v>
      </c>
      <c r="G289" s="118">
        <f t="shared" si="6"/>
        <v>0.8726605809008905</v>
      </c>
    </row>
    <row r="290" spans="1:7" s="27" customFormat="1" ht="19.5" customHeight="1">
      <c r="A290" s="37"/>
      <c r="B290" s="56">
        <v>85417</v>
      </c>
      <c r="C290" s="56" t="s">
        <v>164</v>
      </c>
      <c r="D290" s="57">
        <f>SUM(D291:D293)</f>
        <v>234000</v>
      </c>
      <c r="E290" s="57">
        <f>SUM(E291:E293)</f>
        <v>234000</v>
      </c>
      <c r="F290" s="57">
        <f>SUM(F291:F293)</f>
        <v>130800</v>
      </c>
      <c r="G290" s="119">
        <f t="shared" si="6"/>
        <v>0.558974358974359</v>
      </c>
    </row>
    <row r="291" spans="1:7" s="6" customFormat="1" ht="19.5" customHeight="1">
      <c r="A291" s="50"/>
      <c r="B291" s="50"/>
      <c r="C291" s="52" t="s">
        <v>36</v>
      </c>
      <c r="D291" s="53">
        <v>149000</v>
      </c>
      <c r="E291" s="53">
        <v>149000</v>
      </c>
      <c r="F291" s="53">
        <v>79480</v>
      </c>
      <c r="G291" s="116">
        <f t="shared" si="6"/>
        <v>0.5334228187919463</v>
      </c>
    </row>
    <row r="292" spans="1:7" s="6" customFormat="1" ht="19.5" customHeight="1">
      <c r="A292" s="50"/>
      <c r="B292" s="50"/>
      <c r="C292" s="60" t="s">
        <v>37</v>
      </c>
      <c r="D292" s="59">
        <v>56000</v>
      </c>
      <c r="E292" s="59">
        <v>56000</v>
      </c>
      <c r="F292" s="59">
        <v>35894</v>
      </c>
      <c r="G292" s="117">
        <f t="shared" si="6"/>
        <v>0.6409642857142858</v>
      </c>
    </row>
    <row r="293" spans="1:7" s="6" customFormat="1" ht="19.5" customHeight="1">
      <c r="A293" s="50"/>
      <c r="B293" s="54"/>
      <c r="C293" s="54" t="s">
        <v>38</v>
      </c>
      <c r="D293" s="55">
        <v>29000</v>
      </c>
      <c r="E293" s="55">
        <v>29000</v>
      </c>
      <c r="F293" s="55">
        <v>15426</v>
      </c>
      <c r="G293" s="118">
        <f t="shared" si="6"/>
        <v>0.5319310344827586</v>
      </c>
    </row>
    <row r="294" spans="1:7" s="27" customFormat="1" ht="19.5" customHeight="1">
      <c r="A294" s="37"/>
      <c r="B294" s="56">
        <v>85446</v>
      </c>
      <c r="C294" s="56" t="s">
        <v>225</v>
      </c>
      <c r="D294" s="57">
        <f>D295</f>
        <v>312000</v>
      </c>
      <c r="E294" s="57">
        <f>E295</f>
        <v>312000</v>
      </c>
      <c r="F294" s="57">
        <f>F295</f>
        <v>93153</v>
      </c>
      <c r="G294" s="119">
        <f t="shared" si="6"/>
        <v>0.2985673076923077</v>
      </c>
    </row>
    <row r="295" spans="1:7" s="6" customFormat="1" ht="19.5" customHeight="1">
      <c r="A295" s="50"/>
      <c r="B295" s="68"/>
      <c r="C295" s="69" t="s">
        <v>226</v>
      </c>
      <c r="D295" s="70">
        <v>312000</v>
      </c>
      <c r="E295" s="70">
        <v>312000</v>
      </c>
      <c r="F295" s="70">
        <v>93153</v>
      </c>
      <c r="G295" s="111">
        <f t="shared" si="6"/>
        <v>0.2985673076923077</v>
      </c>
    </row>
    <row r="296" spans="1:7" s="27" customFormat="1" ht="19.5" customHeight="1">
      <c r="A296" s="37"/>
      <c r="B296" s="56">
        <v>85495</v>
      </c>
      <c r="C296" s="56" t="s">
        <v>2</v>
      </c>
      <c r="D296" s="57">
        <f>SUM(D298:D303)</f>
        <v>8313200</v>
      </c>
      <c r="E296" s="57">
        <f>E297+E302+E303</f>
        <v>8298200</v>
      </c>
      <c r="F296" s="57">
        <f>F297+F302+F303</f>
        <v>4547843</v>
      </c>
      <c r="G296" s="119">
        <f t="shared" si="6"/>
        <v>0.5480517461618182</v>
      </c>
    </row>
    <row r="297" spans="1:7" s="6" customFormat="1" ht="19.5" customHeight="1">
      <c r="A297" s="50"/>
      <c r="B297" s="50"/>
      <c r="C297" s="52" t="s">
        <v>285</v>
      </c>
      <c r="D297" s="53">
        <f>SUM(D298:D300)</f>
        <v>8134200</v>
      </c>
      <c r="E297" s="43">
        <f>SUM(E298:E301)</f>
        <v>8119200</v>
      </c>
      <c r="F297" s="43">
        <f>SUM(F298:F301)</f>
        <v>4397745</v>
      </c>
      <c r="G297" s="114">
        <f t="shared" si="6"/>
        <v>0.5416475761158734</v>
      </c>
    </row>
    <row r="298" spans="1:7" s="6" customFormat="1" ht="19.5" customHeight="1">
      <c r="A298" s="50"/>
      <c r="B298" s="50"/>
      <c r="C298" s="135" t="s">
        <v>36</v>
      </c>
      <c r="D298" s="136">
        <v>5217000</v>
      </c>
      <c r="E298" s="136">
        <v>5202000</v>
      </c>
      <c r="F298" s="136">
        <v>2736475</v>
      </c>
      <c r="G298" s="137">
        <f t="shared" si="6"/>
        <v>0.5260428681276432</v>
      </c>
    </row>
    <row r="299" spans="1:7" s="6" customFormat="1" ht="19.5" customHeight="1">
      <c r="A299" s="50"/>
      <c r="B299" s="50"/>
      <c r="C299" s="138" t="s">
        <v>37</v>
      </c>
      <c r="D299" s="139">
        <v>1877200</v>
      </c>
      <c r="E299" s="139">
        <v>1855216</v>
      </c>
      <c r="F299" s="139">
        <v>1116010</v>
      </c>
      <c r="G299" s="140">
        <f t="shared" si="6"/>
        <v>0.6015525954929237</v>
      </c>
    </row>
    <row r="300" spans="1:7" s="6" customFormat="1" ht="19.5" customHeight="1">
      <c r="A300" s="50"/>
      <c r="B300" s="50"/>
      <c r="C300" s="138" t="s">
        <v>38</v>
      </c>
      <c r="D300" s="139">
        <v>1040000</v>
      </c>
      <c r="E300" s="139">
        <v>1040115</v>
      </c>
      <c r="F300" s="139">
        <v>523391</v>
      </c>
      <c r="G300" s="140">
        <f t="shared" si="6"/>
        <v>0.5032049340697904</v>
      </c>
    </row>
    <row r="301" spans="1:7" s="6" customFormat="1" ht="19.5" customHeight="1">
      <c r="A301" s="50"/>
      <c r="B301" s="50"/>
      <c r="C301" s="138" t="s">
        <v>4</v>
      </c>
      <c r="D301" s="139"/>
      <c r="E301" s="139">
        <v>21869</v>
      </c>
      <c r="F301" s="139">
        <v>21869</v>
      </c>
      <c r="G301" s="140">
        <f t="shared" si="6"/>
        <v>1</v>
      </c>
    </row>
    <row r="302" spans="1:7" s="6" customFormat="1" ht="25.5" customHeight="1">
      <c r="A302" s="50"/>
      <c r="B302" s="50"/>
      <c r="C302" s="151" t="s">
        <v>128</v>
      </c>
      <c r="D302" s="152">
        <v>2000</v>
      </c>
      <c r="E302" s="152">
        <v>2000</v>
      </c>
      <c r="F302" s="152"/>
      <c r="G302" s="153"/>
    </row>
    <row r="303" spans="1:7" s="6" customFormat="1" ht="29.25" customHeight="1">
      <c r="A303" s="50"/>
      <c r="B303" s="54"/>
      <c r="C303" s="45" t="s">
        <v>296</v>
      </c>
      <c r="D303" s="46">
        <f>175000+2000</f>
        <v>177000</v>
      </c>
      <c r="E303" s="46">
        <v>177000</v>
      </c>
      <c r="F303" s="46">
        <v>150098</v>
      </c>
      <c r="G303" s="121">
        <f t="shared" si="6"/>
        <v>0.8480112994350283</v>
      </c>
    </row>
    <row r="304" spans="1:7" s="27" customFormat="1" ht="19.5" customHeight="1">
      <c r="A304" s="37"/>
      <c r="B304" s="56">
        <v>85497</v>
      </c>
      <c r="C304" s="56" t="s">
        <v>61</v>
      </c>
      <c r="D304" s="57">
        <f>SUM(D305:D305)</f>
        <v>33000</v>
      </c>
      <c r="E304" s="57">
        <f>SUM(E305:E305)</f>
        <v>33000</v>
      </c>
      <c r="F304" s="57">
        <f>SUM(F305:F305)</f>
        <v>16500</v>
      </c>
      <c r="G304" s="119">
        <f t="shared" si="6"/>
        <v>0.5</v>
      </c>
    </row>
    <row r="305" spans="1:7" s="6" customFormat="1" ht="27.75" customHeight="1">
      <c r="A305" s="54"/>
      <c r="B305" s="54"/>
      <c r="C305" s="69" t="s">
        <v>127</v>
      </c>
      <c r="D305" s="70">
        <v>33000</v>
      </c>
      <c r="E305" s="70">
        <v>33000</v>
      </c>
      <c r="F305" s="70">
        <v>16500</v>
      </c>
      <c r="G305" s="111">
        <f t="shared" si="6"/>
        <v>0.5</v>
      </c>
    </row>
    <row r="306" spans="1:7" s="6" customFormat="1" ht="19.5" customHeight="1">
      <c r="A306" s="34">
        <v>900</v>
      </c>
      <c r="B306" s="34"/>
      <c r="C306" s="34" t="s">
        <v>62</v>
      </c>
      <c r="D306" s="35">
        <f>D307+D316+D327+D332+D334+D338</f>
        <v>31534160</v>
      </c>
      <c r="E306" s="35">
        <f>E307+E316+E327+E332+E334+E338</f>
        <v>32728160</v>
      </c>
      <c r="F306" s="35">
        <f>F307+F316+F327+F332+F334+F338</f>
        <v>15065712</v>
      </c>
      <c r="G306" s="109">
        <f t="shared" si="6"/>
        <v>0.4603287199769251</v>
      </c>
    </row>
    <row r="307" spans="1:7" s="27" customFormat="1" ht="19.5" customHeight="1">
      <c r="A307" s="37"/>
      <c r="B307" s="38">
        <v>90001</v>
      </c>
      <c r="C307" s="38" t="s">
        <v>63</v>
      </c>
      <c r="D307" s="39">
        <f>SUM(D308:D315)</f>
        <v>4803800</v>
      </c>
      <c r="E307" s="39">
        <f>SUM(E308:E315)</f>
        <v>4953800</v>
      </c>
      <c r="F307" s="39">
        <f>SUM(F308:F315)</f>
        <v>1825837</v>
      </c>
      <c r="G307" s="110">
        <f t="shared" si="6"/>
        <v>0.36857301465541603</v>
      </c>
    </row>
    <row r="308" spans="1:7" s="6" customFormat="1" ht="20.25" customHeight="1">
      <c r="A308" s="54"/>
      <c r="B308" s="54"/>
      <c r="C308" s="69" t="s">
        <v>101</v>
      </c>
      <c r="D308" s="70">
        <v>2070000</v>
      </c>
      <c r="E308" s="70">
        <v>2170000</v>
      </c>
      <c r="F308" s="70">
        <v>619689</v>
      </c>
      <c r="G308" s="111">
        <f t="shared" si="6"/>
        <v>0.28557096774193547</v>
      </c>
    </row>
    <row r="309" spans="1:7" s="6" customFormat="1" ht="43.5" customHeight="1">
      <c r="A309" s="50"/>
      <c r="B309" s="50"/>
      <c r="C309" s="42" t="s">
        <v>228</v>
      </c>
      <c r="D309" s="43">
        <v>275800</v>
      </c>
      <c r="E309" s="43">
        <v>275800</v>
      </c>
      <c r="F309" s="43">
        <v>162316</v>
      </c>
      <c r="G309" s="114">
        <f t="shared" si="6"/>
        <v>0.5885279187817258</v>
      </c>
    </row>
    <row r="310" spans="1:7" s="29" customFormat="1" ht="19.5" customHeight="1">
      <c r="A310" s="50"/>
      <c r="B310" s="50"/>
      <c r="C310" s="60" t="s">
        <v>102</v>
      </c>
      <c r="D310" s="59">
        <v>40000</v>
      </c>
      <c r="E310" s="59">
        <v>40000</v>
      </c>
      <c r="F310" s="59">
        <v>5135</v>
      </c>
      <c r="G310" s="117">
        <f t="shared" si="6"/>
        <v>0.128375</v>
      </c>
    </row>
    <row r="311" spans="1:7" s="29" customFormat="1" ht="19.5" customHeight="1">
      <c r="A311" s="50"/>
      <c r="B311" s="50"/>
      <c r="C311" s="60" t="s">
        <v>103</v>
      </c>
      <c r="D311" s="59">
        <v>10000</v>
      </c>
      <c r="E311" s="59">
        <v>10000</v>
      </c>
      <c r="F311" s="59"/>
      <c r="G311" s="117"/>
    </row>
    <row r="312" spans="1:7" s="6" customFormat="1" ht="19.5" customHeight="1">
      <c r="A312" s="50"/>
      <c r="B312" s="50"/>
      <c r="C312" s="60" t="s">
        <v>104</v>
      </c>
      <c r="D312" s="59">
        <v>140000</v>
      </c>
      <c r="E312" s="59">
        <v>140000</v>
      </c>
      <c r="F312" s="59">
        <v>50377</v>
      </c>
      <c r="G312" s="117">
        <f t="shared" si="6"/>
        <v>0.35983571428571426</v>
      </c>
    </row>
    <row r="313" spans="1:7" s="6" customFormat="1" ht="19.5" customHeight="1">
      <c r="A313" s="50"/>
      <c r="B313" s="50"/>
      <c r="C313" s="60" t="s">
        <v>233</v>
      </c>
      <c r="D313" s="59">
        <v>200000</v>
      </c>
      <c r="E313" s="59">
        <v>100000</v>
      </c>
      <c r="F313" s="59">
        <v>65390</v>
      </c>
      <c r="G313" s="117">
        <f t="shared" si="6"/>
        <v>0.6539</v>
      </c>
    </row>
    <row r="314" spans="1:7" s="6" customFormat="1" ht="19.5" customHeight="1">
      <c r="A314" s="50"/>
      <c r="B314" s="50"/>
      <c r="C314" s="60" t="s">
        <v>258</v>
      </c>
      <c r="D314" s="59">
        <v>150000</v>
      </c>
      <c r="E314" s="59">
        <v>150000</v>
      </c>
      <c r="F314" s="59">
        <v>5457</v>
      </c>
      <c r="G314" s="117">
        <f t="shared" si="6"/>
        <v>0.03638</v>
      </c>
    </row>
    <row r="315" spans="1:7" s="6" customFormat="1" ht="19.5" customHeight="1">
      <c r="A315" s="50"/>
      <c r="B315" s="54"/>
      <c r="C315" s="54" t="s">
        <v>4</v>
      </c>
      <c r="D315" s="55">
        <f>2150000-232000</f>
        <v>1918000</v>
      </c>
      <c r="E315" s="55">
        <v>2068000</v>
      </c>
      <c r="F315" s="55">
        <v>917473</v>
      </c>
      <c r="G315" s="118">
        <f t="shared" si="6"/>
        <v>0.44365232108317215</v>
      </c>
    </row>
    <row r="316" spans="1:7" s="27" customFormat="1" ht="19.5" customHeight="1">
      <c r="A316" s="37"/>
      <c r="B316" s="56">
        <v>90003</v>
      </c>
      <c r="C316" s="56" t="s">
        <v>64</v>
      </c>
      <c r="D316" s="57">
        <f>SUM(D317:D326)</f>
        <v>16431000</v>
      </c>
      <c r="E316" s="57">
        <f>SUM(E317:E326)</f>
        <v>17452000</v>
      </c>
      <c r="F316" s="57">
        <f>SUM(F317:F326)</f>
        <v>8216523</v>
      </c>
      <c r="G316" s="119">
        <f t="shared" si="6"/>
        <v>0.4708069562227825</v>
      </c>
    </row>
    <row r="317" spans="1:7" s="6" customFormat="1" ht="19.5" customHeight="1">
      <c r="A317" s="50"/>
      <c r="B317" s="50"/>
      <c r="C317" s="52" t="s">
        <v>105</v>
      </c>
      <c r="D317" s="53">
        <v>4900000</v>
      </c>
      <c r="E317" s="53">
        <v>4900000</v>
      </c>
      <c r="F317" s="53">
        <v>3760973</v>
      </c>
      <c r="G317" s="116">
        <f t="shared" si="6"/>
        <v>0.7675455102040817</v>
      </c>
    </row>
    <row r="318" spans="1:7" s="6" customFormat="1" ht="19.5" customHeight="1">
      <c r="A318" s="50"/>
      <c r="B318" s="50"/>
      <c r="C318" s="60" t="s">
        <v>107</v>
      </c>
      <c r="D318" s="59">
        <f>4174000-35000</f>
        <v>4139000</v>
      </c>
      <c r="E318" s="59">
        <v>4139000</v>
      </c>
      <c r="F318" s="59">
        <v>2038877</v>
      </c>
      <c r="G318" s="117">
        <f t="shared" si="6"/>
        <v>0.4926013529838125</v>
      </c>
    </row>
    <row r="319" spans="1:7" s="29" customFormat="1" ht="19.5" customHeight="1">
      <c r="A319" s="50"/>
      <c r="B319" s="50"/>
      <c r="C319" s="60" t="s">
        <v>106</v>
      </c>
      <c r="D319" s="59">
        <v>1740000</v>
      </c>
      <c r="E319" s="59">
        <v>1740000</v>
      </c>
      <c r="F319" s="59"/>
      <c r="G319" s="117"/>
    </row>
    <row r="320" spans="1:7" s="29" customFormat="1" ht="19.5" customHeight="1">
      <c r="A320" s="50"/>
      <c r="B320" s="50"/>
      <c r="C320" s="60" t="s">
        <v>234</v>
      </c>
      <c r="D320" s="59">
        <f>900000+100000</f>
        <v>1000000</v>
      </c>
      <c r="E320" s="59">
        <v>1000000</v>
      </c>
      <c r="F320" s="59">
        <v>311720</v>
      </c>
      <c r="G320" s="117">
        <f aca="true" t="shared" si="7" ref="G320:G380">F320/E320</f>
        <v>0.31172</v>
      </c>
    </row>
    <row r="321" spans="1:7" s="6" customFormat="1" ht="19.5" customHeight="1">
      <c r="A321" s="50"/>
      <c r="B321" s="50"/>
      <c r="C321" s="60" t="s">
        <v>110</v>
      </c>
      <c r="D321" s="59">
        <v>200000</v>
      </c>
      <c r="E321" s="59">
        <v>200000</v>
      </c>
      <c r="F321" s="59">
        <v>108334</v>
      </c>
      <c r="G321" s="117">
        <f t="shared" si="7"/>
        <v>0.54167</v>
      </c>
    </row>
    <row r="322" spans="1:7" s="6" customFormat="1" ht="19.5" customHeight="1">
      <c r="A322" s="50"/>
      <c r="B322" s="50"/>
      <c r="C322" s="60" t="s">
        <v>108</v>
      </c>
      <c r="D322" s="59">
        <v>390000</v>
      </c>
      <c r="E322" s="59">
        <v>390000</v>
      </c>
      <c r="F322" s="59">
        <v>187324</v>
      </c>
      <c r="G322" s="117">
        <f t="shared" si="7"/>
        <v>0.4803179487179487</v>
      </c>
    </row>
    <row r="323" spans="1:7" s="6" customFormat="1" ht="19.5" customHeight="1">
      <c r="A323" s="50"/>
      <c r="B323" s="50"/>
      <c r="C323" s="60" t="s">
        <v>109</v>
      </c>
      <c r="D323" s="59">
        <v>46000</v>
      </c>
      <c r="E323" s="59">
        <v>46000</v>
      </c>
      <c r="F323" s="59">
        <v>494</v>
      </c>
      <c r="G323" s="117">
        <f t="shared" si="7"/>
        <v>0.010739130434782609</v>
      </c>
    </row>
    <row r="324" spans="1:7" s="6" customFormat="1" ht="19.5" customHeight="1">
      <c r="A324" s="50"/>
      <c r="B324" s="50"/>
      <c r="C324" s="60" t="s">
        <v>233</v>
      </c>
      <c r="D324" s="59">
        <v>2860000</v>
      </c>
      <c r="E324" s="59">
        <v>2860000</v>
      </c>
      <c r="F324" s="59">
        <v>1808801</v>
      </c>
      <c r="G324" s="117">
        <f>F324/E324</f>
        <v>0.6324479020979021</v>
      </c>
    </row>
    <row r="325" spans="1:7" s="6" customFormat="1" ht="19.5" customHeight="1">
      <c r="A325" s="50"/>
      <c r="B325" s="50"/>
      <c r="C325" s="60" t="s">
        <v>268</v>
      </c>
      <c r="D325" s="59"/>
      <c r="E325" s="59">
        <v>90000</v>
      </c>
      <c r="F325" s="59"/>
      <c r="G325" s="117"/>
    </row>
    <row r="326" spans="1:7" s="6" customFormat="1" ht="19.5" customHeight="1">
      <c r="A326" s="50"/>
      <c r="B326" s="54"/>
      <c r="C326" s="54" t="s">
        <v>4</v>
      </c>
      <c r="D326" s="55">
        <f>850000+306000</f>
        <v>1156000</v>
      </c>
      <c r="E326" s="55">
        <v>2087000</v>
      </c>
      <c r="F326" s="55"/>
      <c r="G326" s="118"/>
    </row>
    <row r="327" spans="1:7" s="27" customFormat="1" ht="19.5" customHeight="1">
      <c r="A327" s="37"/>
      <c r="B327" s="56">
        <v>90004</v>
      </c>
      <c r="C327" s="56" t="s">
        <v>65</v>
      </c>
      <c r="D327" s="57">
        <f>SUM(D328:D331)</f>
        <v>2700000</v>
      </c>
      <c r="E327" s="57">
        <f>SUM(E328:E331)</f>
        <v>2700000</v>
      </c>
      <c r="F327" s="57">
        <f>SUM(F328:F331)</f>
        <v>954200</v>
      </c>
      <c r="G327" s="119">
        <f t="shared" si="7"/>
        <v>0.3534074074074074</v>
      </c>
    </row>
    <row r="328" spans="1:7" s="6" customFormat="1" ht="28.5" customHeight="1">
      <c r="A328" s="50"/>
      <c r="B328" s="50"/>
      <c r="C328" s="71" t="s">
        <v>111</v>
      </c>
      <c r="D328" s="53">
        <v>250000</v>
      </c>
      <c r="E328" s="53">
        <v>250000</v>
      </c>
      <c r="F328" s="53">
        <v>74886</v>
      </c>
      <c r="G328" s="116">
        <f t="shared" si="7"/>
        <v>0.299544</v>
      </c>
    </row>
    <row r="329" spans="1:7" s="6" customFormat="1" ht="19.5" customHeight="1">
      <c r="A329" s="50"/>
      <c r="B329" s="50"/>
      <c r="C329" s="60" t="s">
        <v>112</v>
      </c>
      <c r="D329" s="59">
        <v>2370000</v>
      </c>
      <c r="E329" s="59">
        <v>2370000</v>
      </c>
      <c r="F329" s="59">
        <v>879314</v>
      </c>
      <c r="G329" s="117">
        <f t="shared" si="7"/>
        <v>0.3710185654008439</v>
      </c>
    </row>
    <row r="330" spans="1:7" s="6" customFormat="1" ht="19.5" customHeight="1">
      <c r="A330" s="50"/>
      <c r="B330" s="50"/>
      <c r="C330" s="58" t="s">
        <v>255</v>
      </c>
      <c r="D330" s="59">
        <v>30000</v>
      </c>
      <c r="E330" s="59">
        <v>30000</v>
      </c>
      <c r="F330" s="59"/>
      <c r="G330" s="117"/>
    </row>
    <row r="331" spans="1:7" s="6" customFormat="1" ht="27" customHeight="1">
      <c r="A331" s="50"/>
      <c r="B331" s="54"/>
      <c r="C331" s="67" t="s">
        <v>235</v>
      </c>
      <c r="D331" s="55">
        <v>50000</v>
      </c>
      <c r="E331" s="55">
        <v>50000</v>
      </c>
      <c r="F331" s="55"/>
      <c r="G331" s="118"/>
    </row>
    <row r="332" spans="1:7" s="27" customFormat="1" ht="19.5" customHeight="1">
      <c r="A332" s="37"/>
      <c r="B332" s="56">
        <v>90013</v>
      </c>
      <c r="C332" s="56" t="s">
        <v>66</v>
      </c>
      <c r="D332" s="57">
        <f>SUM(D333:D333)</f>
        <v>260000</v>
      </c>
      <c r="E332" s="57">
        <f>SUM(E333:E333)</f>
        <v>260000</v>
      </c>
      <c r="F332" s="57">
        <f>SUM(F333:F333)</f>
        <v>147980</v>
      </c>
      <c r="G332" s="119">
        <f t="shared" si="7"/>
        <v>0.5691538461538461</v>
      </c>
    </row>
    <row r="333" spans="1:7" s="6" customFormat="1" ht="19.5" customHeight="1">
      <c r="A333" s="54"/>
      <c r="B333" s="54"/>
      <c r="C333" s="54" t="s">
        <v>113</v>
      </c>
      <c r="D333" s="55">
        <v>260000</v>
      </c>
      <c r="E333" s="55">
        <v>260000</v>
      </c>
      <c r="F333" s="55">
        <v>147980</v>
      </c>
      <c r="G333" s="118">
        <f t="shared" si="7"/>
        <v>0.5691538461538461</v>
      </c>
    </row>
    <row r="334" spans="1:7" s="27" customFormat="1" ht="19.5" customHeight="1">
      <c r="A334" s="37"/>
      <c r="B334" s="56">
        <v>90015</v>
      </c>
      <c r="C334" s="56" t="s">
        <v>67</v>
      </c>
      <c r="D334" s="57">
        <f>SUM(D335:D337)</f>
        <v>3226000</v>
      </c>
      <c r="E334" s="57">
        <f>SUM(E335:E337)</f>
        <v>3224170</v>
      </c>
      <c r="F334" s="57">
        <f>SUM(F335:F337)</f>
        <v>1856369</v>
      </c>
      <c r="G334" s="119">
        <f t="shared" si="7"/>
        <v>0.5757664763334439</v>
      </c>
    </row>
    <row r="335" spans="1:7" s="6" customFormat="1" ht="19.5" customHeight="1">
      <c r="A335" s="50"/>
      <c r="B335" s="50"/>
      <c r="C335" s="52" t="s">
        <v>114</v>
      </c>
      <c r="D335" s="53">
        <v>1826000</v>
      </c>
      <c r="E335" s="53">
        <v>1826000</v>
      </c>
      <c r="F335" s="53">
        <v>1081453</v>
      </c>
      <c r="G335" s="116">
        <f t="shared" si="7"/>
        <v>0.5922524644030668</v>
      </c>
    </row>
    <row r="336" spans="1:7" s="6" customFormat="1" ht="19.5" customHeight="1">
      <c r="A336" s="50"/>
      <c r="B336" s="50"/>
      <c r="C336" s="58" t="s">
        <v>190</v>
      </c>
      <c r="D336" s="59">
        <v>1400000</v>
      </c>
      <c r="E336" s="59">
        <v>1392520</v>
      </c>
      <c r="F336" s="59">
        <v>773933</v>
      </c>
      <c r="G336" s="117">
        <f t="shared" si="7"/>
        <v>0.5557787320828426</v>
      </c>
    </row>
    <row r="337" spans="1:7" s="6" customFormat="1" ht="18.75" customHeight="1">
      <c r="A337" s="50"/>
      <c r="B337" s="54"/>
      <c r="C337" s="67" t="s">
        <v>4</v>
      </c>
      <c r="D337" s="55"/>
      <c r="E337" s="55">
        <v>5650</v>
      </c>
      <c r="F337" s="55">
        <v>983</v>
      </c>
      <c r="G337" s="118">
        <f t="shared" si="7"/>
        <v>0.17398230088495575</v>
      </c>
    </row>
    <row r="338" spans="1:7" s="27" customFormat="1" ht="19.5" customHeight="1">
      <c r="A338" s="37"/>
      <c r="B338" s="56">
        <v>90095</v>
      </c>
      <c r="C338" s="56" t="s">
        <v>2</v>
      </c>
      <c r="D338" s="57">
        <f>SUM(D339:D341)</f>
        <v>4113360</v>
      </c>
      <c r="E338" s="57">
        <f>SUM(E339:E341)</f>
        <v>4138190</v>
      </c>
      <c r="F338" s="57">
        <f>SUM(F339:F341)</f>
        <v>2064803</v>
      </c>
      <c r="G338" s="119">
        <f t="shared" si="7"/>
        <v>0.49896283157612387</v>
      </c>
    </row>
    <row r="339" spans="1:7" s="6" customFormat="1" ht="19.5" customHeight="1">
      <c r="A339" s="50"/>
      <c r="B339" s="50"/>
      <c r="C339" s="60" t="s">
        <v>153</v>
      </c>
      <c r="D339" s="59">
        <v>26360</v>
      </c>
      <c r="E339" s="59">
        <v>28190</v>
      </c>
      <c r="F339" s="59">
        <v>28182</v>
      </c>
      <c r="G339" s="117">
        <f t="shared" si="7"/>
        <v>0.9997162114224902</v>
      </c>
    </row>
    <row r="340" spans="1:7" s="6" customFormat="1" ht="19.5" customHeight="1">
      <c r="A340" s="50"/>
      <c r="B340" s="50"/>
      <c r="C340" s="60" t="s">
        <v>236</v>
      </c>
      <c r="D340" s="59">
        <v>70000</v>
      </c>
      <c r="E340" s="59">
        <v>70000</v>
      </c>
      <c r="F340" s="59">
        <v>701</v>
      </c>
      <c r="G340" s="117">
        <f t="shared" si="7"/>
        <v>0.010014285714285715</v>
      </c>
    </row>
    <row r="341" spans="1:7" s="6" customFormat="1" ht="19.5" customHeight="1">
      <c r="A341" s="54"/>
      <c r="B341" s="54"/>
      <c r="C341" s="54" t="s">
        <v>4</v>
      </c>
      <c r="D341" s="55">
        <v>4017000</v>
      </c>
      <c r="E341" s="55">
        <v>4040000</v>
      </c>
      <c r="F341" s="55">
        <v>2035920</v>
      </c>
      <c r="G341" s="118">
        <f t="shared" si="7"/>
        <v>0.5039405940594059</v>
      </c>
    </row>
    <row r="342" spans="1:7" s="6" customFormat="1" ht="19.5" customHeight="1">
      <c r="A342" s="34">
        <v>921</v>
      </c>
      <c r="B342" s="34"/>
      <c r="C342" s="34" t="s">
        <v>141</v>
      </c>
      <c r="D342" s="35">
        <f>D343+D349+D351+D355+D357+D361+D359</f>
        <v>13499600</v>
      </c>
      <c r="E342" s="35">
        <f>E343+E349+E351+E355+E357+E361+E359</f>
        <v>13708600</v>
      </c>
      <c r="F342" s="35">
        <f>F343+F349+F351+F355+F357+F361+F359</f>
        <v>6701941</v>
      </c>
      <c r="G342" s="109">
        <f t="shared" si="7"/>
        <v>0.4888858818551858</v>
      </c>
    </row>
    <row r="343" spans="1:7" s="26" customFormat="1" ht="19.5" customHeight="1">
      <c r="A343" s="74"/>
      <c r="B343" s="75">
        <v>92105</v>
      </c>
      <c r="C343" s="75" t="s">
        <v>134</v>
      </c>
      <c r="D343" s="76">
        <f>SUM(D344:D348)</f>
        <v>1937600</v>
      </c>
      <c r="E343" s="76">
        <f>SUM(E344:E348)</f>
        <v>2091600</v>
      </c>
      <c r="F343" s="76">
        <f>SUM(F344:F348)</f>
        <v>1307156</v>
      </c>
      <c r="G343" s="122">
        <f t="shared" si="7"/>
        <v>0.6249550583285524</v>
      </c>
    </row>
    <row r="344" spans="1:7" s="17" customFormat="1" ht="19.5" customHeight="1">
      <c r="A344" s="74"/>
      <c r="B344" s="81"/>
      <c r="C344" s="82" t="s">
        <v>136</v>
      </c>
      <c r="D344" s="83">
        <v>753600</v>
      </c>
      <c r="E344" s="83">
        <v>753600</v>
      </c>
      <c r="F344" s="83">
        <v>424046</v>
      </c>
      <c r="G344" s="125">
        <f t="shared" si="7"/>
        <v>0.5626937367303609</v>
      </c>
    </row>
    <row r="345" spans="1:7" s="17" customFormat="1" ht="19.5" customHeight="1">
      <c r="A345" s="84"/>
      <c r="B345" s="84"/>
      <c r="C345" s="85" t="s">
        <v>161</v>
      </c>
      <c r="D345" s="86">
        <v>28000</v>
      </c>
      <c r="E345" s="86">
        <v>28000</v>
      </c>
      <c r="F345" s="86">
        <v>13000</v>
      </c>
      <c r="G345" s="126">
        <f t="shared" si="7"/>
        <v>0.4642857142857143</v>
      </c>
    </row>
    <row r="346" spans="1:7" s="17" customFormat="1" ht="19.5" customHeight="1">
      <c r="A346" s="84"/>
      <c r="B346" s="84"/>
      <c r="C346" s="87" t="s">
        <v>135</v>
      </c>
      <c r="D346" s="88">
        <v>15000</v>
      </c>
      <c r="E346" s="88">
        <v>15000</v>
      </c>
      <c r="F346" s="88"/>
      <c r="G346" s="127"/>
    </row>
    <row r="347" spans="1:7" s="17" customFormat="1" ht="19.5" customHeight="1">
      <c r="A347" s="84"/>
      <c r="B347" s="84"/>
      <c r="C347" s="84" t="s">
        <v>191</v>
      </c>
      <c r="D347" s="105">
        <v>15000</v>
      </c>
      <c r="E347" s="105">
        <v>15000</v>
      </c>
      <c r="F347" s="105">
        <v>12150</v>
      </c>
      <c r="G347" s="165">
        <f t="shared" si="7"/>
        <v>0.81</v>
      </c>
    </row>
    <row r="348" spans="1:7" s="17" customFormat="1" ht="19.5" customHeight="1">
      <c r="A348" s="84"/>
      <c r="B348" s="77"/>
      <c r="C348" s="89" t="s">
        <v>4</v>
      </c>
      <c r="D348" s="90">
        <v>1126000</v>
      </c>
      <c r="E348" s="90">
        <v>1280000</v>
      </c>
      <c r="F348" s="90">
        <v>857960</v>
      </c>
      <c r="G348" s="128">
        <f t="shared" si="7"/>
        <v>0.67028125</v>
      </c>
    </row>
    <row r="349" spans="1:7" s="27" customFormat="1" ht="19.5" customHeight="1">
      <c r="A349" s="37"/>
      <c r="B349" s="56">
        <v>92106</v>
      </c>
      <c r="C349" s="56" t="s">
        <v>68</v>
      </c>
      <c r="D349" s="57">
        <f>D350</f>
        <v>1680000</v>
      </c>
      <c r="E349" s="57">
        <f>E350</f>
        <v>1680000</v>
      </c>
      <c r="F349" s="57">
        <f>F350</f>
        <v>925000</v>
      </c>
      <c r="G349" s="119">
        <f t="shared" si="7"/>
        <v>0.5505952380952381</v>
      </c>
    </row>
    <row r="350" spans="1:7" s="6" customFormat="1" ht="19.5" customHeight="1">
      <c r="A350" s="50"/>
      <c r="B350" s="68"/>
      <c r="C350" s="68" t="s">
        <v>240</v>
      </c>
      <c r="D350" s="70">
        <f>1600000+80000</f>
        <v>1680000</v>
      </c>
      <c r="E350" s="70">
        <v>1680000</v>
      </c>
      <c r="F350" s="70">
        <v>925000</v>
      </c>
      <c r="G350" s="111">
        <f t="shared" si="7"/>
        <v>0.5505952380952381</v>
      </c>
    </row>
    <row r="351" spans="1:7" s="6" customFormat="1" ht="19.5" customHeight="1">
      <c r="A351" s="50"/>
      <c r="B351" s="56">
        <v>92109</v>
      </c>
      <c r="C351" s="56" t="s">
        <v>69</v>
      </c>
      <c r="D351" s="57">
        <f>SUM(D352:D354)</f>
        <v>1720000</v>
      </c>
      <c r="E351" s="57">
        <f>SUM(E352:E354)</f>
        <v>1720000</v>
      </c>
      <c r="F351" s="57">
        <f>SUM(F352:F354)</f>
        <v>896000</v>
      </c>
      <c r="G351" s="119">
        <f t="shared" si="7"/>
        <v>0.5209302325581395</v>
      </c>
    </row>
    <row r="352" spans="1:7" s="6" customFormat="1" ht="19.5" customHeight="1">
      <c r="A352" s="50"/>
      <c r="B352" s="50"/>
      <c r="C352" s="71" t="s">
        <v>241</v>
      </c>
      <c r="D352" s="53">
        <f>450000-10000+40000</f>
        <v>480000</v>
      </c>
      <c r="E352" s="53">
        <v>480000</v>
      </c>
      <c r="F352" s="53">
        <v>254000</v>
      </c>
      <c r="G352" s="116">
        <f t="shared" si="7"/>
        <v>0.5291666666666667</v>
      </c>
    </row>
    <row r="353" spans="1:7" s="17" customFormat="1" ht="19.5" customHeight="1">
      <c r="A353" s="84"/>
      <c r="B353" s="84"/>
      <c r="C353" s="154" t="s">
        <v>290</v>
      </c>
      <c r="D353" s="86">
        <f>800000+70000</f>
        <v>870000</v>
      </c>
      <c r="E353" s="86">
        <v>870000</v>
      </c>
      <c r="F353" s="86">
        <v>460000</v>
      </c>
      <c r="G353" s="126">
        <f t="shared" si="7"/>
        <v>0.5287356321839081</v>
      </c>
    </row>
    <row r="354" spans="1:7" s="17" customFormat="1" ht="19.5" customHeight="1">
      <c r="A354" s="84"/>
      <c r="B354" s="77"/>
      <c r="C354" s="89" t="s">
        <v>242</v>
      </c>
      <c r="D354" s="90">
        <f>340000+30000</f>
        <v>370000</v>
      </c>
      <c r="E354" s="90">
        <v>370000</v>
      </c>
      <c r="F354" s="90">
        <v>182000</v>
      </c>
      <c r="G354" s="128">
        <f t="shared" si="7"/>
        <v>0.4918918918918919</v>
      </c>
    </row>
    <row r="355" spans="1:7" s="27" customFormat="1" ht="19.5" customHeight="1">
      <c r="A355" s="37"/>
      <c r="B355" s="56">
        <v>92110</v>
      </c>
      <c r="C355" s="56" t="s">
        <v>70</v>
      </c>
      <c r="D355" s="57">
        <f>D356</f>
        <v>740000</v>
      </c>
      <c r="E355" s="57">
        <f>E356</f>
        <v>740000</v>
      </c>
      <c r="F355" s="57">
        <f>F356</f>
        <v>380000</v>
      </c>
      <c r="G355" s="119">
        <f t="shared" si="7"/>
        <v>0.5135135135135135</v>
      </c>
    </row>
    <row r="356" spans="1:7" s="6" customFormat="1" ht="21.75" customHeight="1">
      <c r="A356" s="50"/>
      <c r="B356" s="68"/>
      <c r="C356" s="68" t="s">
        <v>243</v>
      </c>
      <c r="D356" s="70">
        <f>710000+30000</f>
        <v>740000</v>
      </c>
      <c r="E356" s="70">
        <v>740000</v>
      </c>
      <c r="F356" s="70">
        <v>380000</v>
      </c>
      <c r="G356" s="111">
        <f t="shared" si="7"/>
        <v>0.5135135135135135</v>
      </c>
    </row>
    <row r="357" spans="1:7" s="27" customFormat="1" ht="19.5" customHeight="1">
      <c r="A357" s="37"/>
      <c r="B357" s="56">
        <v>92113</v>
      </c>
      <c r="C357" s="56" t="s">
        <v>137</v>
      </c>
      <c r="D357" s="57">
        <f>D358</f>
        <v>1450000</v>
      </c>
      <c r="E357" s="57">
        <f>E358</f>
        <v>1450000</v>
      </c>
      <c r="F357" s="57">
        <f>F358</f>
        <v>738000</v>
      </c>
      <c r="G357" s="119">
        <f t="shared" si="7"/>
        <v>0.5089655172413793</v>
      </c>
    </row>
    <row r="358" spans="1:7" s="6" customFormat="1" ht="21" customHeight="1">
      <c r="A358" s="50"/>
      <c r="B358" s="68"/>
      <c r="C358" s="68" t="s">
        <v>244</v>
      </c>
      <c r="D358" s="70">
        <f>1270000+80000+100000</f>
        <v>1450000</v>
      </c>
      <c r="E358" s="70">
        <v>1450000</v>
      </c>
      <c r="F358" s="70">
        <v>738000</v>
      </c>
      <c r="G358" s="111">
        <f t="shared" si="7"/>
        <v>0.5089655172413793</v>
      </c>
    </row>
    <row r="359" spans="1:7" s="27" customFormat="1" ht="19.5" customHeight="1">
      <c r="A359" s="37"/>
      <c r="B359" s="56">
        <v>92116</v>
      </c>
      <c r="C359" s="56" t="s">
        <v>139</v>
      </c>
      <c r="D359" s="57">
        <f>SUM(D360:D360)</f>
        <v>4180000</v>
      </c>
      <c r="E359" s="57">
        <f>SUM(E360:E360)</f>
        <v>4180000</v>
      </c>
      <c r="F359" s="57">
        <f>SUM(F360:F360)</f>
        <v>2110000</v>
      </c>
      <c r="G359" s="119">
        <f>F359/E359</f>
        <v>0.5047846889952153</v>
      </c>
    </row>
    <row r="360" spans="1:7" s="6" customFormat="1" ht="19.5" customHeight="1">
      <c r="A360" s="54"/>
      <c r="B360" s="68"/>
      <c r="C360" s="69" t="s">
        <v>245</v>
      </c>
      <c r="D360" s="70">
        <f>4100000+80000</f>
        <v>4180000</v>
      </c>
      <c r="E360" s="70">
        <v>4180000</v>
      </c>
      <c r="F360" s="70">
        <v>2110000</v>
      </c>
      <c r="G360" s="111">
        <f t="shared" si="7"/>
        <v>0.5047846889952153</v>
      </c>
    </row>
    <row r="361" spans="1:7" s="6" customFormat="1" ht="19.5" customHeight="1">
      <c r="A361" s="50"/>
      <c r="B361" s="56">
        <v>92120</v>
      </c>
      <c r="C361" s="56" t="s">
        <v>71</v>
      </c>
      <c r="D361" s="57">
        <f>D362+D363</f>
        <v>1792000</v>
      </c>
      <c r="E361" s="57">
        <f>E362+E363</f>
        <v>1847000</v>
      </c>
      <c r="F361" s="57">
        <f>F362+F363</f>
        <v>345785</v>
      </c>
      <c r="G361" s="119">
        <f t="shared" si="7"/>
        <v>0.18721440173253925</v>
      </c>
    </row>
    <row r="362" spans="1:7" s="6" customFormat="1" ht="25.5" customHeight="1">
      <c r="A362" s="50"/>
      <c r="B362" s="50"/>
      <c r="C362" s="71" t="s">
        <v>162</v>
      </c>
      <c r="D362" s="53">
        <v>150000</v>
      </c>
      <c r="E362" s="53">
        <v>150000</v>
      </c>
      <c r="F362" s="53"/>
      <c r="G362" s="116"/>
    </row>
    <row r="363" spans="1:7" s="17" customFormat="1" ht="20.25" customHeight="1">
      <c r="A363" s="84"/>
      <c r="B363" s="84"/>
      <c r="C363" s="154" t="s">
        <v>249</v>
      </c>
      <c r="D363" s="86">
        <f>D364+D365</f>
        <v>1642000</v>
      </c>
      <c r="E363" s="86">
        <f>SUM(E364:E365)</f>
        <v>1697000</v>
      </c>
      <c r="F363" s="86">
        <f>SUM(F364:F365)</f>
        <v>345785</v>
      </c>
      <c r="G363" s="126">
        <f t="shared" si="7"/>
        <v>0.20376252209781967</v>
      </c>
    </row>
    <row r="364" spans="1:7" s="6" customFormat="1" ht="18" customHeight="1">
      <c r="A364" s="50"/>
      <c r="B364" s="50"/>
      <c r="C364" s="168" t="s">
        <v>138</v>
      </c>
      <c r="D364" s="169">
        <f>110000+750000</f>
        <v>860000</v>
      </c>
      <c r="E364" s="169">
        <v>860000</v>
      </c>
      <c r="F364" s="169"/>
      <c r="G364" s="170"/>
    </row>
    <row r="365" spans="1:7" s="6" customFormat="1" ht="18" customHeight="1">
      <c r="A365" s="54"/>
      <c r="B365" s="171"/>
      <c r="C365" s="172" t="s">
        <v>4</v>
      </c>
      <c r="D365" s="173">
        <f>3174000-2392000</f>
        <v>782000</v>
      </c>
      <c r="E365" s="173">
        <v>837000</v>
      </c>
      <c r="F365" s="173">
        <v>345785</v>
      </c>
      <c r="G365" s="174">
        <f t="shared" si="7"/>
        <v>0.4131242532855436</v>
      </c>
    </row>
    <row r="366" spans="1:7" s="6" customFormat="1" ht="19.5" customHeight="1">
      <c r="A366" s="34">
        <v>926</v>
      </c>
      <c r="B366" s="34"/>
      <c r="C366" s="34" t="s">
        <v>72</v>
      </c>
      <c r="D366" s="35">
        <f>D367+D370+D372</f>
        <v>9485000</v>
      </c>
      <c r="E366" s="35">
        <f>E367+E370+E372</f>
        <v>9485000</v>
      </c>
      <c r="F366" s="35">
        <f>F367+F370+F372</f>
        <v>1904247</v>
      </c>
      <c r="G366" s="109">
        <f t="shared" si="7"/>
        <v>0.20076404849762783</v>
      </c>
    </row>
    <row r="367" spans="1:7" s="27" customFormat="1" ht="19.5" customHeight="1">
      <c r="A367" s="37"/>
      <c r="B367" s="38">
        <v>92601</v>
      </c>
      <c r="C367" s="38" t="s">
        <v>73</v>
      </c>
      <c r="D367" s="39">
        <f>SUM(D368:D369)</f>
        <v>395000</v>
      </c>
      <c r="E367" s="39">
        <f>SUM(E368:E369)</f>
        <v>356000</v>
      </c>
      <c r="F367" s="39">
        <f>SUM(F368:F369)</f>
        <v>115805</v>
      </c>
      <c r="G367" s="110">
        <f t="shared" si="7"/>
        <v>0.3252949438202247</v>
      </c>
    </row>
    <row r="368" spans="1:7" s="6" customFormat="1" ht="19.5" customHeight="1">
      <c r="A368" s="50"/>
      <c r="B368" s="51"/>
      <c r="C368" s="52" t="s">
        <v>142</v>
      </c>
      <c r="D368" s="53">
        <v>245000</v>
      </c>
      <c r="E368" s="53">
        <v>206000</v>
      </c>
      <c r="F368" s="53">
        <v>106000</v>
      </c>
      <c r="G368" s="116">
        <f t="shared" si="7"/>
        <v>0.5145631067961165</v>
      </c>
    </row>
    <row r="369" spans="1:7" s="6" customFormat="1" ht="19.5" customHeight="1">
      <c r="A369" s="50"/>
      <c r="B369" s="54"/>
      <c r="C369" s="54" t="s">
        <v>4</v>
      </c>
      <c r="D369" s="55">
        <v>150000</v>
      </c>
      <c r="E369" s="55">
        <v>150000</v>
      </c>
      <c r="F369" s="55">
        <v>9805</v>
      </c>
      <c r="G369" s="118">
        <f t="shared" si="7"/>
        <v>0.06536666666666667</v>
      </c>
    </row>
    <row r="370" spans="1:7" s="27" customFormat="1" ht="21" customHeight="1">
      <c r="A370" s="37"/>
      <c r="B370" s="56">
        <v>92604</v>
      </c>
      <c r="C370" s="56" t="s">
        <v>74</v>
      </c>
      <c r="D370" s="57">
        <f>SUM(D371:D371)</f>
        <v>7640000</v>
      </c>
      <c r="E370" s="57">
        <f>SUM(E371:E371)</f>
        <v>7640000</v>
      </c>
      <c r="F370" s="57">
        <f>SUM(F371:F371)</f>
        <v>1177510</v>
      </c>
      <c r="G370" s="119">
        <f t="shared" si="7"/>
        <v>0.15412434554973822</v>
      </c>
    </row>
    <row r="371" spans="1:7" s="6" customFormat="1" ht="21" customHeight="1">
      <c r="A371" s="50"/>
      <c r="B371" s="68"/>
      <c r="C371" s="68" t="s">
        <v>167</v>
      </c>
      <c r="D371" s="70">
        <f>7840000-200000</f>
        <v>7640000</v>
      </c>
      <c r="E371" s="70">
        <v>7640000</v>
      </c>
      <c r="F371" s="70">
        <v>1177510</v>
      </c>
      <c r="G371" s="111">
        <f t="shared" si="7"/>
        <v>0.15412434554973822</v>
      </c>
    </row>
    <row r="372" spans="1:7" s="27" customFormat="1" ht="19.5" customHeight="1">
      <c r="A372" s="37"/>
      <c r="B372" s="56">
        <v>92605</v>
      </c>
      <c r="C372" s="56" t="s">
        <v>143</v>
      </c>
      <c r="D372" s="57">
        <f>SUM(D373:D376)</f>
        <v>1450000</v>
      </c>
      <c r="E372" s="57">
        <f>SUM(E373:E376)</f>
        <v>1489000</v>
      </c>
      <c r="F372" s="57">
        <f>SUM(F373:F376)</f>
        <v>610932</v>
      </c>
      <c r="G372" s="119">
        <f t="shared" si="7"/>
        <v>0.41029684351914036</v>
      </c>
    </row>
    <row r="373" spans="1:7" s="6" customFormat="1" ht="19.5" customHeight="1">
      <c r="A373" s="50"/>
      <c r="B373" s="50"/>
      <c r="C373" s="52" t="s">
        <v>144</v>
      </c>
      <c r="D373" s="53">
        <f>500000+185000</f>
        <v>685000</v>
      </c>
      <c r="E373" s="53">
        <v>724000</v>
      </c>
      <c r="F373" s="53">
        <v>326476</v>
      </c>
      <c r="G373" s="116">
        <f t="shared" si="7"/>
        <v>0.45093370165745855</v>
      </c>
    </row>
    <row r="374" spans="1:7" s="6" customFormat="1" ht="19.5" customHeight="1">
      <c r="A374" s="50"/>
      <c r="B374" s="50"/>
      <c r="C374" s="60" t="s">
        <v>199</v>
      </c>
      <c r="D374" s="59">
        <f>500000+100000</f>
        <v>600000</v>
      </c>
      <c r="E374" s="59">
        <v>600000</v>
      </c>
      <c r="F374" s="59">
        <v>269456</v>
      </c>
      <c r="G374" s="117">
        <f t="shared" si="7"/>
        <v>0.44909333333333334</v>
      </c>
    </row>
    <row r="375" spans="1:7" s="6" customFormat="1" ht="31.5" customHeight="1">
      <c r="A375" s="50"/>
      <c r="B375" s="50"/>
      <c r="C375" s="58" t="s">
        <v>293</v>
      </c>
      <c r="D375" s="59">
        <f>30000+15000</f>
        <v>45000</v>
      </c>
      <c r="E375" s="59">
        <v>45000</v>
      </c>
      <c r="F375" s="59">
        <v>15000</v>
      </c>
      <c r="G375" s="117">
        <f t="shared" si="7"/>
        <v>0.3333333333333333</v>
      </c>
    </row>
    <row r="376" spans="1:7" s="6" customFormat="1" ht="19.5" customHeight="1">
      <c r="A376" s="50"/>
      <c r="B376" s="50"/>
      <c r="C376" s="64" t="s">
        <v>4</v>
      </c>
      <c r="D376" s="46">
        <v>120000</v>
      </c>
      <c r="E376" s="46">
        <v>120000</v>
      </c>
      <c r="F376" s="46"/>
      <c r="G376" s="121"/>
    </row>
    <row r="377" spans="1:7" ht="36" customHeight="1" thickBot="1">
      <c r="A377" s="54"/>
      <c r="B377" s="54"/>
      <c r="C377" s="179" t="s">
        <v>297</v>
      </c>
      <c r="D377" s="15">
        <f>+D392+D384+D389</f>
        <v>2653981</v>
      </c>
      <c r="E377" s="15">
        <f>+E392+E384+E389+E378+E381</f>
        <v>2974358</v>
      </c>
      <c r="F377" s="15">
        <f>F392+F384+F389+F378+F381</f>
        <v>1620603</v>
      </c>
      <c r="G377" s="129">
        <f t="shared" si="7"/>
        <v>0.5448580836604067</v>
      </c>
    </row>
    <row r="378" spans="1:7" s="6" customFormat="1" ht="19.5" customHeight="1" thickTop="1">
      <c r="A378" s="34">
        <v>710</v>
      </c>
      <c r="B378" s="34"/>
      <c r="C378" s="91" t="s">
        <v>19</v>
      </c>
      <c r="D378" s="133"/>
      <c r="E378" s="133">
        <f>E379</f>
        <v>38500</v>
      </c>
      <c r="F378" s="133">
        <f>F379</f>
        <v>17229</v>
      </c>
      <c r="G378" s="182">
        <f t="shared" si="7"/>
        <v>0.4475064935064935</v>
      </c>
    </row>
    <row r="379" spans="1:7" s="27" customFormat="1" ht="19.5" customHeight="1">
      <c r="A379" s="37"/>
      <c r="B379" s="56">
        <v>71035</v>
      </c>
      <c r="C379" s="56" t="s">
        <v>179</v>
      </c>
      <c r="D379" s="57"/>
      <c r="E379" s="57">
        <f>E380</f>
        <v>38500</v>
      </c>
      <c r="F379" s="57">
        <f>F380</f>
        <v>17229</v>
      </c>
      <c r="G379" s="119">
        <f t="shared" si="7"/>
        <v>0.4475064935064935</v>
      </c>
    </row>
    <row r="380" spans="1:7" s="6" customFormat="1" ht="19.5" customHeight="1">
      <c r="A380" s="50"/>
      <c r="B380" s="50"/>
      <c r="C380" s="180" t="s">
        <v>274</v>
      </c>
      <c r="D380" s="148"/>
      <c r="E380" s="148">
        <v>38500</v>
      </c>
      <c r="F380" s="148">
        <v>17229</v>
      </c>
      <c r="G380" s="111">
        <f t="shared" si="7"/>
        <v>0.4475064935064935</v>
      </c>
    </row>
    <row r="381" spans="1:7" s="6" customFormat="1" ht="19.5" customHeight="1">
      <c r="A381" s="33">
        <v>754</v>
      </c>
      <c r="B381" s="33"/>
      <c r="C381" s="48" t="s">
        <v>24</v>
      </c>
      <c r="D381" s="181"/>
      <c r="E381" s="181">
        <f>E382</f>
        <v>26000</v>
      </c>
      <c r="F381" s="181"/>
      <c r="G381" s="182"/>
    </row>
    <row r="382" spans="1:7" s="27" customFormat="1" ht="19.5" customHeight="1">
      <c r="A382" s="37"/>
      <c r="B382" s="56">
        <v>75411</v>
      </c>
      <c r="C382" s="56" t="s">
        <v>25</v>
      </c>
      <c r="D382" s="57"/>
      <c r="E382" s="57">
        <f>E383</f>
        <v>26000</v>
      </c>
      <c r="F382" s="57"/>
      <c r="G382" s="119"/>
    </row>
    <row r="383" spans="1:7" s="6" customFormat="1" ht="19.5" customHeight="1">
      <c r="A383" s="50"/>
      <c r="B383" s="50"/>
      <c r="C383" s="52" t="s">
        <v>4</v>
      </c>
      <c r="D383" s="53"/>
      <c r="E383" s="53">
        <v>26000</v>
      </c>
      <c r="F383" s="53"/>
      <c r="G383" s="111"/>
    </row>
    <row r="384" spans="1:7" s="6" customFormat="1" ht="19.5" customHeight="1">
      <c r="A384" s="33">
        <v>801</v>
      </c>
      <c r="B384" s="33"/>
      <c r="C384" s="48" t="s">
        <v>34</v>
      </c>
      <c r="D384" s="181">
        <f>D385</f>
        <v>2492981</v>
      </c>
      <c r="E384" s="181">
        <f>E385</f>
        <v>2748858</v>
      </c>
      <c r="F384" s="181">
        <f>F385</f>
        <v>1590374</v>
      </c>
      <c r="G384" s="182">
        <f aca="true" t="shared" si="8" ref="G384:G439">F384/E384</f>
        <v>0.5785580775725774</v>
      </c>
    </row>
    <row r="385" spans="1:7" s="27" customFormat="1" ht="19.5" customHeight="1">
      <c r="A385" s="37"/>
      <c r="B385" s="56">
        <v>80132</v>
      </c>
      <c r="C385" s="56" t="s">
        <v>124</v>
      </c>
      <c r="D385" s="57">
        <f>SUM(D386:D388)</f>
        <v>2492981</v>
      </c>
      <c r="E385" s="57">
        <f>SUM(E386:E388)</f>
        <v>2748858</v>
      </c>
      <c r="F385" s="57">
        <f>SUM(F386:F388)</f>
        <v>1590374</v>
      </c>
      <c r="G385" s="119">
        <f t="shared" si="8"/>
        <v>0.5785580775725774</v>
      </c>
    </row>
    <row r="386" spans="1:7" s="6" customFormat="1" ht="19.5" customHeight="1">
      <c r="A386" s="54"/>
      <c r="B386" s="54"/>
      <c r="C386" s="68" t="s">
        <v>36</v>
      </c>
      <c r="D386" s="70">
        <f>1992998-43017</f>
        <v>1949981</v>
      </c>
      <c r="E386" s="70">
        <v>2164356</v>
      </c>
      <c r="F386" s="70">
        <v>1237281</v>
      </c>
      <c r="G386" s="111">
        <f t="shared" si="8"/>
        <v>0.5716624252202502</v>
      </c>
    </row>
    <row r="387" spans="1:7" s="6" customFormat="1" ht="19.5" customHeight="1">
      <c r="A387" s="50"/>
      <c r="B387" s="50"/>
      <c r="C387" s="79" t="s">
        <v>37</v>
      </c>
      <c r="D387" s="43">
        <f>170000-4000</f>
        <v>166000</v>
      </c>
      <c r="E387" s="43">
        <v>166000</v>
      </c>
      <c r="F387" s="43">
        <v>107962</v>
      </c>
      <c r="G387" s="114">
        <f t="shared" si="8"/>
        <v>0.6503734939759036</v>
      </c>
    </row>
    <row r="388" spans="1:7" s="6" customFormat="1" ht="19.5" customHeight="1">
      <c r="A388" s="54"/>
      <c r="B388" s="54"/>
      <c r="C388" s="54" t="s">
        <v>38</v>
      </c>
      <c r="D388" s="55">
        <f>385000-8000</f>
        <v>377000</v>
      </c>
      <c r="E388" s="55">
        <v>418502</v>
      </c>
      <c r="F388" s="55">
        <v>245131</v>
      </c>
      <c r="G388" s="118">
        <f t="shared" si="8"/>
        <v>0.585734357302952</v>
      </c>
    </row>
    <row r="389" spans="1:7" s="6" customFormat="1" ht="19.5" customHeight="1">
      <c r="A389" s="34">
        <v>900</v>
      </c>
      <c r="B389" s="34"/>
      <c r="C389" s="34" t="s">
        <v>62</v>
      </c>
      <c r="D389" s="35">
        <f>D390</f>
        <v>135000</v>
      </c>
      <c r="E389" s="35">
        <f>E390</f>
        <v>135000</v>
      </c>
      <c r="F389" s="35"/>
      <c r="G389" s="109"/>
    </row>
    <row r="390" spans="1:7" s="27" customFormat="1" ht="19.5" customHeight="1">
      <c r="A390" s="37"/>
      <c r="B390" s="56">
        <v>90003</v>
      </c>
      <c r="C390" s="56" t="s">
        <v>64</v>
      </c>
      <c r="D390" s="57">
        <f>D391</f>
        <v>135000</v>
      </c>
      <c r="E390" s="57">
        <f>E391</f>
        <v>135000</v>
      </c>
      <c r="F390" s="57"/>
      <c r="G390" s="119"/>
    </row>
    <row r="391" spans="1:7" s="6" customFormat="1" ht="19.5" customHeight="1">
      <c r="A391" s="54"/>
      <c r="B391" s="54"/>
      <c r="C391" s="106" t="s">
        <v>256</v>
      </c>
      <c r="D391" s="55">
        <f>150000-15000</f>
        <v>135000</v>
      </c>
      <c r="E391" s="55">
        <v>135000</v>
      </c>
      <c r="F391" s="55"/>
      <c r="G391" s="118"/>
    </row>
    <row r="392" spans="1:7" s="6" customFormat="1" ht="19.5" customHeight="1">
      <c r="A392" s="34">
        <v>921</v>
      </c>
      <c r="B392" s="34"/>
      <c r="C392" s="34" t="s">
        <v>141</v>
      </c>
      <c r="D392" s="35">
        <f aca="true" t="shared" si="9" ref="D392:F393">D393</f>
        <v>26000</v>
      </c>
      <c r="E392" s="35">
        <f t="shared" si="9"/>
        <v>26000</v>
      </c>
      <c r="F392" s="35">
        <f t="shared" si="9"/>
        <v>13000</v>
      </c>
      <c r="G392" s="109">
        <f t="shared" si="8"/>
        <v>0.5</v>
      </c>
    </row>
    <row r="393" spans="1:7" s="27" customFormat="1" ht="18.75" customHeight="1">
      <c r="A393" s="37"/>
      <c r="B393" s="56">
        <v>92116</v>
      </c>
      <c r="C393" s="56" t="s">
        <v>139</v>
      </c>
      <c r="D393" s="57">
        <f t="shared" si="9"/>
        <v>26000</v>
      </c>
      <c r="E393" s="57">
        <f t="shared" si="9"/>
        <v>26000</v>
      </c>
      <c r="F393" s="57">
        <f t="shared" si="9"/>
        <v>13000</v>
      </c>
      <c r="G393" s="119">
        <f t="shared" si="8"/>
        <v>0.5</v>
      </c>
    </row>
    <row r="394" spans="1:7" s="6" customFormat="1" ht="26.25" customHeight="1">
      <c r="A394" s="50"/>
      <c r="B394" s="50"/>
      <c r="C394" s="106" t="s">
        <v>140</v>
      </c>
      <c r="D394" s="55">
        <v>26000</v>
      </c>
      <c r="E394" s="55">
        <v>26000</v>
      </c>
      <c r="F394" s="55">
        <v>13000</v>
      </c>
      <c r="G394" s="118">
        <f t="shared" si="8"/>
        <v>0.5</v>
      </c>
    </row>
    <row r="395" spans="1:7" ht="20.25" customHeight="1" thickBot="1">
      <c r="A395" s="50"/>
      <c r="B395" s="50"/>
      <c r="C395" s="16" t="s">
        <v>75</v>
      </c>
      <c r="D395" s="15">
        <f>D397+D442</f>
        <v>53977729</v>
      </c>
      <c r="E395" s="15">
        <f>E397+E442</f>
        <v>54516269</v>
      </c>
      <c r="F395" s="15">
        <f>F397+F442</f>
        <v>28519988</v>
      </c>
      <c r="G395" s="129">
        <f t="shared" si="8"/>
        <v>0.5231463657206622</v>
      </c>
    </row>
    <row r="396" spans="1:7" ht="15" customHeight="1" thickTop="1">
      <c r="A396" s="50"/>
      <c r="B396" s="50"/>
      <c r="C396" s="50" t="s">
        <v>6</v>
      </c>
      <c r="D396" s="62"/>
      <c r="E396" s="62"/>
      <c r="F396" s="62"/>
      <c r="G396" s="120"/>
    </row>
    <row r="397" spans="1:7" ht="19.5" customHeight="1">
      <c r="A397" s="54"/>
      <c r="B397" s="54"/>
      <c r="C397" s="18" t="s">
        <v>168</v>
      </c>
      <c r="D397" s="19">
        <f>D398+D403+D408+D411+D414+D438</f>
        <v>33306195</v>
      </c>
      <c r="E397" s="19">
        <f>E398+E403+E408+E411+E414+E438</f>
        <v>34221495</v>
      </c>
      <c r="F397" s="19">
        <f>F398+F403+F408+F411+F414+F438</f>
        <v>17764740</v>
      </c>
      <c r="G397" s="130">
        <f t="shared" si="8"/>
        <v>0.5191105765542973</v>
      </c>
    </row>
    <row r="398" spans="1:7" s="6" customFormat="1" ht="19.5" customHeight="1">
      <c r="A398" s="33">
        <v>750</v>
      </c>
      <c r="B398" s="33"/>
      <c r="C398" s="33" t="s">
        <v>22</v>
      </c>
      <c r="D398" s="49">
        <f>D399</f>
        <v>1463165</v>
      </c>
      <c r="E398" s="49">
        <f>E399</f>
        <v>1463165</v>
      </c>
      <c r="F398" s="49">
        <f>F399</f>
        <v>1329303</v>
      </c>
      <c r="G398" s="115">
        <f t="shared" si="8"/>
        <v>0.9085120270099408</v>
      </c>
    </row>
    <row r="399" spans="1:7" s="17" customFormat="1" ht="19.5" customHeight="1">
      <c r="A399" s="81"/>
      <c r="B399" s="75">
        <v>75011</v>
      </c>
      <c r="C399" s="75" t="s">
        <v>77</v>
      </c>
      <c r="D399" s="76">
        <f>SUM(D400:D402)</f>
        <v>1463165</v>
      </c>
      <c r="E399" s="76">
        <f>SUM(E400:E402)</f>
        <v>1463165</v>
      </c>
      <c r="F399" s="76">
        <f>SUM(F400:F402)</f>
        <v>1329303</v>
      </c>
      <c r="G399" s="122">
        <f t="shared" si="8"/>
        <v>0.9085120270099408</v>
      </c>
    </row>
    <row r="400" spans="1:7" s="17" customFormat="1" ht="19.5" customHeight="1">
      <c r="A400" s="84"/>
      <c r="B400" s="93"/>
      <c r="C400" s="82" t="s">
        <v>36</v>
      </c>
      <c r="D400" s="83">
        <v>1185080</v>
      </c>
      <c r="E400" s="83">
        <v>1185080</v>
      </c>
      <c r="F400" s="83">
        <v>1096442</v>
      </c>
      <c r="G400" s="125">
        <f t="shared" si="8"/>
        <v>0.9252050494481385</v>
      </c>
    </row>
    <row r="401" spans="1:7" s="17" customFormat="1" ht="19.5" customHeight="1">
      <c r="A401" s="84"/>
      <c r="B401" s="84"/>
      <c r="C401" s="85" t="s">
        <v>37</v>
      </c>
      <c r="D401" s="86">
        <v>37135</v>
      </c>
      <c r="E401" s="86">
        <v>37135</v>
      </c>
      <c r="F401" s="86">
        <v>29210</v>
      </c>
      <c r="G401" s="126">
        <f t="shared" si="8"/>
        <v>0.7865894708496028</v>
      </c>
    </row>
    <row r="402" spans="1:7" s="17" customFormat="1" ht="19.5" customHeight="1">
      <c r="A402" s="84"/>
      <c r="B402" s="77"/>
      <c r="C402" s="77" t="s">
        <v>38</v>
      </c>
      <c r="D402" s="78">
        <v>240950</v>
      </c>
      <c r="E402" s="78">
        <v>240950</v>
      </c>
      <c r="F402" s="78">
        <v>203651</v>
      </c>
      <c r="G402" s="123">
        <f t="shared" si="8"/>
        <v>0.8452002490143183</v>
      </c>
    </row>
    <row r="403" spans="1:7" s="6" customFormat="1" ht="28.5" customHeight="1">
      <c r="A403" s="195">
        <v>751</v>
      </c>
      <c r="B403" s="34"/>
      <c r="C403" s="91" t="s">
        <v>215</v>
      </c>
      <c r="D403" s="35">
        <f aca="true" t="shared" si="10" ref="D403:F404">D404</f>
        <v>27830</v>
      </c>
      <c r="E403" s="35">
        <f>E404+E406</f>
        <v>662980</v>
      </c>
      <c r="F403" s="35">
        <f>F404+F406</f>
        <v>580540</v>
      </c>
      <c r="G403" s="109">
        <f t="shared" si="8"/>
        <v>0.8756523575371806</v>
      </c>
    </row>
    <row r="404" spans="1:7" s="6" customFormat="1" ht="29.25" customHeight="1">
      <c r="A404" s="51"/>
      <c r="B404" s="65">
        <v>75101</v>
      </c>
      <c r="C404" s="66" t="s">
        <v>216</v>
      </c>
      <c r="D404" s="57">
        <f t="shared" si="10"/>
        <v>27830</v>
      </c>
      <c r="E404" s="57">
        <f t="shared" si="10"/>
        <v>27830</v>
      </c>
      <c r="F404" s="57">
        <f t="shared" si="10"/>
        <v>20195</v>
      </c>
      <c r="G404" s="119">
        <f t="shared" si="8"/>
        <v>0.7256557671577435</v>
      </c>
    </row>
    <row r="405" spans="1:7" s="6" customFormat="1" ht="19.5" customHeight="1">
      <c r="A405" s="50"/>
      <c r="B405" s="54"/>
      <c r="C405" s="67" t="s">
        <v>79</v>
      </c>
      <c r="D405" s="55">
        <v>27830</v>
      </c>
      <c r="E405" s="55">
        <v>27830</v>
      </c>
      <c r="F405" s="55">
        <v>20195</v>
      </c>
      <c r="G405" s="118">
        <f t="shared" si="8"/>
        <v>0.7256557671577435</v>
      </c>
    </row>
    <row r="406" spans="1:7" s="6" customFormat="1" ht="19.5" customHeight="1">
      <c r="A406" s="50"/>
      <c r="B406" s="56">
        <v>75110</v>
      </c>
      <c r="C406" s="66" t="s">
        <v>275</v>
      </c>
      <c r="D406" s="55"/>
      <c r="E406" s="57">
        <f>E407</f>
        <v>635150</v>
      </c>
      <c r="F406" s="57">
        <f>F407</f>
        <v>560345</v>
      </c>
      <c r="G406" s="119">
        <f t="shared" si="8"/>
        <v>0.8822246713374793</v>
      </c>
    </row>
    <row r="407" spans="1:7" s="6" customFormat="1" ht="19.5" customHeight="1">
      <c r="A407" s="50"/>
      <c r="B407" s="54"/>
      <c r="C407" s="67" t="s">
        <v>276</v>
      </c>
      <c r="D407" s="55"/>
      <c r="E407" s="55">
        <v>635150</v>
      </c>
      <c r="F407" s="55">
        <v>560345</v>
      </c>
      <c r="G407" s="118">
        <f t="shared" si="8"/>
        <v>0.8822246713374793</v>
      </c>
    </row>
    <row r="408" spans="1:7" s="6" customFormat="1" ht="19.5" customHeight="1">
      <c r="A408" s="175">
        <v>754</v>
      </c>
      <c r="B408" s="34"/>
      <c r="C408" s="91" t="s">
        <v>24</v>
      </c>
      <c r="D408" s="35">
        <f aca="true" t="shared" si="11" ref="D408:F409">D409</f>
        <v>2200</v>
      </c>
      <c r="E408" s="35">
        <f t="shared" si="11"/>
        <v>2200</v>
      </c>
      <c r="F408" s="35">
        <f t="shared" si="11"/>
        <v>1052</v>
      </c>
      <c r="G408" s="109">
        <f t="shared" si="8"/>
        <v>0.4781818181818182</v>
      </c>
    </row>
    <row r="409" spans="1:7" s="6" customFormat="1" ht="18.75" customHeight="1">
      <c r="A409" s="51"/>
      <c r="B409" s="38">
        <v>75414</v>
      </c>
      <c r="C409" s="73" t="s">
        <v>78</v>
      </c>
      <c r="D409" s="39">
        <f t="shared" si="11"/>
        <v>2200</v>
      </c>
      <c r="E409" s="39">
        <f t="shared" si="11"/>
        <v>2200</v>
      </c>
      <c r="F409" s="39">
        <f t="shared" si="11"/>
        <v>1052</v>
      </c>
      <c r="G409" s="110">
        <f t="shared" si="8"/>
        <v>0.4781818181818182</v>
      </c>
    </row>
    <row r="410" spans="1:7" s="6" customFormat="1" ht="18.75" customHeight="1">
      <c r="A410" s="54"/>
      <c r="B410" s="54"/>
      <c r="C410" s="67" t="s">
        <v>246</v>
      </c>
      <c r="D410" s="55">
        <v>2200</v>
      </c>
      <c r="E410" s="55">
        <v>2200</v>
      </c>
      <c r="F410" s="55">
        <v>1052</v>
      </c>
      <c r="G410" s="118">
        <f t="shared" si="8"/>
        <v>0.4781818181818182</v>
      </c>
    </row>
    <row r="411" spans="1:7" s="6" customFormat="1" ht="18.75" customHeight="1">
      <c r="A411" s="94">
        <v>801</v>
      </c>
      <c r="B411" s="34"/>
      <c r="C411" s="91" t="s">
        <v>34</v>
      </c>
      <c r="D411" s="35"/>
      <c r="E411" s="35">
        <f>E412</f>
        <v>50270</v>
      </c>
      <c r="F411" s="35">
        <f>F412</f>
        <v>45697</v>
      </c>
      <c r="G411" s="109">
        <f t="shared" si="8"/>
        <v>0.9090312313507062</v>
      </c>
    </row>
    <row r="412" spans="1:7" s="6" customFormat="1" ht="18.75" customHeight="1">
      <c r="A412" s="51"/>
      <c r="B412" s="38">
        <v>80101</v>
      </c>
      <c r="C412" s="73" t="s">
        <v>35</v>
      </c>
      <c r="D412" s="39"/>
      <c r="E412" s="39">
        <f>E413</f>
        <v>50270</v>
      </c>
      <c r="F412" s="39">
        <f>F413</f>
        <v>45697</v>
      </c>
      <c r="G412" s="110">
        <f t="shared" si="8"/>
        <v>0.9090312313507062</v>
      </c>
    </row>
    <row r="413" spans="1:7" s="6" customFormat="1" ht="18.75" customHeight="1">
      <c r="A413" s="54"/>
      <c r="B413" s="54"/>
      <c r="C413" s="67" t="s">
        <v>269</v>
      </c>
      <c r="D413" s="55"/>
      <c r="E413" s="55">
        <v>50270</v>
      </c>
      <c r="F413" s="55">
        <v>45697</v>
      </c>
      <c r="G413" s="118">
        <f t="shared" si="8"/>
        <v>0.9090312313507062</v>
      </c>
    </row>
    <row r="414" spans="1:7" s="6" customFormat="1" ht="19.5" customHeight="1">
      <c r="A414" s="34">
        <v>853</v>
      </c>
      <c r="B414" s="34"/>
      <c r="C414" s="34" t="s">
        <v>47</v>
      </c>
      <c r="D414" s="35">
        <f>D415+D426+D428+D430+D434+D424</f>
        <v>28719000</v>
      </c>
      <c r="E414" s="35">
        <f>E415+E426+E428+E430+E434+E424+E436</f>
        <v>28948880</v>
      </c>
      <c r="F414" s="35">
        <f>F415+F426+F428+F430+F434+F424+F436</f>
        <v>13693921</v>
      </c>
      <c r="G414" s="109">
        <f t="shared" si="8"/>
        <v>0.4730380242689873</v>
      </c>
    </row>
    <row r="415" spans="1:7" s="6" customFormat="1" ht="19.5" customHeight="1">
      <c r="A415" s="50"/>
      <c r="B415" s="38">
        <v>85303</v>
      </c>
      <c r="C415" s="38" t="s">
        <v>50</v>
      </c>
      <c r="D415" s="39">
        <f>D416+D420+D421</f>
        <v>665000</v>
      </c>
      <c r="E415" s="39">
        <f>E416+E420+E421+E422+E423</f>
        <v>865000</v>
      </c>
      <c r="F415" s="39">
        <f>F416+F420+F421</f>
        <v>330586</v>
      </c>
      <c r="G415" s="110">
        <f t="shared" si="8"/>
        <v>0.38218034682080926</v>
      </c>
    </row>
    <row r="416" spans="1:7" s="6" customFormat="1" ht="25.5" customHeight="1">
      <c r="A416" s="50"/>
      <c r="B416" s="50"/>
      <c r="C416" s="144" t="s">
        <v>298</v>
      </c>
      <c r="D416" s="145">
        <f>SUM(D417:D419)</f>
        <v>389000</v>
      </c>
      <c r="E416" s="145">
        <f>SUM(E417:E419)</f>
        <v>468000</v>
      </c>
      <c r="F416" s="145">
        <f>SUM(F417:F419)</f>
        <v>189586</v>
      </c>
      <c r="G416" s="146">
        <f t="shared" si="8"/>
        <v>0.4050982905982906</v>
      </c>
    </row>
    <row r="417" spans="1:7" s="6" customFormat="1" ht="18.75" customHeight="1">
      <c r="A417" s="50"/>
      <c r="B417" s="50"/>
      <c r="C417" s="155" t="s">
        <v>36</v>
      </c>
      <c r="D417" s="156">
        <v>245000</v>
      </c>
      <c r="E417" s="156">
        <v>245000</v>
      </c>
      <c r="F417" s="156">
        <v>122041</v>
      </c>
      <c r="G417" s="157">
        <f t="shared" si="8"/>
        <v>0.4981265306122449</v>
      </c>
    </row>
    <row r="418" spans="1:7" s="6" customFormat="1" ht="18.75" customHeight="1">
      <c r="A418" s="50"/>
      <c r="B418" s="50"/>
      <c r="C418" s="60" t="s">
        <v>37</v>
      </c>
      <c r="D418" s="59">
        <v>94000</v>
      </c>
      <c r="E418" s="59">
        <v>173000</v>
      </c>
      <c r="F418" s="59">
        <v>47352</v>
      </c>
      <c r="G418" s="117">
        <f t="shared" si="8"/>
        <v>0.27371098265895955</v>
      </c>
    </row>
    <row r="419" spans="1:7" s="6" customFormat="1" ht="18.75" customHeight="1">
      <c r="A419" s="50"/>
      <c r="B419" s="50"/>
      <c r="C419" s="79" t="s">
        <v>38</v>
      </c>
      <c r="D419" s="43">
        <v>50000</v>
      </c>
      <c r="E419" s="43">
        <v>50000</v>
      </c>
      <c r="F419" s="43">
        <v>20193</v>
      </c>
      <c r="G419" s="114">
        <f t="shared" si="8"/>
        <v>0.40386</v>
      </c>
    </row>
    <row r="420" spans="1:7" s="6" customFormat="1" ht="28.5" customHeight="1">
      <c r="A420" s="50"/>
      <c r="B420" s="50"/>
      <c r="C420" s="147" t="s">
        <v>253</v>
      </c>
      <c r="D420" s="142">
        <v>270000</v>
      </c>
      <c r="E420" s="142">
        <v>349000</v>
      </c>
      <c r="F420" s="142">
        <v>135000</v>
      </c>
      <c r="G420" s="143">
        <f t="shared" si="8"/>
        <v>0.3868194842406877</v>
      </c>
    </row>
    <row r="421" spans="1:7" s="6" customFormat="1" ht="30" customHeight="1">
      <c r="A421" s="50"/>
      <c r="B421" s="50"/>
      <c r="C421" s="183" t="s">
        <v>254</v>
      </c>
      <c r="D421" s="184">
        <v>6000</v>
      </c>
      <c r="E421" s="184">
        <v>6000</v>
      </c>
      <c r="F421" s="184">
        <v>6000</v>
      </c>
      <c r="G421" s="185">
        <f t="shared" si="8"/>
        <v>1</v>
      </c>
    </row>
    <row r="422" spans="1:7" s="6" customFormat="1" ht="29.25" customHeight="1">
      <c r="A422" s="50"/>
      <c r="B422" s="50"/>
      <c r="C422" s="183" t="s">
        <v>277</v>
      </c>
      <c r="D422" s="184"/>
      <c r="E422" s="184">
        <v>22000</v>
      </c>
      <c r="F422" s="184"/>
      <c r="G422" s="185"/>
    </row>
    <row r="423" spans="1:7" s="6" customFormat="1" ht="28.5" customHeight="1">
      <c r="A423" s="50"/>
      <c r="B423" s="54"/>
      <c r="C423" s="67" t="s">
        <v>278</v>
      </c>
      <c r="D423" s="55"/>
      <c r="E423" s="55">
        <v>20000</v>
      </c>
      <c r="F423" s="55"/>
      <c r="G423" s="186"/>
    </row>
    <row r="424" spans="1:7" s="6" customFormat="1" ht="30" customHeight="1">
      <c r="A424" s="50"/>
      <c r="B424" s="65">
        <v>85313</v>
      </c>
      <c r="C424" s="66" t="s">
        <v>201</v>
      </c>
      <c r="D424" s="57">
        <f>D425</f>
        <v>1473000</v>
      </c>
      <c r="E424" s="57">
        <f>E425</f>
        <v>1473000</v>
      </c>
      <c r="F424" s="57">
        <f>F425</f>
        <v>374913</v>
      </c>
      <c r="G424" s="119">
        <f t="shared" si="8"/>
        <v>0.2545234215885947</v>
      </c>
    </row>
    <row r="425" spans="1:7" s="6" customFormat="1" ht="29.25" customHeight="1">
      <c r="A425" s="50"/>
      <c r="B425" s="68"/>
      <c r="C425" s="69" t="s">
        <v>247</v>
      </c>
      <c r="D425" s="70">
        <f>1244000+229000</f>
        <v>1473000</v>
      </c>
      <c r="E425" s="70">
        <v>1473000</v>
      </c>
      <c r="F425" s="70">
        <v>374913</v>
      </c>
      <c r="G425" s="111">
        <f t="shared" si="8"/>
        <v>0.2545234215885947</v>
      </c>
    </row>
    <row r="426" spans="1:7" s="6" customFormat="1" ht="30" customHeight="1">
      <c r="A426" s="50"/>
      <c r="B426" s="65">
        <v>85314</v>
      </c>
      <c r="C426" s="66" t="s">
        <v>205</v>
      </c>
      <c r="D426" s="57">
        <f>SUM(D427:D427)</f>
        <v>20316000</v>
      </c>
      <c r="E426" s="57">
        <f>SUM(E427:E427)</f>
        <v>20316000</v>
      </c>
      <c r="F426" s="57">
        <f>SUM(F427:F427)</f>
        <v>9776496</v>
      </c>
      <c r="G426" s="119">
        <f t="shared" si="8"/>
        <v>0.4812215002953337</v>
      </c>
    </row>
    <row r="427" spans="1:7" s="6" customFormat="1" ht="19.5" customHeight="1">
      <c r="A427" s="50"/>
      <c r="B427" s="68"/>
      <c r="C427" s="68" t="s">
        <v>92</v>
      </c>
      <c r="D427" s="53">
        <f>20260000+56000</f>
        <v>20316000</v>
      </c>
      <c r="E427" s="53">
        <v>20316000</v>
      </c>
      <c r="F427" s="53">
        <v>9776496</v>
      </c>
      <c r="G427" s="116">
        <f t="shared" si="8"/>
        <v>0.4812215002953337</v>
      </c>
    </row>
    <row r="428" spans="1:7" s="6" customFormat="1" ht="19.5" customHeight="1">
      <c r="A428" s="50"/>
      <c r="B428" s="56">
        <v>85316</v>
      </c>
      <c r="C428" s="66" t="s">
        <v>145</v>
      </c>
      <c r="D428" s="39">
        <f>D429</f>
        <v>2206000</v>
      </c>
      <c r="E428" s="39">
        <f>E429</f>
        <v>2206000</v>
      </c>
      <c r="F428" s="39">
        <f>F429</f>
        <v>924182</v>
      </c>
      <c r="G428" s="110">
        <f t="shared" si="8"/>
        <v>0.41894016319129646</v>
      </c>
    </row>
    <row r="429" spans="1:7" s="6" customFormat="1" ht="18.75" customHeight="1">
      <c r="A429" s="50"/>
      <c r="B429" s="68"/>
      <c r="C429" s="69" t="s">
        <v>92</v>
      </c>
      <c r="D429" s="70">
        <f>2187000+19000</f>
        <v>2206000</v>
      </c>
      <c r="E429" s="70">
        <v>2206000</v>
      </c>
      <c r="F429" s="70">
        <v>924182</v>
      </c>
      <c r="G429" s="111">
        <f t="shared" si="8"/>
        <v>0.41894016319129646</v>
      </c>
    </row>
    <row r="430" spans="1:7" s="6" customFormat="1" ht="19.5" customHeight="1">
      <c r="A430" s="50"/>
      <c r="B430" s="38">
        <v>85319</v>
      </c>
      <c r="C430" s="73" t="s">
        <v>182</v>
      </c>
      <c r="D430" s="39">
        <f>SUM(D431:D433)</f>
        <v>3389000</v>
      </c>
      <c r="E430" s="39">
        <f>SUM(E431:E433)</f>
        <v>3389000</v>
      </c>
      <c r="F430" s="39">
        <f>SUM(F431:F433)</f>
        <v>1808597</v>
      </c>
      <c r="G430" s="110">
        <f t="shared" si="8"/>
        <v>0.5336668633815285</v>
      </c>
    </row>
    <row r="431" spans="1:7" s="6" customFormat="1" ht="18.75" customHeight="1">
      <c r="A431" s="50"/>
      <c r="B431" s="50"/>
      <c r="C431" s="52" t="s">
        <v>36</v>
      </c>
      <c r="D431" s="53">
        <v>2529000</v>
      </c>
      <c r="E431" s="53">
        <v>2529000</v>
      </c>
      <c r="F431" s="53">
        <v>1356004</v>
      </c>
      <c r="G431" s="116">
        <f t="shared" si="8"/>
        <v>0.5361818900751285</v>
      </c>
    </row>
    <row r="432" spans="1:7" s="6" customFormat="1" ht="18.75" customHeight="1">
      <c r="A432" s="50"/>
      <c r="B432" s="50"/>
      <c r="C432" s="60" t="s">
        <v>37</v>
      </c>
      <c r="D432" s="59">
        <v>366940</v>
      </c>
      <c r="E432" s="59">
        <v>366940</v>
      </c>
      <c r="F432" s="59">
        <v>193523</v>
      </c>
      <c r="G432" s="117">
        <f t="shared" si="8"/>
        <v>0.5273968496211915</v>
      </c>
    </row>
    <row r="433" spans="1:7" s="6" customFormat="1" ht="18.75" customHeight="1">
      <c r="A433" s="50"/>
      <c r="B433" s="54"/>
      <c r="C433" s="64" t="s">
        <v>38</v>
      </c>
      <c r="D433" s="46">
        <v>493060</v>
      </c>
      <c r="E433" s="46">
        <v>493060</v>
      </c>
      <c r="F433" s="46">
        <v>259070</v>
      </c>
      <c r="G433" s="121">
        <f t="shared" si="8"/>
        <v>0.5254330101813167</v>
      </c>
    </row>
    <row r="434" spans="1:7" s="6" customFormat="1" ht="18.75" customHeight="1">
      <c r="A434" s="50"/>
      <c r="B434" s="56">
        <v>85328</v>
      </c>
      <c r="C434" s="66" t="s">
        <v>54</v>
      </c>
      <c r="D434" s="57">
        <f>D435</f>
        <v>670000</v>
      </c>
      <c r="E434" s="57">
        <f>E435</f>
        <v>670000</v>
      </c>
      <c r="F434" s="57">
        <f>F435</f>
        <v>449267</v>
      </c>
      <c r="G434" s="119">
        <f t="shared" si="8"/>
        <v>0.6705477611940298</v>
      </c>
    </row>
    <row r="435" spans="1:7" s="6" customFormat="1" ht="18.75" customHeight="1">
      <c r="A435" s="50"/>
      <c r="B435" s="54"/>
      <c r="C435" s="67" t="s">
        <v>146</v>
      </c>
      <c r="D435" s="55">
        <v>670000</v>
      </c>
      <c r="E435" s="55">
        <v>670000</v>
      </c>
      <c r="F435" s="55">
        <v>449267</v>
      </c>
      <c r="G435" s="118">
        <f t="shared" si="8"/>
        <v>0.6705477611940298</v>
      </c>
    </row>
    <row r="436" spans="1:7" s="6" customFormat="1" ht="18.75" customHeight="1">
      <c r="A436" s="50"/>
      <c r="B436" s="56">
        <v>85395</v>
      </c>
      <c r="C436" s="66" t="s">
        <v>2</v>
      </c>
      <c r="D436" s="55"/>
      <c r="E436" s="57">
        <f>E437</f>
        <v>29880</v>
      </c>
      <c r="F436" s="57">
        <f>F437</f>
        <v>29880</v>
      </c>
      <c r="G436" s="119">
        <f t="shared" si="8"/>
        <v>1</v>
      </c>
    </row>
    <row r="437" spans="1:7" s="6" customFormat="1" ht="18.75" customHeight="1">
      <c r="A437" s="54"/>
      <c r="B437" s="54"/>
      <c r="C437" s="67" t="s">
        <v>269</v>
      </c>
      <c r="D437" s="55"/>
      <c r="E437" s="55">
        <v>29880</v>
      </c>
      <c r="F437" s="55">
        <v>29880</v>
      </c>
      <c r="G437" s="118">
        <f t="shared" si="8"/>
        <v>1</v>
      </c>
    </row>
    <row r="438" spans="1:7" s="6" customFormat="1" ht="19.5" customHeight="1">
      <c r="A438" s="176">
        <v>900</v>
      </c>
      <c r="B438" s="34"/>
      <c r="C438" s="34" t="s">
        <v>76</v>
      </c>
      <c r="D438" s="35">
        <f>D439</f>
        <v>3094000</v>
      </c>
      <c r="E438" s="35">
        <f>E439</f>
        <v>3094000</v>
      </c>
      <c r="F438" s="35">
        <f>F439</f>
        <v>2114227</v>
      </c>
      <c r="G438" s="109">
        <f t="shared" si="8"/>
        <v>0.6833312863606982</v>
      </c>
    </row>
    <row r="439" spans="1:7" s="6" customFormat="1" ht="19.5" customHeight="1">
      <c r="A439" s="50"/>
      <c r="B439" s="38">
        <v>90015</v>
      </c>
      <c r="C439" s="38" t="s">
        <v>67</v>
      </c>
      <c r="D439" s="39">
        <f>SUM(D440:D441)</f>
        <v>3094000</v>
      </c>
      <c r="E439" s="39">
        <f>SUM(E440:E441)</f>
        <v>3094000</v>
      </c>
      <c r="F439" s="39">
        <f>SUM(F440:F441)</f>
        <v>2114227</v>
      </c>
      <c r="G439" s="110">
        <f t="shared" si="8"/>
        <v>0.6833312863606982</v>
      </c>
    </row>
    <row r="440" spans="1:7" s="6" customFormat="1" ht="31.5" customHeight="1">
      <c r="A440" s="50"/>
      <c r="B440" s="50"/>
      <c r="C440" s="177" t="s">
        <v>299</v>
      </c>
      <c r="D440" s="53">
        <v>2955000</v>
      </c>
      <c r="E440" s="53">
        <v>2955000</v>
      </c>
      <c r="F440" s="53">
        <v>2114227</v>
      </c>
      <c r="G440" s="116">
        <f aca="true" t="shared" si="12" ref="G440:G490">F440/E440</f>
        <v>0.7154744500846024</v>
      </c>
    </row>
    <row r="441" spans="1:7" s="6" customFormat="1" ht="28.5" customHeight="1">
      <c r="A441" s="50"/>
      <c r="B441" s="50"/>
      <c r="C441" s="45" t="s">
        <v>252</v>
      </c>
      <c r="D441" s="46">
        <f>59000+80000</f>
        <v>139000</v>
      </c>
      <c r="E441" s="46">
        <v>139000</v>
      </c>
      <c r="F441" s="46"/>
      <c r="G441" s="121"/>
    </row>
    <row r="442" spans="1:7" ht="27" customHeight="1">
      <c r="A442" s="54"/>
      <c r="B442" s="54"/>
      <c r="C442" s="20" t="s">
        <v>80</v>
      </c>
      <c r="D442" s="19">
        <f>D443+D449+D452+D459+D466+D471+D475</f>
        <v>20671534</v>
      </c>
      <c r="E442" s="19">
        <f>E443+E449+E452+E459+E466+E471+E475</f>
        <v>20294774</v>
      </c>
      <c r="F442" s="19">
        <f>F443+F449+F452+F459+F466+F471+F475</f>
        <v>10755248</v>
      </c>
      <c r="G442" s="130">
        <f t="shared" si="12"/>
        <v>0.5299516023189024</v>
      </c>
    </row>
    <row r="443" spans="1:7" s="6" customFormat="1" ht="19.5" customHeight="1">
      <c r="A443" s="95" t="s">
        <v>81</v>
      </c>
      <c r="B443" s="34"/>
      <c r="C443" s="34" t="s">
        <v>82</v>
      </c>
      <c r="D443" s="35">
        <f>D444</f>
        <v>913750</v>
      </c>
      <c r="E443" s="35">
        <f>E444</f>
        <v>348750</v>
      </c>
      <c r="F443" s="35">
        <f>F444</f>
        <v>348750</v>
      </c>
      <c r="G443" s="109">
        <f t="shared" si="12"/>
        <v>1</v>
      </c>
    </row>
    <row r="444" spans="1:7" s="6" customFormat="1" ht="19.5" customHeight="1">
      <c r="A444" s="50"/>
      <c r="B444" s="96" t="s">
        <v>83</v>
      </c>
      <c r="C444" s="38" t="s">
        <v>84</v>
      </c>
      <c r="D444" s="39">
        <f>SUM(D445:D448)</f>
        <v>913750</v>
      </c>
      <c r="E444" s="39">
        <f>SUM(E445:E448)</f>
        <v>348750</v>
      </c>
      <c r="F444" s="39">
        <f>SUM(F445:F448)</f>
        <v>348750</v>
      </c>
      <c r="G444" s="110">
        <f t="shared" si="12"/>
        <v>1</v>
      </c>
    </row>
    <row r="445" spans="1:7" s="6" customFormat="1" ht="19.5" customHeight="1">
      <c r="A445" s="50"/>
      <c r="B445" s="50"/>
      <c r="C445" s="82" t="s">
        <v>36</v>
      </c>
      <c r="D445" s="53">
        <v>650120</v>
      </c>
      <c r="E445" s="53">
        <v>229840</v>
      </c>
      <c r="F445" s="53">
        <v>229840</v>
      </c>
      <c r="G445" s="116">
        <f t="shared" si="12"/>
        <v>1</v>
      </c>
    </row>
    <row r="446" spans="1:7" s="6" customFormat="1" ht="19.5" customHeight="1">
      <c r="A446" s="50"/>
      <c r="B446" s="50"/>
      <c r="C446" s="85" t="s">
        <v>37</v>
      </c>
      <c r="D446" s="59">
        <v>128480</v>
      </c>
      <c r="E446" s="59">
        <v>57133</v>
      </c>
      <c r="F446" s="59">
        <v>57133</v>
      </c>
      <c r="G446" s="117">
        <f t="shared" si="12"/>
        <v>1</v>
      </c>
    </row>
    <row r="447" spans="1:7" s="6" customFormat="1" ht="19.5" customHeight="1">
      <c r="A447" s="50"/>
      <c r="B447" s="50"/>
      <c r="C447" s="85" t="s">
        <v>38</v>
      </c>
      <c r="D447" s="59">
        <v>131400</v>
      </c>
      <c r="E447" s="59">
        <v>58027</v>
      </c>
      <c r="F447" s="59">
        <v>58027</v>
      </c>
      <c r="G447" s="117">
        <f t="shared" si="12"/>
        <v>1</v>
      </c>
    </row>
    <row r="448" spans="1:7" s="6" customFormat="1" ht="40.5" customHeight="1">
      <c r="A448" s="50"/>
      <c r="B448" s="54"/>
      <c r="C448" s="106" t="s">
        <v>261</v>
      </c>
      <c r="D448" s="46">
        <v>3750</v>
      </c>
      <c r="E448" s="46">
        <v>3750</v>
      </c>
      <c r="F448" s="46">
        <v>3750</v>
      </c>
      <c r="G448" s="121">
        <f t="shared" si="12"/>
        <v>1</v>
      </c>
    </row>
    <row r="449" spans="1:7" s="6" customFormat="1" ht="19.5" customHeight="1">
      <c r="A449" s="176" t="s">
        <v>89</v>
      </c>
      <c r="B449" s="34"/>
      <c r="C449" s="34" t="s">
        <v>16</v>
      </c>
      <c r="D449" s="35">
        <f aca="true" t="shared" si="13" ref="D449:F450">D450</f>
        <v>320000</v>
      </c>
      <c r="E449" s="35">
        <f t="shared" si="13"/>
        <v>320000</v>
      </c>
      <c r="F449" s="35">
        <f t="shared" si="13"/>
        <v>160146</v>
      </c>
      <c r="G449" s="109">
        <f t="shared" si="12"/>
        <v>0.50045625</v>
      </c>
    </row>
    <row r="450" spans="1:7" s="6" customFormat="1" ht="19.5" customHeight="1">
      <c r="A450" s="51"/>
      <c r="B450" s="38">
        <v>70005</v>
      </c>
      <c r="C450" s="97" t="s">
        <v>18</v>
      </c>
      <c r="D450" s="39">
        <f t="shared" si="13"/>
        <v>320000</v>
      </c>
      <c r="E450" s="39">
        <f t="shared" si="13"/>
        <v>320000</v>
      </c>
      <c r="F450" s="39">
        <f t="shared" si="13"/>
        <v>160146</v>
      </c>
      <c r="G450" s="110">
        <f t="shared" si="12"/>
        <v>0.50045625</v>
      </c>
    </row>
    <row r="451" spans="1:7" s="6" customFormat="1" ht="19.5" customHeight="1">
      <c r="A451" s="54"/>
      <c r="B451" s="54"/>
      <c r="C451" s="77" t="s">
        <v>90</v>
      </c>
      <c r="D451" s="55">
        <v>320000</v>
      </c>
      <c r="E451" s="55">
        <v>320000</v>
      </c>
      <c r="F451" s="55">
        <v>160146</v>
      </c>
      <c r="G451" s="118">
        <f t="shared" si="12"/>
        <v>0.50045625</v>
      </c>
    </row>
    <row r="452" spans="1:7" s="6" customFormat="1" ht="19.5" customHeight="1">
      <c r="A452" s="34">
        <v>710</v>
      </c>
      <c r="B452" s="34"/>
      <c r="C452" s="34" t="s">
        <v>19</v>
      </c>
      <c r="D452" s="35">
        <f>D453+D455</f>
        <v>411512</v>
      </c>
      <c r="E452" s="35">
        <f>E453+E455</f>
        <v>411512</v>
      </c>
      <c r="F452" s="35">
        <f>F453+F455</f>
        <v>212520</v>
      </c>
      <c r="G452" s="109">
        <f t="shared" si="12"/>
        <v>0.5164369447306518</v>
      </c>
    </row>
    <row r="453" spans="1:7" s="6" customFormat="1" ht="19.5" customHeight="1">
      <c r="A453" s="50"/>
      <c r="B453" s="38">
        <v>71013</v>
      </c>
      <c r="C453" s="38" t="s">
        <v>85</v>
      </c>
      <c r="D453" s="39">
        <f>D454</f>
        <v>80000</v>
      </c>
      <c r="E453" s="39">
        <f>E454</f>
        <v>80000</v>
      </c>
      <c r="F453" s="39"/>
      <c r="G453" s="110"/>
    </row>
    <row r="454" spans="1:7" s="6" customFormat="1" ht="31.5" customHeight="1">
      <c r="A454" s="50"/>
      <c r="B454" s="54"/>
      <c r="C454" s="69" t="s">
        <v>250</v>
      </c>
      <c r="D454" s="70">
        <v>80000</v>
      </c>
      <c r="E454" s="70">
        <v>80000</v>
      </c>
      <c r="F454" s="70"/>
      <c r="G454" s="111"/>
    </row>
    <row r="455" spans="1:7" s="6" customFormat="1" ht="19.5" customHeight="1">
      <c r="A455" s="50"/>
      <c r="B455" s="56">
        <v>71015</v>
      </c>
      <c r="C455" s="73" t="s">
        <v>93</v>
      </c>
      <c r="D455" s="39">
        <f>SUM(D456:D458)</f>
        <v>331512</v>
      </c>
      <c r="E455" s="39">
        <f>SUM(E456:E458)</f>
        <v>331512</v>
      </c>
      <c r="F455" s="39">
        <f>SUM(F456:F458)</f>
        <v>212520</v>
      </c>
      <c r="G455" s="110">
        <f t="shared" si="12"/>
        <v>0.6410627669586622</v>
      </c>
    </row>
    <row r="456" spans="1:7" s="6" customFormat="1" ht="19.5" customHeight="1">
      <c r="A456" s="50"/>
      <c r="B456" s="50"/>
      <c r="C456" s="82" t="s">
        <v>36</v>
      </c>
      <c r="D456" s="53">
        <v>233520</v>
      </c>
      <c r="E456" s="53">
        <v>217321</v>
      </c>
      <c r="F456" s="53">
        <v>138777</v>
      </c>
      <c r="G456" s="116">
        <f t="shared" si="12"/>
        <v>0.6385807170038791</v>
      </c>
    </row>
    <row r="457" spans="1:7" s="6" customFormat="1" ht="19.5" customHeight="1">
      <c r="A457" s="50"/>
      <c r="B457" s="50"/>
      <c r="C457" s="85" t="s">
        <v>37</v>
      </c>
      <c r="D457" s="59">
        <v>50772</v>
      </c>
      <c r="E457" s="59">
        <v>72471</v>
      </c>
      <c r="F457" s="59">
        <v>53837</v>
      </c>
      <c r="G457" s="117">
        <f t="shared" si="12"/>
        <v>0.7428764609291992</v>
      </c>
    </row>
    <row r="458" spans="1:7" s="6" customFormat="1" ht="19.5" customHeight="1">
      <c r="A458" s="54"/>
      <c r="B458" s="54"/>
      <c r="C458" s="77" t="s">
        <v>38</v>
      </c>
      <c r="D458" s="55">
        <v>47220</v>
      </c>
      <c r="E458" s="55">
        <v>41720</v>
      </c>
      <c r="F458" s="55">
        <v>19906</v>
      </c>
      <c r="G458" s="118">
        <f t="shared" si="12"/>
        <v>0.4771332694151486</v>
      </c>
    </row>
    <row r="459" spans="1:7" s="6" customFormat="1" ht="19.5" customHeight="1">
      <c r="A459" s="34">
        <v>750</v>
      </c>
      <c r="B459" s="34"/>
      <c r="C459" s="34" t="s">
        <v>22</v>
      </c>
      <c r="D459" s="35">
        <f>D460+D464</f>
        <v>899272</v>
      </c>
      <c r="E459" s="35">
        <f>E460+E464</f>
        <v>899272</v>
      </c>
      <c r="F459" s="35">
        <f>F460+F464</f>
        <v>792438</v>
      </c>
      <c r="G459" s="109">
        <f t="shared" si="12"/>
        <v>0.8811994591180421</v>
      </c>
    </row>
    <row r="460" spans="1:7" s="17" customFormat="1" ht="19.5" customHeight="1">
      <c r="A460" s="81"/>
      <c r="B460" s="75">
        <v>75011</v>
      </c>
      <c r="C460" s="75" t="s">
        <v>77</v>
      </c>
      <c r="D460" s="76">
        <f>SUM(D461:D463)</f>
        <v>785272</v>
      </c>
      <c r="E460" s="76">
        <f>SUM(E461:E463)</f>
        <v>785272</v>
      </c>
      <c r="F460" s="76">
        <f>SUM(F461:F463)</f>
        <v>678438</v>
      </c>
      <c r="G460" s="122">
        <f t="shared" si="12"/>
        <v>0.8639528723805254</v>
      </c>
    </row>
    <row r="461" spans="1:7" s="17" customFormat="1" ht="19.5" customHeight="1">
      <c r="A461" s="77"/>
      <c r="B461" s="192"/>
      <c r="C461" s="192" t="s">
        <v>36</v>
      </c>
      <c r="D461" s="193">
        <v>630000</v>
      </c>
      <c r="E461" s="193">
        <v>630000</v>
      </c>
      <c r="F461" s="193">
        <v>554777</v>
      </c>
      <c r="G461" s="194">
        <f t="shared" si="12"/>
        <v>0.8805984126984127</v>
      </c>
    </row>
    <row r="462" spans="1:7" s="17" customFormat="1" ht="19.5" customHeight="1">
      <c r="A462" s="84"/>
      <c r="B462" s="84"/>
      <c r="C462" s="87" t="s">
        <v>37</v>
      </c>
      <c r="D462" s="88">
        <v>26772</v>
      </c>
      <c r="E462" s="88">
        <v>26772</v>
      </c>
      <c r="F462" s="88">
        <v>21060</v>
      </c>
      <c r="G462" s="127">
        <f t="shared" si="12"/>
        <v>0.7866427610936799</v>
      </c>
    </row>
    <row r="463" spans="1:7" s="17" customFormat="1" ht="19.5" customHeight="1">
      <c r="A463" s="84"/>
      <c r="B463" s="77"/>
      <c r="C463" s="77" t="s">
        <v>38</v>
      </c>
      <c r="D463" s="78">
        <v>128500</v>
      </c>
      <c r="E463" s="78">
        <v>128500</v>
      </c>
      <c r="F463" s="78">
        <v>102601</v>
      </c>
      <c r="G463" s="123">
        <f t="shared" si="12"/>
        <v>0.7984513618677043</v>
      </c>
    </row>
    <row r="464" spans="1:7" s="6" customFormat="1" ht="19.5" customHeight="1">
      <c r="A464" s="50"/>
      <c r="B464" s="56">
        <v>75045</v>
      </c>
      <c r="C464" s="75" t="s">
        <v>94</v>
      </c>
      <c r="D464" s="57">
        <f>D465</f>
        <v>114000</v>
      </c>
      <c r="E464" s="57">
        <f>E465</f>
        <v>114000</v>
      </c>
      <c r="F464" s="57">
        <f>F465</f>
        <v>114000</v>
      </c>
      <c r="G464" s="119">
        <f t="shared" si="12"/>
        <v>1</v>
      </c>
    </row>
    <row r="465" spans="1:7" s="6" customFormat="1" ht="29.25" customHeight="1">
      <c r="A465" s="54"/>
      <c r="B465" s="54"/>
      <c r="C465" s="92" t="s">
        <v>217</v>
      </c>
      <c r="D465" s="55">
        <v>114000</v>
      </c>
      <c r="E465" s="55">
        <v>114000</v>
      </c>
      <c r="F465" s="55">
        <v>114000</v>
      </c>
      <c r="G465" s="118">
        <f t="shared" si="12"/>
        <v>1</v>
      </c>
    </row>
    <row r="466" spans="1:7" s="6" customFormat="1" ht="19.5" customHeight="1">
      <c r="A466" s="94">
        <v>754</v>
      </c>
      <c r="B466" s="34"/>
      <c r="C466" s="91" t="s">
        <v>24</v>
      </c>
      <c r="D466" s="35">
        <f>D467</f>
        <v>11299000</v>
      </c>
      <c r="E466" s="35">
        <f>E467</f>
        <v>11299000</v>
      </c>
      <c r="F466" s="35">
        <f>F467</f>
        <v>6023701</v>
      </c>
      <c r="G466" s="109">
        <f t="shared" si="12"/>
        <v>0.5331180635454466</v>
      </c>
    </row>
    <row r="467" spans="1:7" s="6" customFormat="1" ht="19.5" customHeight="1">
      <c r="A467" s="50"/>
      <c r="B467" s="56">
        <v>75411</v>
      </c>
      <c r="C467" s="75" t="s">
        <v>25</v>
      </c>
      <c r="D467" s="57">
        <f>SUM(D468:D470)</f>
        <v>11299000</v>
      </c>
      <c r="E467" s="57">
        <f>SUM(E468:E470)</f>
        <v>11299000</v>
      </c>
      <c r="F467" s="57">
        <f>SUM(F468:F470)</f>
        <v>6023701</v>
      </c>
      <c r="G467" s="119">
        <f t="shared" si="12"/>
        <v>0.5331180635454466</v>
      </c>
    </row>
    <row r="468" spans="1:7" s="6" customFormat="1" ht="19.5" customHeight="1">
      <c r="A468" s="50"/>
      <c r="B468" s="50"/>
      <c r="C468" s="82" t="s">
        <v>36</v>
      </c>
      <c r="D468" s="53">
        <v>8683400</v>
      </c>
      <c r="E468" s="53">
        <v>8683400</v>
      </c>
      <c r="F468" s="53">
        <v>4422620</v>
      </c>
      <c r="G468" s="116">
        <f t="shared" si="12"/>
        <v>0.5093189303728954</v>
      </c>
    </row>
    <row r="469" spans="1:7" s="6" customFormat="1" ht="19.5" customHeight="1">
      <c r="A469" s="50"/>
      <c r="B469" s="50"/>
      <c r="C469" s="87" t="s">
        <v>37</v>
      </c>
      <c r="D469" s="43">
        <f>2409300+43000</f>
        <v>2452300</v>
      </c>
      <c r="E469" s="43">
        <v>2452300</v>
      </c>
      <c r="F469" s="43">
        <v>1517668</v>
      </c>
      <c r="G469" s="114">
        <f t="shared" si="12"/>
        <v>0.6188753415161277</v>
      </c>
    </row>
    <row r="470" spans="1:7" s="6" customFormat="1" ht="19.5" customHeight="1">
      <c r="A470" s="50"/>
      <c r="B470" s="50"/>
      <c r="C470" s="85" t="s">
        <v>38</v>
      </c>
      <c r="D470" s="59">
        <v>163300</v>
      </c>
      <c r="E470" s="59">
        <v>163300</v>
      </c>
      <c r="F470" s="59">
        <v>83413</v>
      </c>
      <c r="G470" s="117">
        <f t="shared" si="12"/>
        <v>0.510796080832823</v>
      </c>
    </row>
    <row r="471" spans="1:7" s="6" customFormat="1" ht="19.5" customHeight="1">
      <c r="A471" s="33">
        <v>851</v>
      </c>
      <c r="B471" s="33"/>
      <c r="C471" s="33" t="s">
        <v>44</v>
      </c>
      <c r="D471" s="49">
        <f>D472</f>
        <v>2845000</v>
      </c>
      <c r="E471" s="49">
        <f>E472</f>
        <v>2845000</v>
      </c>
      <c r="F471" s="49">
        <f>F472</f>
        <v>1064170</v>
      </c>
      <c r="G471" s="115">
        <f t="shared" si="12"/>
        <v>0.37404920913884004</v>
      </c>
    </row>
    <row r="472" spans="1:8" s="6" customFormat="1" ht="29.25" customHeight="1">
      <c r="A472" s="50"/>
      <c r="B472" s="65">
        <v>85156</v>
      </c>
      <c r="C472" s="98" t="s">
        <v>203</v>
      </c>
      <c r="D472" s="57">
        <f>SUM(D473:D474)</f>
        <v>2845000</v>
      </c>
      <c r="E472" s="57">
        <f>SUM(E473:E474)</f>
        <v>2845000</v>
      </c>
      <c r="F472" s="57">
        <f>SUM(F473:F474)</f>
        <v>1064170</v>
      </c>
      <c r="G472" s="119">
        <f t="shared" si="12"/>
        <v>0.37404920913884004</v>
      </c>
      <c r="H472" s="27"/>
    </row>
    <row r="473" spans="1:7" s="6" customFormat="1" ht="43.5" customHeight="1">
      <c r="A473" s="50"/>
      <c r="B473" s="50"/>
      <c r="C473" s="99" t="s">
        <v>251</v>
      </c>
      <c r="D473" s="53">
        <v>113000</v>
      </c>
      <c r="E473" s="53">
        <v>113000</v>
      </c>
      <c r="F473" s="53">
        <v>49933</v>
      </c>
      <c r="G473" s="116">
        <f t="shared" si="12"/>
        <v>0.44188495575221237</v>
      </c>
    </row>
    <row r="474" spans="1:7" s="6" customFormat="1" ht="30.75" customHeight="1">
      <c r="A474" s="54"/>
      <c r="B474" s="54"/>
      <c r="C474" s="92" t="s">
        <v>204</v>
      </c>
      <c r="D474" s="55">
        <v>2732000</v>
      </c>
      <c r="E474" s="55">
        <v>2732000</v>
      </c>
      <c r="F474" s="55">
        <v>1014237</v>
      </c>
      <c r="G474" s="118">
        <f t="shared" si="12"/>
        <v>0.371243411420205</v>
      </c>
    </row>
    <row r="475" spans="1:7" s="6" customFormat="1" ht="19.5" customHeight="1">
      <c r="A475" s="34">
        <v>853</v>
      </c>
      <c r="B475" s="34"/>
      <c r="C475" s="34" t="s">
        <v>47</v>
      </c>
      <c r="D475" s="35">
        <f>+D476+D479+D481+D487+D491+D485</f>
        <v>3983000</v>
      </c>
      <c r="E475" s="35">
        <f>+E476+E479+E481+E487+E491+E485</f>
        <v>4171240</v>
      </c>
      <c r="F475" s="35">
        <f>+F476+F479+F481+F487+F491+F485</f>
        <v>2153523</v>
      </c>
      <c r="G475" s="109">
        <f>F475/E475</f>
        <v>0.5162788523316807</v>
      </c>
    </row>
    <row r="476" spans="1:7" s="6" customFormat="1" ht="19.5" customHeight="1">
      <c r="A476" s="50"/>
      <c r="B476" s="38">
        <v>85303</v>
      </c>
      <c r="C476" s="38" t="s">
        <v>50</v>
      </c>
      <c r="D476" s="39">
        <f>SUM(D477:D478)</f>
        <v>1584000</v>
      </c>
      <c r="E476" s="39">
        <f>SUM(E477:E478)</f>
        <v>1648722</v>
      </c>
      <c r="F476" s="39">
        <f>SUM(F477:F478)</f>
        <v>792000</v>
      </c>
      <c r="G476" s="110">
        <f t="shared" si="12"/>
        <v>0.48037207000331167</v>
      </c>
    </row>
    <row r="477" spans="1:7" s="6" customFormat="1" ht="31.5" customHeight="1">
      <c r="A477" s="50"/>
      <c r="B477" s="50"/>
      <c r="C477" s="71" t="s">
        <v>195</v>
      </c>
      <c r="D477" s="53">
        <v>720000</v>
      </c>
      <c r="E477" s="53">
        <v>750000</v>
      </c>
      <c r="F477" s="53">
        <v>360000</v>
      </c>
      <c r="G477" s="116">
        <f t="shared" si="12"/>
        <v>0.48</v>
      </c>
    </row>
    <row r="478" spans="1:7" s="6" customFormat="1" ht="28.5" customHeight="1">
      <c r="A478" s="50"/>
      <c r="B478" s="50"/>
      <c r="C478" s="178" t="s">
        <v>147</v>
      </c>
      <c r="D478" s="162">
        <v>864000</v>
      </c>
      <c r="E478" s="162">
        <v>898722</v>
      </c>
      <c r="F478" s="162">
        <v>432000</v>
      </c>
      <c r="G478" s="163">
        <f t="shared" si="12"/>
        <v>0.48068256924833264</v>
      </c>
    </row>
    <row r="479" spans="1:7" s="6" customFormat="1" ht="19.5" customHeight="1">
      <c r="A479" s="50"/>
      <c r="B479" s="38">
        <v>85316</v>
      </c>
      <c r="C479" s="38" t="s">
        <v>145</v>
      </c>
      <c r="D479" s="39">
        <f>SUM(D480:D480)</f>
        <v>40000</v>
      </c>
      <c r="E479" s="39">
        <f>SUM(E480:E480)</f>
        <v>40000</v>
      </c>
      <c r="F479" s="39">
        <f>SUM(F480:F480)</f>
        <v>11410</v>
      </c>
      <c r="G479" s="110">
        <f t="shared" si="12"/>
        <v>0.28525</v>
      </c>
    </row>
    <row r="480" spans="1:7" s="6" customFormat="1" ht="19.5" customHeight="1">
      <c r="A480" s="50"/>
      <c r="B480" s="54"/>
      <c r="C480" s="64" t="s">
        <v>148</v>
      </c>
      <c r="D480" s="46">
        <v>40000</v>
      </c>
      <c r="E480" s="46">
        <v>40000</v>
      </c>
      <c r="F480" s="46">
        <v>11410</v>
      </c>
      <c r="G480" s="121">
        <f t="shared" si="12"/>
        <v>0.28525</v>
      </c>
    </row>
    <row r="481" spans="1:7" s="6" customFormat="1" ht="19.5" customHeight="1">
      <c r="A481" s="50"/>
      <c r="B481" s="56">
        <v>85321</v>
      </c>
      <c r="C481" s="56" t="s">
        <v>280</v>
      </c>
      <c r="D481" s="57">
        <f>SUM(D482:D483)</f>
        <v>350000</v>
      </c>
      <c r="E481" s="57">
        <f>SUM(E482:E483)</f>
        <v>369200</v>
      </c>
      <c r="F481" s="57">
        <f>SUM(F482:F483)</f>
        <v>184399</v>
      </c>
      <c r="G481" s="119">
        <f t="shared" si="12"/>
        <v>0.49945557963163595</v>
      </c>
    </row>
    <row r="482" spans="1:7" s="6" customFormat="1" ht="28.5" customHeight="1">
      <c r="A482" s="50"/>
      <c r="B482" s="51"/>
      <c r="C482" s="71" t="s">
        <v>248</v>
      </c>
      <c r="D482" s="53">
        <v>340000</v>
      </c>
      <c r="E482" s="53">
        <v>359200</v>
      </c>
      <c r="F482" s="53">
        <v>180130</v>
      </c>
      <c r="G482" s="116">
        <f t="shared" si="12"/>
        <v>0.5014755011135857</v>
      </c>
    </row>
    <row r="483" spans="1:7" s="6" customFormat="1" ht="28.5" customHeight="1">
      <c r="A483" s="50"/>
      <c r="B483" s="50"/>
      <c r="C483" s="178" t="s">
        <v>259</v>
      </c>
      <c r="D483" s="162">
        <v>10000</v>
      </c>
      <c r="E483" s="162">
        <v>10000</v>
      </c>
      <c r="F483" s="162">
        <v>4269</v>
      </c>
      <c r="G483" s="163">
        <f t="shared" si="12"/>
        <v>0.4269</v>
      </c>
    </row>
    <row r="484" spans="1:7" s="6" customFormat="1" ht="19.5" customHeight="1">
      <c r="A484" s="187"/>
      <c r="B484" s="187"/>
      <c r="C484" s="191"/>
      <c r="D484" s="188"/>
      <c r="E484" s="188"/>
      <c r="F484" s="188"/>
      <c r="G484" s="189"/>
    </row>
    <row r="485" spans="1:7" s="6" customFormat="1" ht="19.5" customHeight="1">
      <c r="A485" s="50"/>
      <c r="B485" s="56">
        <v>85331</v>
      </c>
      <c r="C485" s="56" t="s">
        <v>183</v>
      </c>
      <c r="D485" s="57">
        <f>D486</f>
        <v>257000</v>
      </c>
      <c r="E485" s="57">
        <f>E486</f>
        <v>257000</v>
      </c>
      <c r="F485" s="57">
        <f>F486</f>
        <v>40168</v>
      </c>
      <c r="G485" s="119">
        <f t="shared" si="12"/>
        <v>0.15629571984435797</v>
      </c>
    </row>
    <row r="486" spans="1:7" s="6" customFormat="1" ht="28.5" customHeight="1">
      <c r="A486" s="50"/>
      <c r="B486" s="68"/>
      <c r="C486" s="69" t="s">
        <v>196</v>
      </c>
      <c r="D486" s="70">
        <v>257000</v>
      </c>
      <c r="E486" s="70">
        <v>257000</v>
      </c>
      <c r="F486" s="70">
        <v>40168</v>
      </c>
      <c r="G486" s="111">
        <f t="shared" si="12"/>
        <v>0.15629571984435797</v>
      </c>
    </row>
    <row r="487" spans="1:7" s="6" customFormat="1" ht="19.5" customHeight="1">
      <c r="A487" s="50"/>
      <c r="B487" s="38">
        <v>85333</v>
      </c>
      <c r="C487" s="73" t="s">
        <v>55</v>
      </c>
      <c r="D487" s="39">
        <f>SUM(D488:D490)</f>
        <v>1752000</v>
      </c>
      <c r="E487" s="39">
        <f>SUM(E488:E490)</f>
        <v>1829572</v>
      </c>
      <c r="F487" s="39">
        <f>SUM(F488:F490)</f>
        <v>1098801</v>
      </c>
      <c r="G487" s="110">
        <f t="shared" si="12"/>
        <v>0.6005781680086928</v>
      </c>
    </row>
    <row r="488" spans="1:7" s="6" customFormat="1" ht="18.75" customHeight="1">
      <c r="A488" s="50"/>
      <c r="B488" s="50"/>
      <c r="C488" s="82" t="s">
        <v>36</v>
      </c>
      <c r="D488" s="53">
        <v>1186140</v>
      </c>
      <c r="E488" s="53">
        <v>1250012</v>
      </c>
      <c r="F488" s="53">
        <v>719105</v>
      </c>
      <c r="G488" s="116">
        <f t="shared" si="12"/>
        <v>0.5752784773266176</v>
      </c>
    </row>
    <row r="489" spans="1:7" s="6" customFormat="1" ht="18.75" customHeight="1">
      <c r="A489" s="50"/>
      <c r="B489" s="50"/>
      <c r="C489" s="87" t="s">
        <v>37</v>
      </c>
      <c r="D489" s="43">
        <v>324860</v>
      </c>
      <c r="E489" s="43">
        <v>324860</v>
      </c>
      <c r="F489" s="43">
        <v>245423</v>
      </c>
      <c r="G489" s="114">
        <f t="shared" si="12"/>
        <v>0.7554731268854276</v>
      </c>
    </row>
    <row r="490" spans="1:7" s="6" customFormat="1" ht="18.75" customHeight="1">
      <c r="A490" s="50"/>
      <c r="B490" s="54"/>
      <c r="C490" s="77" t="s">
        <v>38</v>
      </c>
      <c r="D490" s="55">
        <v>241000</v>
      </c>
      <c r="E490" s="55">
        <v>254700</v>
      </c>
      <c r="F490" s="55">
        <v>134273</v>
      </c>
      <c r="G490" s="118">
        <f t="shared" si="12"/>
        <v>0.5271809972516687</v>
      </c>
    </row>
    <row r="491" spans="1:7" s="6" customFormat="1" ht="19.5" customHeight="1">
      <c r="A491" s="50"/>
      <c r="B491" s="56">
        <v>85334</v>
      </c>
      <c r="C491" s="56" t="s">
        <v>231</v>
      </c>
      <c r="D491" s="57"/>
      <c r="E491" s="57">
        <f>E492</f>
        <v>26746</v>
      </c>
      <c r="F491" s="57">
        <f>F492</f>
        <v>26745</v>
      </c>
      <c r="G491" s="119">
        <v>0.9999</v>
      </c>
    </row>
    <row r="492" spans="1:7" s="6" customFormat="1" ht="19.5" customHeight="1">
      <c r="A492" s="54"/>
      <c r="B492" s="54"/>
      <c r="C492" s="54" t="s">
        <v>197</v>
      </c>
      <c r="D492" s="55"/>
      <c r="E492" s="55">
        <v>26746</v>
      </c>
      <c r="F492" s="55">
        <v>26745</v>
      </c>
      <c r="G492" s="118">
        <v>0.9999</v>
      </c>
    </row>
    <row r="493" spans="1:7" ht="19.5" customHeight="1">
      <c r="A493" s="61"/>
      <c r="B493" s="61"/>
      <c r="C493" s="61"/>
      <c r="D493" s="61"/>
      <c r="E493" s="61"/>
      <c r="F493" s="61"/>
      <c r="G493" s="131"/>
    </row>
    <row r="494" spans="1:7" ht="19.5" customHeight="1">
      <c r="A494" s="61"/>
      <c r="B494" s="61"/>
      <c r="C494" s="61"/>
      <c r="D494" s="61"/>
      <c r="E494" s="61"/>
      <c r="F494" s="61"/>
      <c r="G494" s="131"/>
    </row>
    <row r="495" spans="1:7" ht="19.5" customHeight="1">
      <c r="A495" s="61"/>
      <c r="B495" s="61"/>
      <c r="C495" s="61"/>
      <c r="D495" s="61"/>
      <c r="E495" s="61"/>
      <c r="F495" s="61"/>
      <c r="G495" s="131"/>
    </row>
    <row r="496" spans="1:7" ht="20.25" customHeight="1">
      <c r="A496" s="61"/>
      <c r="B496" s="61"/>
      <c r="C496" s="61"/>
      <c r="D496" s="61"/>
      <c r="E496" s="208" t="s">
        <v>300</v>
      </c>
      <c r="F496" s="209"/>
      <c r="G496" s="209"/>
    </row>
    <row r="497" spans="1:7" ht="19.5" customHeight="1">
      <c r="A497" s="61"/>
      <c r="B497" s="61"/>
      <c r="C497" s="61"/>
      <c r="D497" s="61"/>
      <c r="E497" s="61"/>
      <c r="F497" s="207" t="s">
        <v>301</v>
      </c>
      <c r="G497" s="131"/>
    </row>
    <row r="498" spans="1:7" ht="19.5" customHeight="1">
      <c r="A498" s="61"/>
      <c r="B498" s="61"/>
      <c r="C498" s="61"/>
      <c r="D498" s="61"/>
      <c r="E498" s="61"/>
      <c r="F498" s="61"/>
      <c r="G498" s="131"/>
    </row>
    <row r="499" spans="1:7" ht="19.5" customHeight="1">
      <c r="A499" s="61"/>
      <c r="B499" s="61"/>
      <c r="C499" s="61"/>
      <c r="D499" s="61"/>
      <c r="E499" s="61"/>
      <c r="F499" s="61"/>
      <c r="G499" s="131"/>
    </row>
    <row r="500" spans="1:7" ht="19.5" customHeight="1">
      <c r="A500" s="61"/>
      <c r="B500" s="61"/>
      <c r="C500" s="61"/>
      <c r="D500" s="61"/>
      <c r="E500" s="61"/>
      <c r="F500" s="61"/>
      <c r="G500" s="131"/>
    </row>
    <row r="501" spans="1:7" ht="19.5" customHeight="1">
      <c r="A501" s="61"/>
      <c r="B501" s="61"/>
      <c r="C501" s="61"/>
      <c r="D501" s="61"/>
      <c r="E501" s="61"/>
      <c r="F501" s="61"/>
      <c r="G501" s="131"/>
    </row>
    <row r="502" spans="1:7" ht="19.5" customHeight="1">
      <c r="A502" s="61"/>
      <c r="B502" s="61"/>
      <c r="C502" s="61"/>
      <c r="D502" s="61"/>
      <c r="E502" s="61"/>
      <c r="F502" s="61"/>
      <c r="G502" s="131"/>
    </row>
    <row r="503" spans="1:7" ht="19.5" customHeight="1">
      <c r="A503" s="61"/>
      <c r="B503" s="61"/>
      <c r="C503" s="61"/>
      <c r="D503" s="61"/>
      <c r="E503" s="61"/>
      <c r="F503" s="61"/>
      <c r="G503" s="131"/>
    </row>
    <row r="504" spans="1:7" ht="19.5" customHeight="1">
      <c r="A504" s="61"/>
      <c r="B504" s="61"/>
      <c r="C504" s="61"/>
      <c r="D504" s="61"/>
      <c r="E504" s="61"/>
      <c r="F504" s="61"/>
      <c r="G504" s="131"/>
    </row>
    <row r="505" spans="1:7" ht="19.5" customHeight="1">
      <c r="A505" s="61"/>
      <c r="B505" s="61"/>
      <c r="C505" s="61"/>
      <c r="D505" s="61"/>
      <c r="E505" s="61"/>
      <c r="F505" s="61"/>
      <c r="G505" s="131"/>
    </row>
    <row r="506" spans="1:7" ht="19.5" customHeight="1">
      <c r="A506" s="61"/>
      <c r="B506" s="61"/>
      <c r="C506" s="61"/>
      <c r="D506" s="61"/>
      <c r="E506" s="61"/>
      <c r="F506" s="61"/>
      <c r="G506" s="131"/>
    </row>
    <row r="507" spans="1:7" ht="19.5" customHeight="1">
      <c r="A507" s="61"/>
      <c r="B507" s="61"/>
      <c r="C507" s="61"/>
      <c r="D507" s="61"/>
      <c r="E507" s="61"/>
      <c r="F507" s="61"/>
      <c r="G507" s="131"/>
    </row>
    <row r="508" spans="1:7" ht="19.5" customHeight="1">
      <c r="A508" s="61"/>
      <c r="B508" s="61"/>
      <c r="C508" s="61"/>
      <c r="D508" s="61"/>
      <c r="E508" s="61"/>
      <c r="F508" s="61"/>
      <c r="G508" s="131"/>
    </row>
    <row r="509" spans="1:7" ht="19.5" customHeight="1">
      <c r="A509" s="61"/>
      <c r="B509" s="61"/>
      <c r="C509" s="61"/>
      <c r="D509" s="61"/>
      <c r="E509" s="61"/>
      <c r="F509" s="61"/>
      <c r="G509" s="131"/>
    </row>
    <row r="510" spans="1:7" ht="19.5" customHeight="1">
      <c r="A510" s="61"/>
      <c r="B510" s="61"/>
      <c r="C510" s="61"/>
      <c r="D510" s="61"/>
      <c r="E510" s="61"/>
      <c r="F510" s="61"/>
      <c r="G510" s="131"/>
    </row>
    <row r="511" spans="1:7" ht="19.5" customHeight="1">
      <c r="A511" s="61"/>
      <c r="B511" s="61"/>
      <c r="C511" s="61"/>
      <c r="D511" s="61"/>
      <c r="E511" s="61"/>
      <c r="F511" s="61"/>
      <c r="G511" s="131"/>
    </row>
    <row r="512" spans="1:7" ht="19.5" customHeight="1">
      <c r="A512" s="61"/>
      <c r="B512" s="61"/>
      <c r="C512" s="61"/>
      <c r="D512" s="61"/>
      <c r="E512" s="61"/>
      <c r="F512" s="61"/>
      <c r="G512" s="131"/>
    </row>
    <row r="513" spans="1:7" ht="19.5" customHeight="1">
      <c r="A513" s="61"/>
      <c r="B513" s="61"/>
      <c r="C513" s="61"/>
      <c r="D513" s="61"/>
      <c r="E513" s="61"/>
      <c r="F513" s="61"/>
      <c r="G513" s="131"/>
    </row>
    <row r="514" spans="1:7" ht="19.5" customHeight="1">
      <c r="A514" s="61"/>
      <c r="B514" s="61"/>
      <c r="C514" s="61"/>
      <c r="D514" s="61"/>
      <c r="E514" s="61"/>
      <c r="F514" s="61"/>
      <c r="G514" s="131"/>
    </row>
    <row r="515" spans="1:7" ht="19.5" customHeight="1">
      <c r="A515" s="61"/>
      <c r="B515" s="61"/>
      <c r="C515" s="61"/>
      <c r="D515" s="61"/>
      <c r="E515" s="61"/>
      <c r="F515" s="61"/>
      <c r="G515" s="131"/>
    </row>
    <row r="516" spans="1:7" ht="19.5" customHeight="1">
      <c r="A516" s="61"/>
      <c r="B516" s="61"/>
      <c r="C516" s="61"/>
      <c r="D516" s="61"/>
      <c r="E516" s="61"/>
      <c r="F516" s="61"/>
      <c r="G516" s="131"/>
    </row>
    <row r="517" spans="1:7" ht="19.5" customHeight="1">
      <c r="A517" s="61"/>
      <c r="B517" s="61"/>
      <c r="C517" s="61"/>
      <c r="D517" s="61"/>
      <c r="E517" s="61"/>
      <c r="F517" s="61"/>
      <c r="G517" s="131"/>
    </row>
    <row r="518" spans="1:7" ht="19.5" customHeight="1">
      <c r="A518" s="61"/>
      <c r="B518" s="61"/>
      <c r="C518" s="61"/>
      <c r="D518" s="61"/>
      <c r="E518" s="61"/>
      <c r="F518" s="61"/>
      <c r="G518" s="131"/>
    </row>
    <row r="519" spans="1:7" ht="19.5" customHeight="1">
      <c r="A519" s="61"/>
      <c r="B519" s="61"/>
      <c r="C519" s="61"/>
      <c r="D519" s="61"/>
      <c r="E519" s="61"/>
      <c r="F519" s="61"/>
      <c r="G519" s="131"/>
    </row>
    <row r="520" spans="1:7" ht="19.5" customHeight="1">
      <c r="A520" s="61"/>
      <c r="B520" s="61"/>
      <c r="C520" s="61"/>
      <c r="D520" s="61"/>
      <c r="E520" s="61"/>
      <c r="F520" s="61"/>
      <c r="G520" s="131"/>
    </row>
    <row r="521" spans="1:7" ht="19.5" customHeight="1">
      <c r="A521" s="61"/>
      <c r="B521" s="61"/>
      <c r="C521" s="61"/>
      <c r="D521" s="61"/>
      <c r="E521" s="61"/>
      <c r="F521" s="61"/>
      <c r="G521" s="131"/>
    </row>
    <row r="522" spans="1:7" ht="19.5" customHeight="1">
      <c r="A522" s="61"/>
      <c r="B522" s="61"/>
      <c r="C522" s="61"/>
      <c r="D522" s="61"/>
      <c r="E522" s="61"/>
      <c r="F522" s="61"/>
      <c r="G522" s="131"/>
    </row>
    <row r="523" spans="1:7" ht="19.5" customHeight="1">
      <c r="A523" s="61"/>
      <c r="B523" s="61"/>
      <c r="C523" s="61"/>
      <c r="D523" s="61"/>
      <c r="E523" s="61"/>
      <c r="F523" s="61"/>
      <c r="G523" s="131"/>
    </row>
    <row r="524" spans="1:7" ht="19.5" customHeight="1">
      <c r="A524" s="61"/>
      <c r="B524" s="61"/>
      <c r="C524" s="61"/>
      <c r="D524" s="61"/>
      <c r="E524" s="61"/>
      <c r="F524" s="61"/>
      <c r="G524" s="131"/>
    </row>
    <row r="525" spans="1:7" ht="19.5" customHeight="1">
      <c r="A525" s="61"/>
      <c r="B525" s="61"/>
      <c r="C525" s="61"/>
      <c r="D525" s="61"/>
      <c r="E525" s="61"/>
      <c r="F525" s="61"/>
      <c r="G525" s="131"/>
    </row>
    <row r="526" spans="1:7" ht="19.5" customHeight="1">
      <c r="A526" s="61"/>
      <c r="B526" s="61"/>
      <c r="C526" s="61"/>
      <c r="D526" s="61"/>
      <c r="E526" s="61"/>
      <c r="F526" s="61"/>
      <c r="G526" s="131"/>
    </row>
    <row r="527" spans="1:7" ht="19.5" customHeight="1">
      <c r="A527" s="61"/>
      <c r="B527" s="61"/>
      <c r="C527" s="61"/>
      <c r="D527" s="61"/>
      <c r="E527" s="61"/>
      <c r="F527" s="61"/>
      <c r="G527" s="131"/>
    </row>
    <row r="528" spans="1:7" ht="19.5" customHeight="1">
      <c r="A528" s="61"/>
      <c r="B528" s="61"/>
      <c r="C528" s="61"/>
      <c r="D528" s="61"/>
      <c r="E528" s="61"/>
      <c r="F528" s="61"/>
      <c r="G528" s="131"/>
    </row>
    <row r="529" spans="1:7" ht="19.5" customHeight="1">
      <c r="A529" s="61"/>
      <c r="B529" s="61"/>
      <c r="C529" s="61"/>
      <c r="D529" s="61"/>
      <c r="E529" s="61"/>
      <c r="F529" s="61"/>
      <c r="G529" s="131"/>
    </row>
    <row r="530" spans="1:7" ht="19.5" customHeight="1">
      <c r="A530" s="61"/>
      <c r="B530" s="61"/>
      <c r="C530" s="61"/>
      <c r="D530" s="61"/>
      <c r="E530" s="61"/>
      <c r="F530" s="61"/>
      <c r="G530" s="131"/>
    </row>
    <row r="531" spans="1:7" ht="19.5" customHeight="1">
      <c r="A531" s="61"/>
      <c r="B531" s="61"/>
      <c r="C531" s="61"/>
      <c r="D531" s="61"/>
      <c r="E531" s="61"/>
      <c r="F531" s="61"/>
      <c r="G531" s="131"/>
    </row>
    <row r="532" spans="1:7" ht="19.5" customHeight="1">
      <c r="A532" s="61"/>
      <c r="B532" s="61"/>
      <c r="C532" s="61"/>
      <c r="D532" s="61"/>
      <c r="E532" s="61"/>
      <c r="F532" s="61"/>
      <c r="G532" s="131"/>
    </row>
    <row r="533" spans="1:7" ht="19.5" customHeight="1">
      <c r="A533" s="61"/>
      <c r="B533" s="61"/>
      <c r="C533" s="61"/>
      <c r="D533" s="61"/>
      <c r="E533" s="61"/>
      <c r="F533" s="61"/>
      <c r="G533" s="131"/>
    </row>
    <row r="534" spans="1:7" ht="19.5" customHeight="1">
      <c r="A534" s="61"/>
      <c r="B534" s="61"/>
      <c r="C534" s="61"/>
      <c r="D534" s="61"/>
      <c r="E534" s="61"/>
      <c r="F534" s="61"/>
      <c r="G534" s="131"/>
    </row>
    <row r="535" spans="1:7" ht="19.5" customHeight="1">
      <c r="A535" s="61"/>
      <c r="B535" s="61"/>
      <c r="C535" s="61"/>
      <c r="D535" s="61"/>
      <c r="E535" s="61"/>
      <c r="F535" s="61"/>
      <c r="G535" s="131"/>
    </row>
    <row r="536" spans="1:7" ht="19.5" customHeight="1">
      <c r="A536" s="61"/>
      <c r="B536" s="61"/>
      <c r="C536" s="61"/>
      <c r="D536" s="61"/>
      <c r="E536" s="61"/>
      <c r="F536" s="61"/>
      <c r="G536" s="131"/>
    </row>
    <row r="537" spans="1:7" ht="19.5" customHeight="1">
      <c r="A537" s="61"/>
      <c r="B537" s="61"/>
      <c r="C537" s="61"/>
      <c r="D537" s="61"/>
      <c r="E537" s="61"/>
      <c r="F537" s="61"/>
      <c r="G537" s="131"/>
    </row>
    <row r="538" spans="1:7" ht="19.5" customHeight="1">
      <c r="A538" s="61"/>
      <c r="B538" s="61"/>
      <c r="C538" s="61"/>
      <c r="D538" s="61"/>
      <c r="E538" s="61"/>
      <c r="F538" s="61"/>
      <c r="G538" s="131"/>
    </row>
    <row r="539" spans="1:7" ht="19.5" customHeight="1">
      <c r="A539" s="61"/>
      <c r="B539" s="61"/>
      <c r="C539" s="61"/>
      <c r="D539" s="61"/>
      <c r="E539" s="61"/>
      <c r="F539" s="61"/>
      <c r="G539" s="131"/>
    </row>
    <row r="540" spans="1:7" ht="19.5" customHeight="1">
      <c r="A540" s="61"/>
      <c r="B540" s="61"/>
      <c r="C540" s="61"/>
      <c r="D540" s="61"/>
      <c r="E540" s="61"/>
      <c r="F540" s="61"/>
      <c r="G540" s="131"/>
    </row>
    <row r="541" spans="1:7" ht="19.5" customHeight="1">
      <c r="A541" s="61"/>
      <c r="B541" s="61"/>
      <c r="C541" s="61"/>
      <c r="D541" s="61"/>
      <c r="E541" s="61"/>
      <c r="F541" s="61"/>
      <c r="G541" s="131"/>
    </row>
    <row r="542" spans="1:7" ht="19.5" customHeight="1">
      <c r="A542" s="61"/>
      <c r="B542" s="61"/>
      <c r="C542" s="61"/>
      <c r="D542" s="61"/>
      <c r="E542" s="61"/>
      <c r="F542" s="61"/>
      <c r="G542" s="131"/>
    </row>
    <row r="543" spans="1:7" ht="30" customHeight="1">
      <c r="A543" s="61"/>
      <c r="B543" s="61"/>
      <c r="C543" s="61"/>
      <c r="D543" s="61"/>
      <c r="E543" s="61"/>
      <c r="F543" s="61"/>
      <c r="G543" s="131"/>
    </row>
    <row r="544" spans="1:7" ht="30" customHeight="1">
      <c r="A544" s="61"/>
      <c r="B544" s="61"/>
      <c r="C544" s="61"/>
      <c r="D544" s="61"/>
      <c r="E544" s="61"/>
      <c r="F544" s="61"/>
      <c r="G544" s="131"/>
    </row>
    <row r="545" spans="1:7" ht="30" customHeight="1">
      <c r="A545" s="61"/>
      <c r="B545" s="61"/>
      <c r="C545" s="61"/>
      <c r="D545" s="61"/>
      <c r="E545" s="61"/>
      <c r="F545" s="61"/>
      <c r="G545" s="131"/>
    </row>
    <row r="546" spans="1:7" ht="30" customHeight="1">
      <c r="A546" s="61"/>
      <c r="B546" s="61"/>
      <c r="C546" s="61"/>
      <c r="D546" s="61"/>
      <c r="E546" s="61"/>
      <c r="F546" s="61"/>
      <c r="G546" s="131"/>
    </row>
    <row r="547" spans="1:7" ht="30" customHeight="1">
      <c r="A547" s="61"/>
      <c r="B547" s="61"/>
      <c r="C547" s="61"/>
      <c r="D547" s="61"/>
      <c r="E547" s="61"/>
      <c r="F547" s="61"/>
      <c r="G547" s="131"/>
    </row>
    <row r="548" spans="1:7" ht="30" customHeight="1">
      <c r="A548" s="61"/>
      <c r="B548" s="61"/>
      <c r="C548" s="61"/>
      <c r="D548" s="61"/>
      <c r="E548" s="61"/>
      <c r="F548" s="61"/>
      <c r="G548" s="131"/>
    </row>
    <row r="549" spans="1:7" ht="30" customHeight="1">
      <c r="A549" s="61"/>
      <c r="B549" s="61"/>
      <c r="C549" s="61"/>
      <c r="D549" s="61"/>
      <c r="E549" s="61"/>
      <c r="F549" s="61"/>
      <c r="G549" s="131"/>
    </row>
    <row r="550" spans="1:7" ht="30" customHeight="1">
      <c r="A550" s="61"/>
      <c r="B550" s="61"/>
      <c r="C550" s="61"/>
      <c r="D550" s="61"/>
      <c r="E550" s="61"/>
      <c r="F550" s="61"/>
      <c r="G550" s="131"/>
    </row>
    <row r="551" spans="1:7" ht="30" customHeight="1">
      <c r="A551" s="61"/>
      <c r="B551" s="61"/>
      <c r="C551" s="61"/>
      <c r="D551" s="61"/>
      <c r="E551" s="61"/>
      <c r="F551" s="61"/>
      <c r="G551" s="131"/>
    </row>
    <row r="552" spans="1:7" ht="30" customHeight="1">
      <c r="A552" s="61"/>
      <c r="B552" s="61"/>
      <c r="C552" s="61"/>
      <c r="D552" s="61"/>
      <c r="E552" s="61"/>
      <c r="F552" s="61"/>
      <c r="G552" s="131"/>
    </row>
    <row r="553" spans="1:7" ht="30" customHeight="1">
      <c r="A553" s="61"/>
      <c r="B553" s="61"/>
      <c r="C553" s="61"/>
      <c r="D553" s="61"/>
      <c r="E553" s="61"/>
      <c r="F553" s="61"/>
      <c r="G553" s="131"/>
    </row>
    <row r="554" spans="1:7" ht="30" customHeight="1">
      <c r="A554" s="61"/>
      <c r="B554" s="61"/>
      <c r="C554" s="61"/>
      <c r="D554" s="61"/>
      <c r="E554" s="61"/>
      <c r="F554" s="61"/>
      <c r="G554" s="131"/>
    </row>
    <row r="555" spans="1:7" ht="33" customHeight="1">
      <c r="A555" s="61"/>
      <c r="B555" s="61"/>
      <c r="C555" s="61"/>
      <c r="D555" s="61"/>
      <c r="E555" s="61"/>
      <c r="F555" s="61"/>
      <c r="G555" s="131"/>
    </row>
    <row r="556" spans="1:7" ht="29.25" customHeight="1">
      <c r="A556" s="61"/>
      <c r="B556" s="61"/>
      <c r="C556" s="61"/>
      <c r="D556" s="61"/>
      <c r="E556" s="61"/>
      <c r="F556" s="61"/>
      <c r="G556" s="131"/>
    </row>
    <row r="557" spans="1:7" ht="23.25" customHeight="1">
      <c r="A557" s="61"/>
      <c r="B557" s="61"/>
      <c r="C557" s="61"/>
      <c r="D557" s="61"/>
      <c r="E557" s="61"/>
      <c r="F557" s="61"/>
      <c r="G557" s="131"/>
    </row>
    <row r="558" spans="1:7" ht="33.75" customHeight="1">
      <c r="A558" s="61"/>
      <c r="B558" s="61"/>
      <c r="C558" s="61"/>
      <c r="D558" s="61"/>
      <c r="E558" s="61"/>
      <c r="F558" s="61"/>
      <c r="G558" s="131"/>
    </row>
    <row r="559" spans="1:7" ht="33" customHeight="1">
      <c r="A559" s="61"/>
      <c r="B559" s="61"/>
      <c r="C559" s="61"/>
      <c r="D559" s="61"/>
      <c r="E559" s="61"/>
      <c r="F559" s="61"/>
      <c r="G559" s="131"/>
    </row>
    <row r="560" spans="1:7" ht="30" customHeight="1">
      <c r="A560" s="61"/>
      <c r="B560" s="61"/>
      <c r="C560" s="61"/>
      <c r="D560" s="61"/>
      <c r="E560" s="61"/>
      <c r="F560" s="61"/>
      <c r="G560" s="131"/>
    </row>
    <row r="561" spans="1:7" ht="30" customHeight="1">
      <c r="A561" s="61"/>
      <c r="B561" s="61"/>
      <c r="C561" s="61"/>
      <c r="D561" s="61"/>
      <c r="E561" s="61"/>
      <c r="F561" s="61"/>
      <c r="G561" s="131"/>
    </row>
    <row r="562" spans="1:7" ht="31.5" customHeight="1">
      <c r="A562" s="61"/>
      <c r="B562" s="61"/>
      <c r="C562" s="61"/>
      <c r="D562" s="61"/>
      <c r="E562" s="61"/>
      <c r="F562" s="61"/>
      <c r="G562" s="131"/>
    </row>
    <row r="563" spans="1:7" ht="33.75" customHeight="1">
      <c r="A563" s="61"/>
      <c r="B563" s="61"/>
      <c r="C563" s="61"/>
      <c r="D563" s="61"/>
      <c r="E563" s="61"/>
      <c r="F563" s="61"/>
      <c r="G563" s="131"/>
    </row>
    <row r="564" spans="1:7" ht="30" customHeight="1">
      <c r="A564" s="61"/>
      <c r="B564" s="61"/>
      <c r="C564" s="61"/>
      <c r="D564" s="61"/>
      <c r="E564" s="61"/>
      <c r="F564" s="61"/>
      <c r="G564" s="131"/>
    </row>
    <row r="565" spans="1:7" ht="30" customHeight="1">
      <c r="A565" s="61"/>
      <c r="B565" s="61"/>
      <c r="C565" s="61"/>
      <c r="D565" s="61"/>
      <c r="E565" s="61"/>
      <c r="F565" s="61"/>
      <c r="G565" s="131"/>
    </row>
    <row r="566" spans="1:7" ht="33.75" customHeight="1">
      <c r="A566" s="61"/>
      <c r="B566" s="61"/>
      <c r="C566" s="61"/>
      <c r="D566" s="100"/>
      <c r="E566" s="100"/>
      <c r="F566" s="100"/>
      <c r="G566" s="131"/>
    </row>
    <row r="567" spans="1:7" ht="30" customHeight="1">
      <c r="A567" s="61"/>
      <c r="B567" s="61"/>
      <c r="C567" s="61"/>
      <c r="D567" s="100"/>
      <c r="E567" s="100"/>
      <c r="F567" s="100"/>
      <c r="G567" s="131"/>
    </row>
    <row r="568" ht="39.75" customHeight="1"/>
    <row r="569" ht="47.25" customHeight="1"/>
    <row r="570" ht="35.25" customHeight="1"/>
    <row r="571" ht="35.25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48.75" customHeight="1"/>
    <row r="589" ht="48.75" customHeight="1"/>
    <row r="590" ht="48.75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106.5" customHeight="1"/>
    <row r="608" ht="77.25" customHeight="1"/>
    <row r="609" ht="30" customHeight="1"/>
    <row r="610" ht="28.5" customHeight="1"/>
    <row r="611" ht="30" customHeight="1"/>
    <row r="612" ht="21.75" customHeight="1"/>
    <row r="613" ht="30" customHeight="1"/>
    <row r="614" ht="30" customHeight="1"/>
    <row r="615" ht="27.75" customHeight="1"/>
    <row r="616" ht="33" customHeight="1"/>
    <row r="617" ht="32.25" customHeight="1"/>
    <row r="618" ht="21" customHeight="1"/>
    <row r="619" ht="30" customHeight="1"/>
    <row r="620" ht="24" customHeight="1"/>
    <row r="621" ht="24.75" customHeight="1"/>
    <row r="622" ht="24.75" customHeight="1"/>
    <row r="623" ht="26.25" customHeight="1"/>
    <row r="624" ht="24" customHeight="1"/>
    <row r="625" ht="24" customHeight="1"/>
    <row r="626" ht="24.75" customHeight="1"/>
    <row r="627" ht="33.75" customHeight="1"/>
    <row r="628" ht="33.75" customHeight="1"/>
    <row r="629" ht="39.75" customHeight="1"/>
    <row r="630" spans="1:7" s="4" customFormat="1" ht="21.75" customHeight="1">
      <c r="A630" s="2"/>
      <c r="B630" s="2"/>
      <c r="C630" s="2"/>
      <c r="D630" s="5"/>
      <c r="E630" s="5"/>
      <c r="F630" s="5"/>
      <c r="G630" s="107"/>
    </row>
    <row r="631" ht="24.75" customHeight="1"/>
    <row r="632" ht="49.5" customHeight="1"/>
    <row r="633" ht="30.75" customHeight="1"/>
    <row r="634" ht="27.75" customHeight="1"/>
  </sheetData>
  <mergeCells count="6">
    <mergeCell ref="E496:G496"/>
    <mergeCell ref="G7:G9"/>
    <mergeCell ref="C7:C8"/>
    <mergeCell ref="D7:D9"/>
    <mergeCell ref="E7:E9"/>
    <mergeCell ref="F7:F9"/>
  </mergeCells>
  <printOptions horizontalCentered="1"/>
  <pageMargins left="0.5905511811023623" right="0.5905511811023623" top="0.6692913385826772" bottom="0.6692913385826772" header="0.5118110236220472" footer="0.4724409448818898"/>
  <pageSetup firstPageNumber="208" useFirstPageNumber="1" horizontalDpi="300" verticalDpi="300" orientation="landscape" paperSize="9" scale="90" r:id="rId2"/>
  <headerFooter alignWithMargins="0">
    <oddHeader>&amp;L
</oddHead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2003-08-14T12:15:02Z</cp:lastPrinted>
  <dcterms:created xsi:type="dcterms:W3CDTF">1999-10-19T16:53:41Z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