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185" windowHeight="9120" activeTab="0"/>
  </bookViews>
  <sheets>
    <sheet name="Zakłady" sheetId="1" r:id="rId1"/>
  </sheets>
  <definedNames>
    <definedName name="_xlnm.Print_Titles" localSheetId="0">'Zakłady'!$10:$10</definedName>
  </definedNames>
  <calcPr fullCalcOnLoad="1"/>
</workbook>
</file>

<file path=xl/sharedStrings.xml><?xml version="1.0" encoding="utf-8"?>
<sst xmlns="http://schemas.openxmlformats.org/spreadsheetml/2006/main" count="109" uniqueCount="84">
  <si>
    <t>Załącznik Nr 6</t>
  </si>
  <si>
    <t>w  złotych</t>
  </si>
  <si>
    <t>Przychody</t>
  </si>
  <si>
    <t>Wydatki</t>
  </si>
  <si>
    <t>Treść</t>
  </si>
  <si>
    <t>wg uchwały budżetowej</t>
  </si>
  <si>
    <t>po zmianach</t>
  </si>
  <si>
    <t>w tym:      dotacja</t>
  </si>
  <si>
    <t xml:space="preserve">Razem zakłady budżetowe </t>
  </si>
  <si>
    <t>Razem gospodarstwa pomocnicze</t>
  </si>
  <si>
    <t>Razem środki specjalne</t>
  </si>
  <si>
    <t>Szkoły podstawowe</t>
  </si>
  <si>
    <t>Licea ogólnokształcące</t>
  </si>
  <si>
    <t>Placówki wychowania pozaszkolnego</t>
  </si>
  <si>
    <t>Żłobki</t>
  </si>
  <si>
    <t>Domy pomocy społecznej</t>
  </si>
  <si>
    <t>Zarząd Nieruchomości Komunalnych</t>
  </si>
  <si>
    <t>MOSiR "Bystrzyca"</t>
  </si>
  <si>
    <t>Zespół Szkół Elektronicznych                             Warsztaty Szkolne</t>
  </si>
  <si>
    <t>Zespół Szkół Energetycznych                                      Warsztaty Szkolne</t>
  </si>
  <si>
    <t>Zespół Szkół  Mechanicznych                                Warsztaty Szkolne</t>
  </si>
  <si>
    <t>Oświata i wychowanie</t>
  </si>
  <si>
    <t>Komendy powiatowe Policji</t>
  </si>
  <si>
    <t>Komendy powiatowe Państwowej Straży Pożarnej</t>
  </si>
  <si>
    <t>Zakłady budżetowe, gospodarstwa pomocnicze i środki specjalne</t>
  </si>
  <si>
    <t>Lubelski Ośrodek Informacji Turystycznej</t>
  </si>
  <si>
    <t xml:space="preserve">Zadania własne </t>
  </si>
  <si>
    <t>Zespół Szkół Samochodowych Nr 2                                    Warsztaty Szkolne</t>
  </si>
  <si>
    <t>Szkoły artystyczne</t>
  </si>
  <si>
    <t>Zadania zlecone</t>
  </si>
  <si>
    <t>Opieka społeczna</t>
  </si>
  <si>
    <t>Lubelskie Centrum Edukacji Zawodowej                                      Warsztaty Międzyszkolne</t>
  </si>
  <si>
    <t>Specjalny Ośrodek Szkolno - Wychowawczy, Warsztaty Szkolne</t>
  </si>
  <si>
    <t xml:space="preserve"> Izba Wytrzeźwień </t>
  </si>
  <si>
    <t>Dz.</t>
  </si>
  <si>
    <t>80197</t>
  </si>
  <si>
    <t>Edukacyjna opieka wychowawcza</t>
  </si>
  <si>
    <t>85497</t>
  </si>
  <si>
    <t>Administracja publiczna</t>
  </si>
  <si>
    <t>Urzędy miast i miast na prawach powiatu</t>
  </si>
  <si>
    <t>Placówki opiekuńczo-wychowawcze</t>
  </si>
  <si>
    <t>Specjalne ośrodki szkolno-wychowawcze</t>
  </si>
  <si>
    <t>01021</t>
  </si>
  <si>
    <t>010</t>
  </si>
  <si>
    <t>754</t>
  </si>
  <si>
    <t>75405</t>
  </si>
  <si>
    <t>75411</t>
  </si>
  <si>
    <t>851</t>
  </si>
  <si>
    <t>85132</t>
  </si>
  <si>
    <t>Ośrodki adopcyjno-opiekuńcze</t>
  </si>
  <si>
    <t>Przedszkola</t>
  </si>
  <si>
    <t>w tym:</t>
  </si>
  <si>
    <t>dotacja przedmiotowa</t>
  </si>
  <si>
    <t>dotacja celowa na inwestycje</t>
  </si>
  <si>
    <t>Zadania zlecone z zakresu administracji rządowej wykonywane przez powiat</t>
  </si>
  <si>
    <t>Ośrodki wsparcia</t>
  </si>
  <si>
    <t>6:5</t>
  </si>
  <si>
    <t>11:10</t>
  </si>
  <si>
    <t>Zespół Szkół Odzieżowo - Włókienniczych  Warsztaty Szkolne</t>
  </si>
  <si>
    <t>Rozdz.</t>
  </si>
  <si>
    <t>Inspekcja Weterynaryjna</t>
  </si>
  <si>
    <t>Inspekcja Sanitarna</t>
  </si>
  <si>
    <t xml:space="preserve">Ogółem "gospodarka 
pozabudżetowa"  </t>
  </si>
  <si>
    <t>Centra kształcenia ustawicznego 
i praktycznego oraz ośrodki dokształcania zawodowego</t>
  </si>
  <si>
    <t>Szkoły zawodowe</t>
  </si>
  <si>
    <t>Pozostała działalność</t>
  </si>
  <si>
    <t>Gimnazja</t>
  </si>
  <si>
    <t>%</t>
  </si>
  <si>
    <t>Ośrodki pomocy społecznej</t>
  </si>
  <si>
    <t>Plan                        na 2002 rok</t>
  </si>
  <si>
    <t>Plan                             na 2002 rok</t>
  </si>
  <si>
    <t>Zadania realizowane na podstawie porozumień i umów</t>
  </si>
  <si>
    <t>Zespół Szkół Nr 5 
Warsztaty Szkolne</t>
  </si>
  <si>
    <t>Wykonanie na 31 grudnia 
2002 roku</t>
  </si>
  <si>
    <t>Państwowe Szkoły Budownictwa 
i Geodezji Warsztaty Szkolne</t>
  </si>
  <si>
    <t>Wydatki na zadania ustawowo zlecone gminie</t>
  </si>
  <si>
    <t>853</t>
  </si>
  <si>
    <t>85303</t>
  </si>
  <si>
    <t>Zespół Szkół Samochodowych im.St.Syroczyńskiego 
Warsztaty Szkolne</t>
  </si>
  <si>
    <t>Zespół Szkół Nr 3 
Warsztaty Szkolne</t>
  </si>
  <si>
    <t>Rady Miasta Lublin</t>
  </si>
  <si>
    <t>w tym: limit wynagrodzeń</t>
  </si>
  <si>
    <t>do uchwały Nr 143/VI/2003</t>
  </si>
  <si>
    <t>z dnia 24 kwietnia 2003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</si>
</sst>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%"/>
    <numFmt numFmtId="166" formatCode="00\-000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3"/>
      <name val="Arial CE"/>
      <family val="2"/>
    </font>
    <font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tted"/>
      <bottom style="thin"/>
    </border>
    <border>
      <left style="thin"/>
      <right style="thick"/>
      <top style="double"/>
      <bottom style="double"/>
    </border>
    <border>
      <left style="thin"/>
      <right style="thin"/>
      <top style="dotted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wrapText="1"/>
    </xf>
    <xf numFmtId="3" fontId="0" fillId="0" borderId="0" xfId="0" applyNumberFormat="1" applyAlignment="1">
      <alignment horizontal="centerContinuous"/>
    </xf>
    <xf numFmtId="3" fontId="4" fillId="0" borderId="1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/>
    </xf>
    <xf numFmtId="0" fontId="3" fillId="0" borderId="3" xfId="0" applyFont="1" applyBorder="1" applyAlignment="1">
      <alignment horizontal="left" wrapText="1"/>
    </xf>
    <xf numFmtId="3" fontId="3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0" fontId="3" fillId="0" borderId="4" xfId="0" applyFont="1" applyBorder="1" applyAlignment="1">
      <alignment horizontal="left" wrapText="1"/>
    </xf>
    <xf numFmtId="3" fontId="3" fillId="0" borderId="5" xfId="0" applyNumberFormat="1" applyFont="1" applyBorder="1" applyAlignment="1">
      <alignment horizontal="left" wrapText="1"/>
    </xf>
    <xf numFmtId="3" fontId="3" fillId="0" borderId="6" xfId="0" applyNumberFormat="1" applyFont="1" applyBorder="1" applyAlignment="1">
      <alignment/>
    </xf>
    <xf numFmtId="0" fontId="2" fillId="0" borderId="3" xfId="0" applyFont="1" applyBorder="1" applyAlignment="1">
      <alignment wrapText="1"/>
    </xf>
    <xf numFmtId="3" fontId="2" fillId="0" borderId="4" xfId="0" applyNumberFormat="1" applyFont="1" applyBorder="1" applyAlignment="1">
      <alignment/>
    </xf>
    <xf numFmtId="0" fontId="0" fillId="0" borderId="7" xfId="0" applyFont="1" applyBorder="1" applyAlignment="1">
      <alignment wrapText="1"/>
    </xf>
    <xf numFmtId="3" fontId="0" fillId="0" borderId="8" xfId="0" applyNumberFormat="1" applyFont="1" applyBorder="1" applyAlignment="1">
      <alignment/>
    </xf>
    <xf numFmtId="0" fontId="0" fillId="0" borderId="9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10" fontId="3" fillId="0" borderId="6" xfId="0" applyNumberFormat="1" applyFont="1" applyBorder="1" applyAlignment="1">
      <alignment/>
    </xf>
    <xf numFmtId="10" fontId="3" fillId="0" borderId="4" xfId="0" applyNumberFormat="1" applyFont="1" applyBorder="1" applyAlignment="1">
      <alignment/>
    </xf>
    <xf numFmtId="10" fontId="2" fillId="0" borderId="4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8" xfId="0" applyFont="1" applyBorder="1" applyAlignment="1">
      <alignment wrapText="1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3" xfId="0" applyFont="1" applyBorder="1" applyAlignment="1">
      <alignment wrapText="1"/>
    </xf>
    <xf numFmtId="0" fontId="1" fillId="2" borderId="11" xfId="0" applyFont="1" applyFill="1" applyBorder="1" applyAlignment="1">
      <alignment horizontal="center" wrapText="1"/>
    </xf>
    <xf numFmtId="3" fontId="1" fillId="2" borderId="12" xfId="0" applyNumberFormat="1" applyFont="1" applyFill="1" applyBorder="1" applyAlignment="1">
      <alignment horizontal="right"/>
    </xf>
    <xf numFmtId="0" fontId="0" fillId="0" borderId="13" xfId="0" applyFont="1" applyBorder="1" applyAlignment="1">
      <alignment wrapText="1"/>
    </xf>
    <xf numFmtId="3" fontId="3" fillId="0" borderId="3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0" fontId="1" fillId="2" borderId="12" xfId="0" applyNumberFormat="1" applyFont="1" applyFill="1" applyBorder="1" applyAlignment="1">
      <alignment horizontal="right" wrapText="1"/>
    </xf>
    <xf numFmtId="0" fontId="3" fillId="0" borderId="4" xfId="0" applyNumberFormat="1" applyFont="1" applyBorder="1" applyAlignment="1">
      <alignment wrapText="1"/>
    </xf>
    <xf numFmtId="0" fontId="0" fillId="0" borderId="6" xfId="0" applyNumberFormat="1" applyFont="1" applyBorder="1" applyAlignment="1">
      <alignment wrapText="1"/>
    </xf>
    <xf numFmtId="10" fontId="0" fillId="0" borderId="0" xfId="0" applyNumberFormat="1" applyAlignment="1">
      <alignment/>
    </xf>
    <xf numFmtId="10" fontId="0" fillId="0" borderId="0" xfId="0" applyNumberFormat="1" applyAlignment="1">
      <alignment horizontal="centerContinuous"/>
    </xf>
    <xf numFmtId="10" fontId="8" fillId="0" borderId="0" xfId="0" applyNumberFormat="1" applyFont="1" applyAlignment="1">
      <alignment/>
    </xf>
    <xf numFmtId="10" fontId="1" fillId="2" borderId="12" xfId="0" applyNumberFormat="1" applyFont="1" applyFill="1" applyBorder="1" applyAlignment="1">
      <alignment horizontal="right"/>
    </xf>
    <xf numFmtId="0" fontId="4" fillId="0" borderId="14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wrapText="1"/>
    </xf>
    <xf numFmtId="49" fontId="0" fillId="0" borderId="8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10" fontId="0" fillId="0" borderId="15" xfId="0" applyNumberFormat="1" applyFont="1" applyBorder="1" applyAlignment="1">
      <alignment/>
    </xf>
    <xf numFmtId="0" fontId="0" fillId="0" borderId="0" xfId="0" applyAlignment="1">
      <alignment/>
    </xf>
    <xf numFmtId="0" fontId="4" fillId="0" borderId="16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10" fontId="0" fillId="0" borderId="10" xfId="0" applyNumberFormat="1" applyFont="1" applyBorder="1" applyAlignment="1">
      <alignment/>
    </xf>
    <xf numFmtId="0" fontId="4" fillId="0" borderId="17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6" fillId="0" borderId="17" xfId="0" applyFont="1" applyBorder="1" applyAlignment="1">
      <alignment horizontal="center" wrapText="1"/>
    </xf>
    <xf numFmtId="0" fontId="1" fillId="3" borderId="18" xfId="0" applyNumberFormat="1" applyFont="1" applyFill="1" applyBorder="1" applyAlignment="1">
      <alignment horizontal="right" wrapText="1"/>
    </xf>
    <xf numFmtId="0" fontId="1" fillId="3" borderId="5" xfId="0" applyFont="1" applyFill="1" applyBorder="1" applyAlignment="1">
      <alignment horizontal="center" wrapText="1"/>
    </xf>
    <xf numFmtId="3" fontId="1" fillId="3" borderId="6" xfId="0" applyNumberFormat="1" applyFont="1" applyFill="1" applyBorder="1" applyAlignment="1">
      <alignment horizontal="right"/>
    </xf>
    <xf numFmtId="10" fontId="1" fillId="3" borderId="6" xfId="0" applyNumberFormat="1" applyFont="1" applyFill="1" applyBorder="1" applyAlignment="1">
      <alignment horizontal="right"/>
    </xf>
    <xf numFmtId="10" fontId="0" fillId="0" borderId="4" xfId="0" applyNumberFormat="1" applyFont="1" applyBorder="1" applyAlignment="1">
      <alignment/>
    </xf>
    <xf numFmtId="10" fontId="0" fillId="0" borderId="19" xfId="0" applyNumberFormat="1" applyFont="1" applyBorder="1" applyAlignment="1">
      <alignment/>
    </xf>
    <xf numFmtId="10" fontId="0" fillId="0" borderId="2" xfId="0" applyNumberFormat="1" applyFont="1" applyBorder="1" applyAlignment="1">
      <alignment/>
    </xf>
    <xf numFmtId="0" fontId="2" fillId="0" borderId="6" xfId="0" applyFont="1" applyBorder="1" applyAlignment="1">
      <alignment horizontal="left" wrapText="1"/>
    </xf>
    <xf numFmtId="3" fontId="2" fillId="0" borderId="5" xfId="0" applyNumberFormat="1" applyFont="1" applyBorder="1" applyAlignment="1">
      <alignment/>
    </xf>
    <xf numFmtId="49" fontId="0" fillId="0" borderId="4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10" fontId="2" fillId="0" borderId="4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0" fillId="0" borderId="19" xfId="0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/>
    </xf>
    <xf numFmtId="10" fontId="0" fillId="0" borderId="8" xfId="0" applyNumberFormat="1" applyFont="1" applyBorder="1" applyAlignment="1">
      <alignment/>
    </xf>
    <xf numFmtId="10" fontId="2" fillId="0" borderId="6" xfId="0" applyNumberFormat="1" applyFont="1" applyBorder="1" applyAlignment="1">
      <alignment/>
    </xf>
    <xf numFmtId="0" fontId="6" fillId="0" borderId="20" xfId="0" applyFont="1" applyBorder="1" applyAlignment="1">
      <alignment horizontal="center"/>
    </xf>
    <xf numFmtId="3" fontId="6" fillId="0" borderId="21" xfId="0" applyNumberFormat="1" applyFont="1" applyBorder="1" applyAlignment="1">
      <alignment horizontal="center" wrapText="1"/>
    </xf>
    <xf numFmtId="10" fontId="6" fillId="0" borderId="22" xfId="0" applyNumberFormat="1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4" fillId="0" borderId="20" xfId="0" applyFont="1" applyBorder="1" applyAlignment="1">
      <alignment vertical="top"/>
    </xf>
    <xf numFmtId="3" fontId="6" fillId="0" borderId="24" xfId="0" applyNumberFormat="1" applyFont="1" applyBorder="1" applyAlignment="1">
      <alignment horizontal="center" vertical="top" wrapText="1"/>
    </xf>
    <xf numFmtId="3" fontId="6" fillId="0" borderId="0" xfId="0" applyNumberFormat="1" applyFont="1" applyAlignment="1">
      <alignment horizontal="center" vertical="top" wrapText="1"/>
    </xf>
    <xf numFmtId="3" fontId="6" fillId="0" borderId="23" xfId="0" applyNumberFormat="1" applyFont="1" applyBorder="1" applyAlignment="1">
      <alignment horizontal="center" vertical="top" wrapText="1"/>
    </xf>
    <xf numFmtId="20" fontId="6" fillId="0" borderId="25" xfId="0" applyNumberFormat="1" applyFont="1" applyBorder="1" applyAlignment="1" quotePrefix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0" fontId="4" fillId="0" borderId="23" xfId="0" applyFont="1" applyBorder="1" applyAlignment="1">
      <alignment vertical="center"/>
    </xf>
    <xf numFmtId="3" fontId="6" fillId="0" borderId="26" xfId="0" applyNumberFormat="1" applyFont="1" applyBorder="1" applyAlignment="1">
      <alignment horizontal="centerContinuous" vertical="center"/>
    </xf>
    <xf numFmtId="3" fontId="6" fillId="0" borderId="27" xfId="0" applyNumberFormat="1" applyFont="1" applyBorder="1" applyAlignment="1">
      <alignment horizontal="left" vertical="center"/>
    </xf>
    <xf numFmtId="10" fontId="6" fillId="0" borderId="21" xfId="0" applyNumberFormat="1" applyFont="1" applyBorder="1" applyAlignment="1">
      <alignment horizontal="centerContinuous" vertical="center"/>
    </xf>
    <xf numFmtId="3" fontId="4" fillId="0" borderId="26" xfId="0" applyNumberFormat="1" applyFont="1" applyBorder="1" applyAlignment="1">
      <alignment horizontal="left" vertical="center"/>
    </xf>
    <xf numFmtId="0" fontId="4" fillId="0" borderId="28" xfId="0" applyFont="1" applyBorder="1" applyAlignment="1">
      <alignment horizontal="centerContinuous" vertical="center"/>
    </xf>
    <xf numFmtId="0" fontId="0" fillId="4" borderId="19" xfId="0" applyFill="1" applyBorder="1" applyAlignment="1">
      <alignment/>
    </xf>
    <xf numFmtId="1" fontId="0" fillId="4" borderId="29" xfId="0" applyNumberFormat="1" applyFont="1" applyFill="1" applyBorder="1" applyAlignment="1">
      <alignment wrapText="1"/>
    </xf>
    <xf numFmtId="0" fontId="0" fillId="4" borderId="29" xfId="0" applyFont="1" applyFill="1" applyBorder="1" applyAlignment="1">
      <alignment wrapText="1"/>
    </xf>
    <xf numFmtId="3" fontId="0" fillId="4" borderId="29" xfId="0" applyNumberFormat="1" applyFont="1" applyFill="1" applyBorder="1" applyAlignment="1">
      <alignment/>
    </xf>
    <xf numFmtId="0" fontId="0" fillId="4" borderId="0" xfId="0" applyFill="1" applyAlignment="1">
      <alignment/>
    </xf>
    <xf numFmtId="1" fontId="0" fillId="4" borderId="2" xfId="0" applyNumberFormat="1" applyFont="1" applyFill="1" applyBorder="1" applyAlignment="1">
      <alignment wrapText="1"/>
    </xf>
    <xf numFmtId="0" fontId="0" fillId="4" borderId="2" xfId="0" applyFont="1" applyFill="1" applyBorder="1" applyAlignment="1">
      <alignment wrapText="1"/>
    </xf>
    <xf numFmtId="3" fontId="0" fillId="4" borderId="2" xfId="0" applyNumberFormat="1" applyFont="1" applyFill="1" applyBorder="1" applyAlignment="1">
      <alignment/>
    </xf>
    <xf numFmtId="10" fontId="0" fillId="4" borderId="2" xfId="0" applyNumberFormat="1" applyFont="1" applyFill="1" applyBorder="1" applyAlignment="1">
      <alignment/>
    </xf>
    <xf numFmtId="1" fontId="0" fillId="4" borderId="8" xfId="0" applyNumberFormat="1" applyFont="1" applyFill="1" applyBorder="1" applyAlignment="1">
      <alignment wrapText="1"/>
    </xf>
    <xf numFmtId="0" fontId="0" fillId="4" borderId="8" xfId="0" applyFont="1" applyFill="1" applyBorder="1" applyAlignment="1">
      <alignment wrapText="1"/>
    </xf>
    <xf numFmtId="3" fontId="0" fillId="4" borderId="8" xfId="0" applyNumberFormat="1" applyFont="1" applyFill="1" applyBorder="1" applyAlignment="1">
      <alignment/>
    </xf>
    <xf numFmtId="10" fontId="0" fillId="4" borderId="8" xfId="0" applyNumberFormat="1" applyFont="1" applyFill="1" applyBorder="1" applyAlignment="1">
      <alignment/>
    </xf>
    <xf numFmtId="0" fontId="0" fillId="4" borderId="6" xfId="0" applyFill="1" applyBorder="1" applyAlignment="1">
      <alignment/>
    </xf>
    <xf numFmtId="0" fontId="0" fillId="4" borderId="6" xfId="0" applyNumberFormat="1" applyFont="1" applyFill="1" applyBorder="1" applyAlignment="1">
      <alignment wrapText="1"/>
    </xf>
    <xf numFmtId="0" fontId="0" fillId="4" borderId="6" xfId="0" applyFont="1" applyFill="1" applyBorder="1" applyAlignment="1">
      <alignment wrapText="1"/>
    </xf>
    <xf numFmtId="3" fontId="0" fillId="4" borderId="6" xfId="0" applyNumberFormat="1" applyFont="1" applyFill="1" applyBorder="1" applyAlignment="1">
      <alignment/>
    </xf>
    <xf numFmtId="10" fontId="0" fillId="4" borderId="6" xfId="0" applyNumberFormat="1" applyFont="1" applyFill="1" applyBorder="1" applyAlignment="1">
      <alignment/>
    </xf>
    <xf numFmtId="0" fontId="0" fillId="4" borderId="19" xfId="0" applyFill="1" applyBorder="1" applyAlignment="1">
      <alignment/>
    </xf>
    <xf numFmtId="0" fontId="0" fillId="4" borderId="19" xfId="0" applyNumberFormat="1" applyFont="1" applyFill="1" applyBorder="1" applyAlignment="1">
      <alignment wrapText="1"/>
    </xf>
    <xf numFmtId="0" fontId="0" fillId="4" borderId="19" xfId="0" applyFont="1" applyFill="1" applyBorder="1" applyAlignment="1">
      <alignment wrapText="1"/>
    </xf>
    <xf numFmtId="3" fontId="0" fillId="4" borderId="30" xfId="0" applyNumberFormat="1" applyFont="1" applyFill="1" applyBorder="1" applyAlignment="1">
      <alignment/>
    </xf>
    <xf numFmtId="3" fontId="0" fillId="4" borderId="19" xfId="0" applyNumberFormat="1" applyFont="1" applyFill="1" applyBorder="1" applyAlignment="1">
      <alignment/>
    </xf>
    <xf numFmtId="10" fontId="0" fillId="4" borderId="19" xfId="0" applyNumberFormat="1" applyFont="1" applyFill="1" applyBorder="1" applyAlignment="1">
      <alignment/>
    </xf>
    <xf numFmtId="0" fontId="0" fillId="4" borderId="0" xfId="0" applyFill="1" applyAlignment="1">
      <alignment/>
    </xf>
    <xf numFmtId="0" fontId="0" fillId="4" borderId="4" xfId="0" applyFill="1" applyBorder="1" applyAlignment="1">
      <alignment/>
    </xf>
    <xf numFmtId="0" fontId="0" fillId="4" borderId="4" xfId="0" applyNumberFormat="1" applyFont="1" applyFill="1" applyBorder="1" applyAlignment="1">
      <alignment wrapText="1"/>
    </xf>
    <xf numFmtId="0" fontId="0" fillId="4" borderId="4" xfId="0" applyFont="1" applyFill="1" applyBorder="1" applyAlignment="1">
      <alignment wrapText="1"/>
    </xf>
    <xf numFmtId="3" fontId="0" fillId="4" borderId="3" xfId="0" applyNumberFormat="1" applyFont="1" applyFill="1" applyBorder="1" applyAlignment="1">
      <alignment/>
    </xf>
    <xf numFmtId="3" fontId="0" fillId="4" borderId="4" xfId="0" applyNumberFormat="1" applyFont="1" applyFill="1" applyBorder="1" applyAlignment="1">
      <alignment/>
    </xf>
    <xf numFmtId="10" fontId="0" fillId="4" borderId="4" xfId="0" applyNumberFormat="1" applyFont="1" applyFill="1" applyBorder="1" applyAlignment="1">
      <alignment/>
    </xf>
    <xf numFmtId="0" fontId="0" fillId="4" borderId="6" xfId="0" applyFill="1" applyBorder="1" applyAlignment="1">
      <alignment/>
    </xf>
    <xf numFmtId="3" fontId="0" fillId="4" borderId="5" xfId="0" applyNumberFormat="1" applyFont="1" applyFill="1" applyBorder="1" applyAlignment="1">
      <alignment/>
    </xf>
    <xf numFmtId="3" fontId="0" fillId="4" borderId="6" xfId="0" applyNumberFormat="1" applyFont="1" applyFill="1" applyBorder="1" applyAlignment="1">
      <alignment/>
    </xf>
    <xf numFmtId="10" fontId="0" fillId="4" borderId="6" xfId="0" applyNumberFormat="1" applyFont="1" applyFill="1" applyBorder="1" applyAlignment="1">
      <alignment/>
    </xf>
    <xf numFmtId="3" fontId="0" fillId="4" borderId="19" xfId="0" applyNumberFormat="1" applyFont="1" applyFill="1" applyBorder="1" applyAlignment="1">
      <alignment wrapText="1"/>
    </xf>
    <xf numFmtId="3" fontId="0" fillId="4" borderId="30" xfId="0" applyNumberFormat="1" applyFont="1" applyFill="1" applyBorder="1" applyAlignment="1">
      <alignment wrapText="1"/>
    </xf>
    <xf numFmtId="3" fontId="0" fillId="4" borderId="3" xfId="0" applyNumberFormat="1" applyFont="1" applyFill="1" applyBorder="1" applyAlignment="1">
      <alignment wrapText="1"/>
    </xf>
    <xf numFmtId="0" fontId="2" fillId="4" borderId="4" xfId="0" applyFont="1" applyFill="1" applyBorder="1" applyAlignment="1">
      <alignment/>
    </xf>
    <xf numFmtId="0" fontId="2" fillId="4" borderId="6" xfId="0" applyNumberFormat="1" applyFont="1" applyFill="1" applyBorder="1" applyAlignment="1">
      <alignment wrapText="1"/>
    </xf>
    <xf numFmtId="3" fontId="2" fillId="4" borderId="3" xfId="0" applyNumberFormat="1" applyFont="1" applyFill="1" applyBorder="1" applyAlignment="1">
      <alignment horizontal="left" wrapText="1"/>
    </xf>
    <xf numFmtId="3" fontId="2" fillId="4" borderId="4" xfId="0" applyNumberFormat="1" applyFont="1" applyFill="1" applyBorder="1" applyAlignment="1">
      <alignment/>
    </xf>
    <xf numFmtId="10" fontId="2" fillId="4" borderId="4" xfId="0" applyNumberFormat="1" applyFont="1" applyFill="1" applyBorder="1" applyAlignment="1">
      <alignment/>
    </xf>
    <xf numFmtId="3" fontId="0" fillId="4" borderId="3" xfId="0" applyNumberFormat="1" applyFont="1" applyFill="1" applyBorder="1" applyAlignment="1">
      <alignment horizontal="left" wrapText="1"/>
    </xf>
    <xf numFmtId="3" fontId="0" fillId="4" borderId="4" xfId="0" applyNumberFormat="1" applyFont="1" applyFill="1" applyBorder="1" applyAlignment="1">
      <alignment/>
    </xf>
    <xf numFmtId="10" fontId="0" fillId="4" borderId="4" xfId="0" applyNumberFormat="1" applyFont="1" applyFill="1" applyBorder="1" applyAlignment="1">
      <alignment/>
    </xf>
    <xf numFmtId="0" fontId="0" fillId="4" borderId="29" xfId="0" applyNumberFormat="1" applyFont="1" applyFill="1" applyBorder="1" applyAlignment="1">
      <alignment wrapText="1"/>
    </xf>
    <xf numFmtId="0" fontId="0" fillId="4" borderId="31" xfId="0" applyFont="1" applyFill="1" applyBorder="1" applyAlignment="1">
      <alignment wrapText="1"/>
    </xf>
    <xf numFmtId="3" fontId="0" fillId="4" borderId="29" xfId="0" applyNumberFormat="1" applyFont="1" applyFill="1" applyBorder="1" applyAlignment="1">
      <alignment/>
    </xf>
    <xf numFmtId="10" fontId="0" fillId="4" borderId="29" xfId="0" applyNumberFormat="1" applyFont="1" applyFill="1" applyBorder="1" applyAlignment="1">
      <alignment/>
    </xf>
    <xf numFmtId="0" fontId="0" fillId="4" borderId="2" xfId="0" applyNumberFormat="1" applyFont="1" applyFill="1" applyBorder="1" applyAlignment="1">
      <alignment wrapText="1"/>
    </xf>
    <xf numFmtId="0" fontId="0" fillId="4" borderId="9" xfId="0" applyFont="1" applyFill="1" applyBorder="1" applyAlignment="1">
      <alignment wrapText="1"/>
    </xf>
    <xf numFmtId="3" fontId="0" fillId="4" borderId="2" xfId="0" applyNumberFormat="1" applyFont="1" applyFill="1" applyBorder="1" applyAlignment="1">
      <alignment/>
    </xf>
    <xf numFmtId="10" fontId="0" fillId="4" borderId="8" xfId="0" applyNumberFormat="1" applyFont="1" applyFill="1" applyBorder="1" applyAlignment="1">
      <alignment/>
    </xf>
    <xf numFmtId="10" fontId="0" fillId="4" borderId="15" xfId="0" applyNumberFormat="1" applyFont="1" applyFill="1" applyBorder="1" applyAlignment="1">
      <alignment/>
    </xf>
    <xf numFmtId="0" fontId="0" fillId="4" borderId="8" xfId="0" applyNumberFormat="1" applyFont="1" applyFill="1" applyBorder="1" applyAlignment="1">
      <alignment wrapText="1"/>
    </xf>
    <xf numFmtId="0" fontId="0" fillId="4" borderId="7" xfId="0" applyFont="1" applyFill="1" applyBorder="1" applyAlignment="1">
      <alignment wrapText="1"/>
    </xf>
    <xf numFmtId="3" fontId="0" fillId="4" borderId="8" xfId="0" applyNumberFormat="1" applyFont="1" applyFill="1" applyBorder="1" applyAlignment="1">
      <alignment/>
    </xf>
    <xf numFmtId="0" fontId="0" fillId="4" borderId="3" xfId="0" applyFont="1" applyFill="1" applyBorder="1" applyAlignment="1">
      <alignment wrapText="1"/>
    </xf>
    <xf numFmtId="3" fontId="2" fillId="4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3" fontId="2" fillId="4" borderId="6" xfId="0" applyNumberFormat="1" applyFont="1" applyFill="1" applyBorder="1" applyAlignment="1">
      <alignment/>
    </xf>
    <xf numFmtId="0" fontId="0" fillId="4" borderId="4" xfId="0" applyFill="1" applyBorder="1" applyAlignment="1">
      <alignment/>
    </xf>
    <xf numFmtId="1" fontId="0" fillId="4" borderId="10" xfId="0" applyNumberFormat="1" applyFont="1" applyFill="1" applyBorder="1" applyAlignment="1">
      <alignment wrapText="1"/>
    </xf>
    <xf numFmtId="3" fontId="0" fillId="4" borderId="10" xfId="0" applyNumberFormat="1" applyFont="1" applyFill="1" applyBorder="1" applyAlignment="1">
      <alignment/>
    </xf>
    <xf numFmtId="10" fontId="0" fillId="4" borderId="10" xfId="0" applyNumberFormat="1" applyFont="1" applyFill="1" applyBorder="1" applyAlignment="1">
      <alignment/>
    </xf>
    <xf numFmtId="10" fontId="2" fillId="4" borderId="6" xfId="0" applyNumberFormat="1" applyFont="1" applyFill="1" applyBorder="1" applyAlignment="1">
      <alignment/>
    </xf>
    <xf numFmtId="0" fontId="0" fillId="4" borderId="13" xfId="0" applyFont="1" applyFill="1" applyBorder="1" applyAlignment="1">
      <alignment wrapText="1"/>
    </xf>
    <xf numFmtId="3" fontId="1" fillId="4" borderId="12" xfId="0" applyNumberFormat="1" applyFont="1" applyFill="1" applyBorder="1" applyAlignment="1">
      <alignment wrapText="1"/>
    </xf>
    <xf numFmtId="0" fontId="1" fillId="4" borderId="12" xfId="0" applyFont="1" applyFill="1" applyBorder="1" applyAlignment="1">
      <alignment horizontal="center" wrapText="1"/>
    </xf>
    <xf numFmtId="3" fontId="1" fillId="4" borderId="12" xfId="0" applyNumberFormat="1" applyFont="1" applyFill="1" applyBorder="1" applyAlignment="1">
      <alignment/>
    </xf>
    <xf numFmtId="10" fontId="1" fillId="4" borderId="12" xfId="0" applyNumberFormat="1" applyFont="1" applyFill="1" applyBorder="1" applyAlignment="1">
      <alignment/>
    </xf>
    <xf numFmtId="3" fontId="3" fillId="4" borderId="19" xfId="0" applyNumberFormat="1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3" fontId="3" fillId="4" borderId="4" xfId="0" applyNumberFormat="1" applyFont="1" applyFill="1" applyBorder="1" applyAlignment="1">
      <alignment/>
    </xf>
    <xf numFmtId="10" fontId="3" fillId="4" borderId="4" xfId="0" applyNumberFormat="1" applyFont="1" applyFill="1" applyBorder="1" applyAlignment="1">
      <alignment/>
    </xf>
    <xf numFmtId="3" fontId="3" fillId="4" borderId="4" xfId="0" applyNumberFormat="1" applyFont="1" applyFill="1" applyBorder="1" applyAlignment="1">
      <alignment wrapText="1"/>
    </xf>
    <xf numFmtId="0" fontId="3" fillId="4" borderId="4" xfId="0" applyFont="1" applyFill="1" applyBorder="1" applyAlignment="1">
      <alignment horizontal="left" wrapText="1"/>
    </xf>
    <xf numFmtId="49" fontId="0" fillId="4" borderId="4" xfId="0" applyNumberFormat="1" applyFill="1" applyBorder="1" applyAlignment="1">
      <alignment horizontal="right"/>
    </xf>
    <xf numFmtId="49" fontId="0" fillId="4" borderId="4" xfId="0" applyNumberFormat="1" applyFont="1" applyFill="1" applyBorder="1" applyAlignment="1">
      <alignment horizontal="right" wrapText="1"/>
    </xf>
    <xf numFmtId="49" fontId="0" fillId="4" borderId="6" xfId="0" applyNumberFormat="1" applyFill="1" applyBorder="1" applyAlignment="1">
      <alignment horizontal="right"/>
    </xf>
    <xf numFmtId="0" fontId="0" fillId="4" borderId="0" xfId="0" applyFont="1" applyFill="1" applyAlignment="1">
      <alignment/>
    </xf>
    <xf numFmtId="0" fontId="0" fillId="4" borderId="5" xfId="0" applyFont="1" applyFill="1" applyBorder="1" applyAlignment="1">
      <alignment wrapText="1"/>
    </xf>
    <xf numFmtId="1" fontId="0" fillId="4" borderId="6" xfId="0" applyNumberFormat="1" applyFont="1" applyFill="1" applyBorder="1" applyAlignment="1">
      <alignment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4" borderId="6" xfId="0" applyFont="1" applyFill="1" applyBorder="1" applyAlignment="1">
      <alignment/>
    </xf>
    <xf numFmtId="1" fontId="2" fillId="4" borderId="4" xfId="0" applyNumberFormat="1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0" fontId="2" fillId="4" borderId="0" xfId="0" applyFont="1" applyFill="1" applyAlignment="1">
      <alignment/>
    </xf>
    <xf numFmtId="3" fontId="0" fillId="0" borderId="19" xfId="0" applyNumberFormat="1" applyFont="1" applyBorder="1" applyAlignment="1">
      <alignment/>
    </xf>
    <xf numFmtId="3" fontId="0" fillId="4" borderId="15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3" fontId="0" fillId="0" borderId="29" xfId="0" applyNumberFormat="1" applyFont="1" applyBorder="1" applyAlignment="1">
      <alignment/>
    </xf>
    <xf numFmtId="0" fontId="2" fillId="4" borderId="6" xfId="0" applyFont="1" applyFill="1" applyBorder="1" applyAlignment="1">
      <alignment/>
    </xf>
    <xf numFmtId="3" fontId="6" fillId="0" borderId="16" xfId="0" applyNumberFormat="1" applyFont="1" applyBorder="1" applyAlignment="1">
      <alignment horizontal="center" wrapText="1"/>
    </xf>
    <xf numFmtId="0" fontId="4" fillId="0" borderId="2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="75" zoomScaleNormal="75" workbookViewId="0" topLeftCell="A1">
      <selection activeCell="E15" sqref="E15"/>
    </sheetView>
  </sheetViews>
  <sheetFormatPr defaultColWidth="9.00390625" defaultRowHeight="12.75"/>
  <cols>
    <col min="1" max="1" width="5.75390625" style="0" customWidth="1"/>
    <col min="2" max="2" width="6.75390625" style="26" customWidth="1"/>
    <col min="3" max="3" width="37.75390625" style="0" customWidth="1"/>
    <col min="4" max="7" width="12.75390625" style="2" customWidth="1"/>
    <col min="8" max="8" width="10.75390625" style="42" customWidth="1"/>
    <col min="9" max="12" width="12.75390625" style="2" customWidth="1"/>
    <col min="13" max="13" width="9.625" style="0" customWidth="1"/>
    <col min="14" max="14" width="8.875" style="0" customWidth="1"/>
  </cols>
  <sheetData>
    <row r="1" ht="13.5" customHeight="1">
      <c r="J1" s="184" t="s">
        <v>0</v>
      </c>
    </row>
    <row r="2" ht="13.5" customHeight="1">
      <c r="J2" s="184" t="s">
        <v>82</v>
      </c>
    </row>
    <row r="3" spans="4:10" ht="13.5" customHeight="1">
      <c r="D3" s="7"/>
      <c r="E3" s="7"/>
      <c r="F3" s="5"/>
      <c r="G3" s="5"/>
      <c r="H3" s="43"/>
      <c r="I3" s="5"/>
      <c r="J3" s="184" t="s">
        <v>80</v>
      </c>
    </row>
    <row r="4" spans="2:10" s="32" customFormat="1" ht="13.5" customHeight="1">
      <c r="B4" s="29"/>
      <c r="C4" s="176" t="s">
        <v>24</v>
      </c>
      <c r="D4" s="30"/>
      <c r="E4" s="31"/>
      <c r="F4" s="30"/>
      <c r="G4" s="30"/>
      <c r="H4" s="44"/>
      <c r="I4" s="30"/>
      <c r="J4" s="184" t="s">
        <v>83</v>
      </c>
    </row>
    <row r="5" spans="3:5" ht="8.25" customHeight="1">
      <c r="C5" s="28"/>
      <c r="E5" s="8"/>
    </row>
    <row r="6" ht="13.5" thickBot="1">
      <c r="M6" s="177" t="s">
        <v>1</v>
      </c>
    </row>
    <row r="7" spans="1:13" s="53" customFormat="1" ht="19.5" customHeight="1" thickBot="1" thickTop="1">
      <c r="A7" s="52"/>
      <c r="B7" s="52"/>
      <c r="C7" s="86"/>
      <c r="D7" s="87"/>
      <c r="E7" s="87"/>
      <c r="F7" s="87" t="s">
        <v>2</v>
      </c>
      <c r="G7" s="88"/>
      <c r="H7" s="89"/>
      <c r="I7" s="87"/>
      <c r="J7" s="87" t="s">
        <v>3</v>
      </c>
      <c r="K7" s="90"/>
      <c r="L7" s="90"/>
      <c r="M7" s="91"/>
    </row>
    <row r="8" spans="1:13" s="51" customFormat="1" ht="27.75" customHeight="1" thickBot="1" thickTop="1">
      <c r="A8" s="57" t="s">
        <v>34</v>
      </c>
      <c r="B8" s="57" t="s">
        <v>59</v>
      </c>
      <c r="C8" s="76" t="s">
        <v>4</v>
      </c>
      <c r="D8" s="77" t="s">
        <v>69</v>
      </c>
      <c r="E8" s="77" t="s">
        <v>70</v>
      </c>
      <c r="F8" s="187" t="s">
        <v>73</v>
      </c>
      <c r="G8" s="188"/>
      <c r="H8" s="78" t="s">
        <v>67</v>
      </c>
      <c r="I8" s="77" t="s">
        <v>69</v>
      </c>
      <c r="J8" s="77" t="s">
        <v>70</v>
      </c>
      <c r="K8" s="187" t="s">
        <v>73</v>
      </c>
      <c r="L8" s="188"/>
      <c r="M8" s="79" t="s">
        <v>67</v>
      </c>
    </row>
    <row r="9" spans="1:13" s="56" customFormat="1" ht="25.5" customHeight="1" thickBot="1" thickTop="1">
      <c r="A9" s="55"/>
      <c r="B9" s="55"/>
      <c r="C9" s="80"/>
      <c r="D9" s="81" t="s">
        <v>5</v>
      </c>
      <c r="E9" s="81" t="s">
        <v>6</v>
      </c>
      <c r="F9" s="82"/>
      <c r="G9" s="83" t="s">
        <v>7</v>
      </c>
      <c r="H9" s="84" t="s">
        <v>56</v>
      </c>
      <c r="I9" s="81" t="s">
        <v>5</v>
      </c>
      <c r="J9" s="81" t="s">
        <v>6</v>
      </c>
      <c r="K9" s="82"/>
      <c r="L9" s="83" t="s">
        <v>81</v>
      </c>
      <c r="M9" s="85" t="s">
        <v>57</v>
      </c>
    </row>
    <row r="10" spans="1:13" ht="13.5" customHeight="1" thickBot="1" thickTop="1">
      <c r="A10" s="27">
        <v>1</v>
      </c>
      <c r="B10" s="27">
        <v>2</v>
      </c>
      <c r="C10" s="1">
        <v>3</v>
      </c>
      <c r="D10" s="6">
        <v>4</v>
      </c>
      <c r="E10" s="6">
        <v>5</v>
      </c>
      <c r="F10" s="6">
        <v>6</v>
      </c>
      <c r="G10" s="6">
        <v>7</v>
      </c>
      <c r="H10" s="46">
        <v>8</v>
      </c>
      <c r="I10" s="6">
        <v>9</v>
      </c>
      <c r="J10" s="6">
        <v>10</v>
      </c>
      <c r="K10" s="6">
        <v>11</v>
      </c>
      <c r="L10" s="6">
        <v>12</v>
      </c>
      <c r="M10" s="1">
        <v>13</v>
      </c>
    </row>
    <row r="11" spans="1:13" s="3" customFormat="1" ht="25.5" customHeight="1" thickTop="1">
      <c r="A11" s="58"/>
      <c r="B11" s="58"/>
      <c r="C11" s="59" t="s">
        <v>62</v>
      </c>
      <c r="D11" s="60">
        <f>SUM(D12+D59+D63)</f>
        <v>96535400</v>
      </c>
      <c r="E11" s="60">
        <f>SUM(E12+E59+E63)</f>
        <v>104288941</v>
      </c>
      <c r="F11" s="60">
        <f>SUM(F12+F59+F63)</f>
        <v>99733492</v>
      </c>
      <c r="G11" s="60">
        <f>SUM(G12+G59+G63)</f>
        <v>11167984</v>
      </c>
      <c r="H11" s="61">
        <f>F11/E11</f>
        <v>0.9563189638678947</v>
      </c>
      <c r="I11" s="60">
        <f>SUM(I12+I59+I63)</f>
        <v>96661786</v>
      </c>
      <c r="J11" s="60">
        <f>SUM(J12+J59+J63)</f>
        <v>105271357</v>
      </c>
      <c r="K11" s="60">
        <f>SUM(K12+K59+K63)</f>
        <v>101573178</v>
      </c>
      <c r="L11" s="60">
        <f>SUM(L12+L59+L63)</f>
        <v>5893917</v>
      </c>
      <c r="M11" s="61">
        <f>K11/J11</f>
        <v>0.9648700358256045</v>
      </c>
    </row>
    <row r="12" spans="1:13" ht="22.5" customHeight="1" thickBot="1">
      <c r="A12" s="39"/>
      <c r="B12" s="39"/>
      <c r="C12" s="34" t="s">
        <v>26</v>
      </c>
      <c r="D12" s="35">
        <f>SUM(D13+D24+D38)</f>
        <v>95709700</v>
      </c>
      <c r="E12" s="35">
        <f>SUM(E13+E24+E38)</f>
        <v>103450708</v>
      </c>
      <c r="F12" s="35">
        <f>SUM(F13+F24+F38)</f>
        <v>98901261</v>
      </c>
      <c r="G12" s="35">
        <f>SUM(G13+G24+G38)</f>
        <v>11167984</v>
      </c>
      <c r="H12" s="45">
        <f>F12/E12</f>
        <v>0.9560230462608337</v>
      </c>
      <c r="I12" s="35">
        <f>SUM(I13+I24+I38)</f>
        <v>95815486</v>
      </c>
      <c r="J12" s="35">
        <f>SUM(J13+J24+J38)</f>
        <v>104394274</v>
      </c>
      <c r="K12" s="35">
        <f>SUM(K13+K24+K38)</f>
        <v>100746405</v>
      </c>
      <c r="L12" s="35">
        <f>SUM(L13+L24+L38)</f>
        <v>5893917</v>
      </c>
      <c r="M12" s="45">
        <f>K12/J12</f>
        <v>0.9650568095334424</v>
      </c>
    </row>
    <row r="13" spans="1:13" ht="22.5" customHeight="1" thickTop="1">
      <c r="A13" s="40"/>
      <c r="B13" s="40"/>
      <c r="C13" s="9" t="s">
        <v>8</v>
      </c>
      <c r="D13" s="10">
        <f>SUM(D14+D15+D19+D20)</f>
        <v>79875200</v>
      </c>
      <c r="E13" s="10">
        <f>SUM(E14+E15+E19+E20)</f>
        <v>83402832</v>
      </c>
      <c r="F13" s="10">
        <f>SUM(F14+F15+F19+F20)</f>
        <v>81234011</v>
      </c>
      <c r="G13" s="10">
        <f>SUM(G14+G15+G19+G20)</f>
        <v>10994884</v>
      </c>
      <c r="H13" s="22">
        <f>F13/E13</f>
        <v>0.9739958350574954</v>
      </c>
      <c r="I13" s="10">
        <f>SUM(I14+I15+I19+I20)</f>
        <v>79864370</v>
      </c>
      <c r="J13" s="10">
        <f>SUM(J14+J15+J19+J20)</f>
        <v>83707836</v>
      </c>
      <c r="K13" s="10">
        <f>SUM(K14+K15+K19+K20)</f>
        <v>82679512</v>
      </c>
      <c r="L13" s="10">
        <f>SUM(L14+L15+L19+L20)</f>
        <v>5043125</v>
      </c>
      <c r="M13" s="22">
        <f aca="true" t="shared" si="0" ref="M13:M69">K13/J13</f>
        <v>0.9877153197461704</v>
      </c>
    </row>
    <row r="14" spans="1:13" s="96" customFormat="1" ht="18.75" customHeight="1">
      <c r="A14" s="105">
        <v>630</v>
      </c>
      <c r="B14" s="106">
        <v>63001</v>
      </c>
      <c r="C14" s="107" t="s">
        <v>25</v>
      </c>
      <c r="D14" s="108">
        <v>336600</v>
      </c>
      <c r="E14" s="108">
        <v>336600</v>
      </c>
      <c r="F14" s="108">
        <v>293221</v>
      </c>
      <c r="G14" s="108">
        <v>130000</v>
      </c>
      <c r="H14" s="109">
        <f>F14/E14</f>
        <v>0.8711259655377303</v>
      </c>
      <c r="I14" s="108">
        <v>336600</v>
      </c>
      <c r="J14" s="108">
        <v>336600</v>
      </c>
      <c r="K14" s="108">
        <v>303765</v>
      </c>
      <c r="L14" s="108">
        <f>132689+11278</f>
        <v>143967</v>
      </c>
      <c r="M14" s="109">
        <f t="shared" si="0"/>
        <v>0.9024509803921569</v>
      </c>
    </row>
    <row r="15" spans="1:13" s="116" customFormat="1" ht="18.75" customHeight="1">
      <c r="A15" s="110">
        <v>700</v>
      </c>
      <c r="B15" s="111">
        <v>70001</v>
      </c>
      <c r="C15" s="112" t="s">
        <v>16</v>
      </c>
      <c r="D15" s="113">
        <v>68257700</v>
      </c>
      <c r="E15" s="114">
        <v>70603510</v>
      </c>
      <c r="F15" s="114">
        <v>70062104</v>
      </c>
      <c r="G15" s="114">
        <f>SUM(G17:G18)</f>
        <v>5929884</v>
      </c>
      <c r="H15" s="115">
        <f>F15/E15</f>
        <v>0.9923317410140091</v>
      </c>
      <c r="I15" s="114">
        <v>68257700</v>
      </c>
      <c r="J15" s="114">
        <v>70917079</v>
      </c>
      <c r="K15" s="114">
        <v>70393090</v>
      </c>
      <c r="L15" s="114">
        <v>2722995</v>
      </c>
      <c r="M15" s="115">
        <f t="shared" si="0"/>
        <v>0.9926112439007816</v>
      </c>
    </row>
    <row r="16" spans="1:13" s="116" customFormat="1" ht="11.25" customHeight="1">
      <c r="A16" s="110"/>
      <c r="B16" s="111"/>
      <c r="C16" s="112" t="s">
        <v>51</v>
      </c>
      <c r="D16" s="113"/>
      <c r="E16" s="114"/>
      <c r="F16" s="114"/>
      <c r="G16" s="114"/>
      <c r="H16" s="115"/>
      <c r="I16" s="114"/>
      <c r="J16" s="114"/>
      <c r="K16" s="114"/>
      <c r="L16" s="114"/>
      <c r="M16" s="115"/>
    </row>
    <row r="17" spans="1:13" s="116" customFormat="1" ht="13.5" customHeight="1">
      <c r="A17" s="110"/>
      <c r="B17" s="111"/>
      <c r="C17" s="112" t="s">
        <v>52</v>
      </c>
      <c r="D17" s="113">
        <v>6000000</v>
      </c>
      <c r="E17" s="114">
        <v>6300000</v>
      </c>
      <c r="F17" s="114">
        <v>5800000</v>
      </c>
      <c r="G17" s="114">
        <v>5800000</v>
      </c>
      <c r="H17" s="115">
        <f>F17/E17</f>
        <v>0.9206349206349206</v>
      </c>
      <c r="I17" s="114"/>
      <c r="J17" s="114"/>
      <c r="K17" s="114"/>
      <c r="L17" s="114"/>
      <c r="M17" s="115"/>
    </row>
    <row r="18" spans="1:13" s="116" customFormat="1" ht="13.5" customHeight="1">
      <c r="A18" s="117"/>
      <c r="B18" s="118"/>
      <c r="C18" s="119" t="s">
        <v>53</v>
      </c>
      <c r="D18" s="120">
        <v>630000</v>
      </c>
      <c r="E18" s="121">
        <v>130000</v>
      </c>
      <c r="F18" s="121">
        <v>129884</v>
      </c>
      <c r="G18" s="121">
        <v>129884</v>
      </c>
      <c r="H18" s="122">
        <f>F18/E18</f>
        <v>0.9991076923076923</v>
      </c>
      <c r="I18" s="121"/>
      <c r="J18" s="121"/>
      <c r="K18" s="121"/>
      <c r="L18" s="121"/>
      <c r="M18" s="122"/>
    </row>
    <row r="19" spans="1:13" s="116" customFormat="1" ht="18.75" customHeight="1">
      <c r="A19" s="123">
        <v>851</v>
      </c>
      <c r="B19" s="106">
        <v>85158</v>
      </c>
      <c r="C19" s="107" t="s">
        <v>33</v>
      </c>
      <c r="D19" s="124">
        <v>2800000</v>
      </c>
      <c r="E19" s="125">
        <v>2800000</v>
      </c>
      <c r="F19" s="125">
        <v>1256399</v>
      </c>
      <c r="G19" s="125"/>
      <c r="H19" s="126">
        <f>F19/E19</f>
        <v>0.44871392857142856</v>
      </c>
      <c r="I19" s="125">
        <v>2801000</v>
      </c>
      <c r="J19" s="125">
        <v>2801000</v>
      </c>
      <c r="K19" s="125">
        <v>2329572</v>
      </c>
      <c r="L19" s="125">
        <v>208163</v>
      </c>
      <c r="M19" s="126">
        <f t="shared" si="0"/>
        <v>0.8316929667975723</v>
      </c>
    </row>
    <row r="20" spans="1:13" s="116" customFormat="1" ht="18.75" customHeight="1">
      <c r="A20" s="110">
        <v>926</v>
      </c>
      <c r="B20" s="111">
        <v>92604</v>
      </c>
      <c r="C20" s="112" t="s">
        <v>17</v>
      </c>
      <c r="D20" s="127">
        <v>8480900</v>
      </c>
      <c r="E20" s="114">
        <v>9662722</v>
      </c>
      <c r="F20" s="114">
        <v>9622287</v>
      </c>
      <c r="G20" s="114">
        <f>SUM(G22:G23)</f>
        <v>4935000</v>
      </c>
      <c r="H20" s="115">
        <f>F20/E20</f>
        <v>0.99581536134435</v>
      </c>
      <c r="I20" s="114">
        <v>8469070</v>
      </c>
      <c r="J20" s="114">
        <v>9653157</v>
      </c>
      <c r="K20" s="114">
        <v>9653085</v>
      </c>
      <c r="L20" s="114">
        <f>1813511+154489</f>
        <v>1968000</v>
      </c>
      <c r="M20" s="115">
        <v>0.9999</v>
      </c>
    </row>
    <row r="21" spans="1:13" s="116" customFormat="1" ht="10.5" customHeight="1">
      <c r="A21" s="110"/>
      <c r="B21" s="111"/>
      <c r="C21" s="112" t="s">
        <v>51</v>
      </c>
      <c r="D21" s="128"/>
      <c r="E21" s="113"/>
      <c r="F21" s="114"/>
      <c r="G21" s="114"/>
      <c r="H21" s="115"/>
      <c r="I21" s="113"/>
      <c r="J21" s="114"/>
      <c r="K21" s="114"/>
      <c r="L21" s="114"/>
      <c r="M21" s="115"/>
    </row>
    <row r="22" spans="1:13" s="116" customFormat="1" ht="13.5" customHeight="1">
      <c r="A22" s="110"/>
      <c r="B22" s="111"/>
      <c r="C22" s="112" t="s">
        <v>52</v>
      </c>
      <c r="D22" s="128">
        <v>1135000</v>
      </c>
      <c r="E22" s="113">
        <v>1135000</v>
      </c>
      <c r="F22" s="114">
        <v>1135000</v>
      </c>
      <c r="G22" s="114">
        <v>1135000</v>
      </c>
      <c r="H22" s="115">
        <f aca="true" t="shared" si="1" ref="H22:H27">F22/E22</f>
        <v>1</v>
      </c>
      <c r="I22" s="113"/>
      <c r="J22" s="114"/>
      <c r="K22" s="114"/>
      <c r="L22" s="114"/>
      <c r="M22" s="115"/>
    </row>
    <row r="23" spans="1:13" s="116" customFormat="1" ht="13.5" customHeight="1">
      <c r="A23" s="110"/>
      <c r="B23" s="118"/>
      <c r="C23" s="119" t="s">
        <v>53</v>
      </c>
      <c r="D23" s="129">
        <v>3600000</v>
      </c>
      <c r="E23" s="120">
        <v>3800000</v>
      </c>
      <c r="F23" s="121">
        <v>3800000</v>
      </c>
      <c r="G23" s="121">
        <v>3800000</v>
      </c>
      <c r="H23" s="122">
        <f t="shared" si="1"/>
        <v>1</v>
      </c>
      <c r="I23" s="120"/>
      <c r="J23" s="121"/>
      <c r="K23" s="121"/>
      <c r="L23" s="121"/>
      <c r="M23" s="122"/>
    </row>
    <row r="24" spans="1:13" ht="22.5" customHeight="1">
      <c r="A24" s="72"/>
      <c r="B24" s="41"/>
      <c r="C24" s="12" t="s">
        <v>9</v>
      </c>
      <c r="D24" s="37">
        <f>D25+D36</f>
        <v>3300830</v>
      </c>
      <c r="E24" s="37">
        <f>E25+E36</f>
        <v>3459700</v>
      </c>
      <c r="F24" s="37">
        <f>F25+F36</f>
        <v>2964616</v>
      </c>
      <c r="G24" s="37">
        <f>G25+G36</f>
        <v>173100</v>
      </c>
      <c r="H24" s="22">
        <f t="shared" si="1"/>
        <v>0.8568997311905656</v>
      </c>
      <c r="I24" s="37">
        <f>I25+I36</f>
        <v>3313130</v>
      </c>
      <c r="J24" s="37">
        <f>J25+J36</f>
        <v>3472000</v>
      </c>
      <c r="K24" s="37">
        <f>K25+K36</f>
        <v>2901347</v>
      </c>
      <c r="L24" s="37">
        <f>L25+L36</f>
        <v>850792</v>
      </c>
      <c r="M24" s="22">
        <f t="shared" si="0"/>
        <v>0.8356414170506913</v>
      </c>
    </row>
    <row r="25" spans="1:13" ht="19.5" customHeight="1">
      <c r="A25" s="70">
        <v>801</v>
      </c>
      <c r="B25" s="41"/>
      <c r="C25" s="65" t="s">
        <v>21</v>
      </c>
      <c r="D25" s="66">
        <f>SUM(D26:D35)</f>
        <v>3175730</v>
      </c>
      <c r="E25" s="66">
        <f>SUM(E26:E35)</f>
        <v>3293100</v>
      </c>
      <c r="F25" s="66">
        <f>SUM(F26:F35)</f>
        <v>2823725</v>
      </c>
      <c r="G25" s="66">
        <f>SUM(G26:G35)</f>
        <v>141200</v>
      </c>
      <c r="H25" s="69">
        <f t="shared" si="1"/>
        <v>0.8574671282378307</v>
      </c>
      <c r="I25" s="66">
        <f>SUM(I26:I35)</f>
        <v>3185730</v>
      </c>
      <c r="J25" s="66">
        <f>SUM(J26:J35)</f>
        <v>3303100</v>
      </c>
      <c r="K25" s="66">
        <f>SUM(K26:K35)</f>
        <v>2757666</v>
      </c>
      <c r="L25" s="66">
        <f>SUM(L26:L35)</f>
        <v>825403</v>
      </c>
      <c r="M25" s="69">
        <f t="shared" si="0"/>
        <v>0.8348720898549847</v>
      </c>
    </row>
    <row r="26" spans="1:13" ht="25.5" customHeight="1">
      <c r="A26" s="71"/>
      <c r="B26" s="47" t="s">
        <v>35</v>
      </c>
      <c r="C26" s="4" t="s">
        <v>27</v>
      </c>
      <c r="D26" s="38">
        <v>177700</v>
      </c>
      <c r="E26" s="38">
        <v>203860</v>
      </c>
      <c r="F26" s="24">
        <v>203784</v>
      </c>
      <c r="G26" s="24">
        <v>15700</v>
      </c>
      <c r="H26" s="64">
        <f t="shared" si="1"/>
        <v>0.9996271951339154</v>
      </c>
      <c r="I26" s="24">
        <v>179010</v>
      </c>
      <c r="J26" s="24">
        <v>205170</v>
      </c>
      <c r="K26" s="24">
        <v>204631</v>
      </c>
      <c r="L26" s="24">
        <v>42993</v>
      </c>
      <c r="M26" s="64">
        <f>K26/J26</f>
        <v>0.9973729102695326</v>
      </c>
    </row>
    <row r="27" spans="1:13" ht="37.5" customHeight="1">
      <c r="A27" s="71"/>
      <c r="B27" s="48" t="s">
        <v>35</v>
      </c>
      <c r="C27" s="25" t="s">
        <v>78</v>
      </c>
      <c r="D27" s="18">
        <v>340300</v>
      </c>
      <c r="E27" s="18">
        <v>431510</v>
      </c>
      <c r="F27" s="18">
        <v>411743</v>
      </c>
      <c r="G27" s="18">
        <v>14800</v>
      </c>
      <c r="H27" s="64">
        <f t="shared" si="1"/>
        <v>0.9541910963824709</v>
      </c>
      <c r="I27" s="18">
        <v>341550</v>
      </c>
      <c r="J27" s="18">
        <v>432760</v>
      </c>
      <c r="K27" s="18">
        <v>416226</v>
      </c>
      <c r="L27" s="18">
        <v>120803</v>
      </c>
      <c r="M27" s="74">
        <f t="shared" si="0"/>
        <v>0.9617940659950088</v>
      </c>
    </row>
    <row r="28" spans="1:13" ht="25.5" customHeight="1">
      <c r="A28" s="71"/>
      <c r="B28" s="47" t="s">
        <v>35</v>
      </c>
      <c r="C28" s="4" t="s">
        <v>58</v>
      </c>
      <c r="D28" s="24">
        <v>55900</v>
      </c>
      <c r="E28" s="24">
        <v>55900</v>
      </c>
      <c r="F28" s="24">
        <v>49718</v>
      </c>
      <c r="G28" s="24">
        <v>2600</v>
      </c>
      <c r="H28" s="64">
        <f aca="true" t="shared" si="2" ref="H28:H35">F28/E28</f>
        <v>0.8894096601073346</v>
      </c>
      <c r="I28" s="24">
        <v>56070</v>
      </c>
      <c r="J28" s="24">
        <v>56070</v>
      </c>
      <c r="K28" s="24">
        <v>80228</v>
      </c>
      <c r="L28" s="24">
        <v>15880</v>
      </c>
      <c r="M28" s="64">
        <f>K28/J28</f>
        <v>1.4308542892812555</v>
      </c>
    </row>
    <row r="29" spans="1:13" ht="25.5" customHeight="1">
      <c r="A29" s="71"/>
      <c r="B29" s="48" t="s">
        <v>35</v>
      </c>
      <c r="C29" s="25" t="s">
        <v>20</v>
      </c>
      <c r="D29" s="18">
        <v>328950</v>
      </c>
      <c r="E29" s="18">
        <v>328950</v>
      </c>
      <c r="F29" s="18">
        <v>268951</v>
      </c>
      <c r="G29" s="18">
        <v>22500</v>
      </c>
      <c r="H29" s="74">
        <f t="shared" si="2"/>
        <v>0.8176044991640067</v>
      </c>
      <c r="I29" s="18">
        <v>330760</v>
      </c>
      <c r="J29" s="18">
        <v>330760</v>
      </c>
      <c r="K29" s="18">
        <v>269856</v>
      </c>
      <c r="L29" s="18">
        <v>86564</v>
      </c>
      <c r="M29" s="74">
        <f t="shared" si="0"/>
        <v>0.8158664892973757</v>
      </c>
    </row>
    <row r="30" spans="1:13" ht="25.5" customHeight="1">
      <c r="A30" s="71"/>
      <c r="B30" s="48" t="s">
        <v>35</v>
      </c>
      <c r="C30" s="17" t="s">
        <v>19</v>
      </c>
      <c r="D30" s="18">
        <v>85800</v>
      </c>
      <c r="E30" s="18">
        <v>85800</v>
      </c>
      <c r="F30" s="18">
        <v>101027</v>
      </c>
      <c r="G30" s="18">
        <v>18500</v>
      </c>
      <c r="H30" s="74">
        <f t="shared" si="2"/>
        <v>1.1774708624708625</v>
      </c>
      <c r="I30" s="18">
        <v>86990</v>
      </c>
      <c r="J30" s="18">
        <v>86990</v>
      </c>
      <c r="K30" s="18">
        <v>64402</v>
      </c>
      <c r="L30" s="18">
        <v>5521</v>
      </c>
      <c r="M30" s="74">
        <f t="shared" si="0"/>
        <v>0.7403379698815956</v>
      </c>
    </row>
    <row r="31" spans="1:13" ht="26.25" customHeight="1">
      <c r="A31" s="71"/>
      <c r="B31" s="48" t="s">
        <v>35</v>
      </c>
      <c r="C31" s="17" t="s">
        <v>31</v>
      </c>
      <c r="D31" s="18">
        <v>186860</v>
      </c>
      <c r="E31" s="18">
        <v>186860</v>
      </c>
      <c r="F31" s="18">
        <v>171803</v>
      </c>
      <c r="G31" s="18">
        <v>32000</v>
      </c>
      <c r="H31" s="74">
        <f t="shared" si="2"/>
        <v>0.9194209568661029</v>
      </c>
      <c r="I31" s="18">
        <v>186530</v>
      </c>
      <c r="J31" s="18">
        <v>186530</v>
      </c>
      <c r="K31" s="18">
        <v>171226</v>
      </c>
      <c r="L31" s="18">
        <v>46116</v>
      </c>
      <c r="M31" s="74">
        <f t="shared" si="0"/>
        <v>0.9179542164799228</v>
      </c>
    </row>
    <row r="32" spans="1:13" ht="25.5" customHeight="1">
      <c r="A32" s="72"/>
      <c r="B32" s="49" t="s">
        <v>35</v>
      </c>
      <c r="C32" s="36" t="s">
        <v>79</v>
      </c>
      <c r="D32" s="20">
        <v>118800</v>
      </c>
      <c r="E32" s="20">
        <v>118800</v>
      </c>
      <c r="F32" s="20">
        <v>94095</v>
      </c>
      <c r="G32" s="20">
        <v>11800</v>
      </c>
      <c r="H32" s="54">
        <f t="shared" si="2"/>
        <v>0.7920454545454545</v>
      </c>
      <c r="I32" s="20">
        <v>121120</v>
      </c>
      <c r="J32" s="20">
        <v>121120</v>
      </c>
      <c r="K32" s="20">
        <v>93913</v>
      </c>
      <c r="L32" s="20">
        <v>37497</v>
      </c>
      <c r="M32" s="54">
        <f t="shared" si="0"/>
        <v>0.7753715323645971</v>
      </c>
    </row>
    <row r="33" spans="1:13" ht="25.5" customHeight="1">
      <c r="A33" s="71"/>
      <c r="B33" s="47" t="s">
        <v>35</v>
      </c>
      <c r="C33" s="19" t="s">
        <v>72</v>
      </c>
      <c r="D33" s="24">
        <v>1475500</v>
      </c>
      <c r="E33" s="24">
        <v>1475500</v>
      </c>
      <c r="F33" s="24">
        <v>1300603</v>
      </c>
      <c r="G33" s="24">
        <v>1900</v>
      </c>
      <c r="H33" s="63">
        <f t="shared" si="2"/>
        <v>0.8814659437478821</v>
      </c>
      <c r="I33" s="24">
        <v>1476170</v>
      </c>
      <c r="J33" s="24">
        <v>1476170</v>
      </c>
      <c r="K33" s="24">
        <v>1223598</v>
      </c>
      <c r="L33" s="185">
        <v>407572</v>
      </c>
      <c r="M33" s="63">
        <f t="shared" si="0"/>
        <v>0.8289004653935522</v>
      </c>
    </row>
    <row r="34" spans="1:13" ht="25.5" customHeight="1">
      <c r="A34" s="71"/>
      <c r="B34" s="48" t="s">
        <v>35</v>
      </c>
      <c r="C34" s="19" t="s">
        <v>74</v>
      </c>
      <c r="D34" s="24">
        <v>221620</v>
      </c>
      <c r="E34" s="24">
        <v>221620</v>
      </c>
      <c r="F34" s="24">
        <v>107006</v>
      </c>
      <c r="G34" s="24">
        <v>2500</v>
      </c>
      <c r="H34" s="50">
        <f t="shared" si="2"/>
        <v>0.4828354841620792</v>
      </c>
      <c r="I34" s="24">
        <v>221800</v>
      </c>
      <c r="J34" s="24">
        <v>221800</v>
      </c>
      <c r="K34" s="24">
        <v>107970</v>
      </c>
      <c r="L34" s="182">
        <v>33613</v>
      </c>
      <c r="M34" s="50">
        <f t="shared" si="0"/>
        <v>0.48678990081154194</v>
      </c>
    </row>
    <row r="35" spans="1:13" ht="25.5" customHeight="1">
      <c r="A35" s="72"/>
      <c r="B35" s="49" t="s">
        <v>35</v>
      </c>
      <c r="C35" s="36" t="s">
        <v>18</v>
      </c>
      <c r="D35" s="20">
        <v>184300</v>
      </c>
      <c r="E35" s="20">
        <v>184300</v>
      </c>
      <c r="F35" s="20">
        <v>114995</v>
      </c>
      <c r="G35" s="20">
        <v>18900</v>
      </c>
      <c r="H35" s="54">
        <f t="shared" si="2"/>
        <v>0.6239555073250136</v>
      </c>
      <c r="I35" s="20">
        <v>185730</v>
      </c>
      <c r="J35" s="20">
        <v>185730</v>
      </c>
      <c r="K35" s="20">
        <v>125616</v>
      </c>
      <c r="L35" s="20">
        <v>28844</v>
      </c>
      <c r="M35" s="54">
        <f t="shared" si="0"/>
        <v>0.6763366176708124</v>
      </c>
    </row>
    <row r="36" spans="1:13" ht="19.5" customHeight="1">
      <c r="A36" s="73">
        <v>854</v>
      </c>
      <c r="B36" s="68"/>
      <c r="C36" s="15" t="s">
        <v>36</v>
      </c>
      <c r="D36" s="16">
        <f>D37</f>
        <v>125100</v>
      </c>
      <c r="E36" s="16">
        <f>E37</f>
        <v>166600</v>
      </c>
      <c r="F36" s="16">
        <f>F37</f>
        <v>140891</v>
      </c>
      <c r="G36" s="16">
        <f>G37</f>
        <v>31900</v>
      </c>
      <c r="H36" s="75">
        <f>F36/E36</f>
        <v>0.8456842737094838</v>
      </c>
      <c r="I36" s="16">
        <f>I37</f>
        <v>127400</v>
      </c>
      <c r="J36" s="16">
        <f>J37</f>
        <v>168900</v>
      </c>
      <c r="K36" s="16">
        <f>K37</f>
        <v>143681</v>
      </c>
      <c r="L36" s="16">
        <f>L37</f>
        <v>25389</v>
      </c>
      <c r="M36" s="54">
        <f t="shared" si="0"/>
        <v>0.8506867969212552</v>
      </c>
    </row>
    <row r="37" spans="1:13" ht="27" customHeight="1">
      <c r="A37" s="71"/>
      <c r="B37" s="67" t="s">
        <v>37</v>
      </c>
      <c r="C37" s="33" t="s">
        <v>32</v>
      </c>
      <c r="D37" s="11">
        <v>125100</v>
      </c>
      <c r="E37" s="11">
        <v>166600</v>
      </c>
      <c r="F37" s="11">
        <v>140891</v>
      </c>
      <c r="G37" s="11">
        <v>31900</v>
      </c>
      <c r="H37" s="62">
        <f>F37/E37</f>
        <v>0.8456842737094838</v>
      </c>
      <c r="I37" s="11">
        <v>127400</v>
      </c>
      <c r="J37" s="11">
        <v>168900</v>
      </c>
      <c r="K37" s="11">
        <v>143681</v>
      </c>
      <c r="L37" s="11">
        <v>25389</v>
      </c>
      <c r="M37" s="62">
        <f t="shared" si="0"/>
        <v>0.8506867969212552</v>
      </c>
    </row>
    <row r="38" spans="1:13" ht="18.75" customHeight="1">
      <c r="A38" s="72"/>
      <c r="B38" s="41"/>
      <c r="C38" s="13" t="s">
        <v>10</v>
      </c>
      <c r="D38" s="14">
        <f>D39+D41+D54+D47</f>
        <v>12533670</v>
      </c>
      <c r="E38" s="14">
        <f>E39+E41+E54+E47</f>
        <v>16588176</v>
      </c>
      <c r="F38" s="14">
        <f>F41+F54+F39+F47</f>
        <v>14702634</v>
      </c>
      <c r="G38" s="14"/>
      <c r="H38" s="21">
        <f>F38/E38</f>
        <v>0.8863321681660479</v>
      </c>
      <c r="I38" s="14">
        <f>I39+I41+I54+I47</f>
        <v>12637986</v>
      </c>
      <c r="J38" s="14">
        <f>J39+J41+J54+J47</f>
        <v>17214438</v>
      </c>
      <c r="K38" s="14">
        <f>K39+K41+K54+K47</f>
        <v>15165546</v>
      </c>
      <c r="L38" s="14"/>
      <c r="M38" s="21">
        <f t="shared" si="0"/>
        <v>0.8809782811381934</v>
      </c>
    </row>
    <row r="39" spans="1:13" s="96" customFormat="1" ht="18.75" customHeight="1">
      <c r="A39" s="130">
        <v>750</v>
      </c>
      <c r="B39" s="131"/>
      <c r="C39" s="132" t="s">
        <v>38</v>
      </c>
      <c r="D39" s="133">
        <f>D40</f>
        <v>4505000</v>
      </c>
      <c r="E39" s="133">
        <f>E40</f>
        <v>4663526</v>
      </c>
      <c r="F39" s="133">
        <f>F40</f>
        <v>3558480</v>
      </c>
      <c r="G39" s="133"/>
      <c r="H39" s="122">
        <f>F39/E39</f>
        <v>0.7630449578280468</v>
      </c>
      <c r="I39" s="133">
        <f>I40</f>
        <v>4531105</v>
      </c>
      <c r="J39" s="133">
        <f>J40</f>
        <v>4986639</v>
      </c>
      <c r="K39" s="133">
        <f>K40</f>
        <v>3927365</v>
      </c>
      <c r="L39" s="133"/>
      <c r="M39" s="134">
        <f t="shared" si="0"/>
        <v>0.7875775647685745</v>
      </c>
    </row>
    <row r="40" spans="1:13" s="96" customFormat="1" ht="18.75" customHeight="1">
      <c r="A40" s="105"/>
      <c r="B40" s="106">
        <v>75023</v>
      </c>
      <c r="C40" s="135" t="s">
        <v>39</v>
      </c>
      <c r="D40" s="136">
        <v>4505000</v>
      </c>
      <c r="E40" s="136">
        <v>4663526</v>
      </c>
      <c r="F40" s="136">
        <v>3558480</v>
      </c>
      <c r="G40" s="136"/>
      <c r="H40" s="122">
        <f>F40/E40</f>
        <v>0.7630449578280468</v>
      </c>
      <c r="I40" s="136">
        <v>4531105</v>
      </c>
      <c r="J40" s="136">
        <v>4986639</v>
      </c>
      <c r="K40" s="136">
        <v>3927365</v>
      </c>
      <c r="L40" s="136"/>
      <c r="M40" s="137">
        <f t="shared" si="0"/>
        <v>0.7875775647685745</v>
      </c>
    </row>
    <row r="41" spans="1:13" ht="19.5" customHeight="1">
      <c r="A41" s="70">
        <v>801</v>
      </c>
      <c r="B41" s="41"/>
      <c r="C41" s="15" t="s">
        <v>21</v>
      </c>
      <c r="D41" s="16">
        <f>SUM(D42:D46)</f>
        <v>1123260</v>
      </c>
      <c r="E41" s="16">
        <f>SUM(E42:E46)</f>
        <v>1386206</v>
      </c>
      <c r="F41" s="16">
        <f>SUM(F42:F46)</f>
        <v>1002748</v>
      </c>
      <c r="G41" s="16"/>
      <c r="H41" s="23">
        <f aca="true" t="shared" si="3" ref="H41:H46">F41/E41</f>
        <v>0.7233758907406258</v>
      </c>
      <c r="I41" s="16">
        <f>SUM(I42:I46)</f>
        <v>1122571</v>
      </c>
      <c r="J41" s="16">
        <f>SUM(J42:J46)</f>
        <v>1628613</v>
      </c>
      <c r="K41" s="16">
        <f>SUM(K42:K46)</f>
        <v>1275625</v>
      </c>
      <c r="L41" s="16"/>
      <c r="M41" s="23">
        <f t="shared" si="0"/>
        <v>0.7832585150677294</v>
      </c>
    </row>
    <row r="42" spans="1:13" s="116" customFormat="1" ht="18" customHeight="1">
      <c r="A42" s="110"/>
      <c r="B42" s="138">
        <v>80101</v>
      </c>
      <c r="C42" s="139" t="s">
        <v>11</v>
      </c>
      <c r="D42" s="140">
        <v>190756</v>
      </c>
      <c r="E42" s="140">
        <f>190756+112399</f>
        <v>303155</v>
      </c>
      <c r="F42" s="140">
        <f>147476+112236</f>
        <v>259712</v>
      </c>
      <c r="G42" s="140"/>
      <c r="H42" s="141">
        <f t="shared" si="3"/>
        <v>0.8566970691560423</v>
      </c>
      <c r="I42" s="140">
        <v>218551</v>
      </c>
      <c r="J42" s="140">
        <f>299860+100987</f>
        <v>400847</v>
      </c>
      <c r="K42" s="140">
        <f>171456+95243</f>
        <v>266699</v>
      </c>
      <c r="L42" s="140"/>
      <c r="M42" s="141">
        <f t="shared" si="0"/>
        <v>0.6653386454183267</v>
      </c>
    </row>
    <row r="43" spans="1:13" s="116" customFormat="1" ht="18" customHeight="1">
      <c r="A43" s="110"/>
      <c r="B43" s="142">
        <v>80110</v>
      </c>
      <c r="C43" s="143" t="s">
        <v>66</v>
      </c>
      <c r="D43" s="144">
        <v>59576</v>
      </c>
      <c r="E43" s="144">
        <f>75470+13071</f>
        <v>88541</v>
      </c>
      <c r="F43" s="144">
        <f>79120+13069</f>
        <v>92189</v>
      </c>
      <c r="G43" s="144"/>
      <c r="H43" s="145">
        <f t="shared" si="3"/>
        <v>1.0412012513976576</v>
      </c>
      <c r="I43" s="144">
        <v>59012</v>
      </c>
      <c r="J43" s="144">
        <f>102034+12734</f>
        <v>114768</v>
      </c>
      <c r="K43" s="144">
        <f>68141+12732</f>
        <v>80873</v>
      </c>
      <c r="L43" s="114"/>
      <c r="M43" s="146">
        <f t="shared" si="0"/>
        <v>0.7046650634323156</v>
      </c>
    </row>
    <row r="44" spans="1:13" s="116" customFormat="1" ht="18" customHeight="1">
      <c r="A44" s="110"/>
      <c r="B44" s="147">
        <v>80120</v>
      </c>
      <c r="C44" s="148" t="s">
        <v>12</v>
      </c>
      <c r="D44" s="149">
        <v>26890</v>
      </c>
      <c r="E44" s="149">
        <f>72026+37130</f>
        <v>109156</v>
      </c>
      <c r="F44" s="149">
        <f>-141909+37129</f>
        <v>-104780</v>
      </c>
      <c r="G44" s="149"/>
      <c r="H44" s="145"/>
      <c r="I44" s="149">
        <v>26890</v>
      </c>
      <c r="J44" s="149">
        <f>76242+28830</f>
        <v>105072</v>
      </c>
      <c r="K44" s="149">
        <f>76235+28370</f>
        <v>104605</v>
      </c>
      <c r="L44" s="183"/>
      <c r="M44" s="146">
        <f t="shared" si="0"/>
        <v>0.9955554286584437</v>
      </c>
    </row>
    <row r="45" spans="1:13" s="116" customFormat="1" ht="18" customHeight="1">
      <c r="A45" s="110"/>
      <c r="B45" s="147">
        <v>80130</v>
      </c>
      <c r="C45" s="148" t="s">
        <v>64</v>
      </c>
      <c r="D45" s="149">
        <v>281820</v>
      </c>
      <c r="E45" s="149">
        <f>291250+27886</f>
        <v>319136</v>
      </c>
      <c r="F45" s="149">
        <f>203693+27886</f>
        <v>231579</v>
      </c>
      <c r="G45" s="149"/>
      <c r="H45" s="145">
        <f t="shared" si="3"/>
        <v>0.725643612754437</v>
      </c>
      <c r="I45" s="149">
        <v>223900</v>
      </c>
      <c r="J45" s="149">
        <f>385690+27886</f>
        <v>413576</v>
      </c>
      <c r="K45" s="149">
        <f>245499+27886</f>
        <v>273385</v>
      </c>
      <c r="L45" s="183"/>
      <c r="M45" s="146">
        <f t="shared" si="0"/>
        <v>0.6610272356229568</v>
      </c>
    </row>
    <row r="46" spans="1:13" s="116" customFormat="1" ht="38.25" customHeight="1">
      <c r="A46" s="117"/>
      <c r="B46" s="118">
        <v>80140</v>
      </c>
      <c r="C46" s="150" t="s">
        <v>63</v>
      </c>
      <c r="D46" s="121">
        <v>564218</v>
      </c>
      <c r="E46" s="121">
        <f>566218</f>
        <v>566218</v>
      </c>
      <c r="F46" s="121">
        <v>524048</v>
      </c>
      <c r="G46" s="121"/>
      <c r="H46" s="122">
        <f t="shared" si="3"/>
        <v>0.9255233849859948</v>
      </c>
      <c r="I46" s="121">
        <v>594218</v>
      </c>
      <c r="J46" s="121">
        <v>594350</v>
      </c>
      <c r="K46" s="121">
        <v>550063</v>
      </c>
      <c r="L46" s="121"/>
      <c r="M46" s="122">
        <f t="shared" si="0"/>
        <v>0.9254866661058299</v>
      </c>
    </row>
    <row r="47" spans="1:13" s="96" customFormat="1" ht="18.75" customHeight="1">
      <c r="A47" s="186">
        <v>853</v>
      </c>
      <c r="B47" s="151"/>
      <c r="C47" s="152" t="s">
        <v>30</v>
      </c>
      <c r="D47" s="153">
        <f>SUM(D48:D53)</f>
        <v>608210</v>
      </c>
      <c r="E47" s="153">
        <f>SUM(E48:E53)</f>
        <v>734572</v>
      </c>
      <c r="F47" s="153">
        <f>SUM(F48:F53)</f>
        <v>639270</v>
      </c>
      <c r="G47" s="153"/>
      <c r="H47" s="134">
        <f aca="true" t="shared" si="4" ref="H47:H69">F47/E47</f>
        <v>0.8702618667741215</v>
      </c>
      <c r="I47" s="153">
        <f>SUM(I48:I53)</f>
        <v>621310</v>
      </c>
      <c r="J47" s="153">
        <f>SUM(J48:J53)</f>
        <v>797854</v>
      </c>
      <c r="K47" s="153">
        <f>SUM(K48:K53)</f>
        <v>645261</v>
      </c>
      <c r="L47" s="133"/>
      <c r="M47" s="134">
        <f t="shared" si="0"/>
        <v>0.8087457103680623</v>
      </c>
    </row>
    <row r="48" spans="1:13" s="96" customFormat="1" ht="18.75" customHeight="1">
      <c r="A48" s="92"/>
      <c r="B48" s="93">
        <v>85301</v>
      </c>
      <c r="C48" s="94" t="s">
        <v>40</v>
      </c>
      <c r="D48" s="95">
        <v>80050</v>
      </c>
      <c r="E48" s="95">
        <f>68525+56942+17500+8300+1593</f>
        <v>152860</v>
      </c>
      <c r="F48" s="95">
        <f>68524+56942+13204+6835+1593</f>
        <v>147098</v>
      </c>
      <c r="G48" s="95"/>
      <c r="H48" s="104">
        <f t="shared" si="4"/>
        <v>0.96230537746958</v>
      </c>
      <c r="I48" s="95">
        <v>92050</v>
      </c>
      <c r="J48" s="95">
        <f>84300+60000+25109+8250+1593</f>
        <v>179252</v>
      </c>
      <c r="K48" s="95">
        <f>53944+41688+20813+6947+108</f>
        <v>123500</v>
      </c>
      <c r="L48" s="99"/>
      <c r="M48" s="104">
        <f t="shared" si="0"/>
        <v>0.6889741815990895</v>
      </c>
    </row>
    <row r="49" spans="1:13" s="96" customFormat="1" ht="18.75" customHeight="1">
      <c r="A49" s="92"/>
      <c r="B49" s="101">
        <v>85302</v>
      </c>
      <c r="C49" s="102" t="s">
        <v>15</v>
      </c>
      <c r="D49" s="103">
        <v>4200</v>
      </c>
      <c r="E49" s="103">
        <f>27847+6274+200</f>
        <v>34321</v>
      </c>
      <c r="F49" s="103">
        <f>25148+6274+191</f>
        <v>31613</v>
      </c>
      <c r="G49" s="103"/>
      <c r="H49" s="104">
        <f t="shared" si="4"/>
        <v>0.9210978701086798</v>
      </c>
      <c r="I49" s="103">
        <v>5300</v>
      </c>
      <c r="J49" s="103">
        <f>35080+6200+1790</f>
        <v>43070</v>
      </c>
      <c r="K49" s="103">
        <f>31751+5692+1781</f>
        <v>39224</v>
      </c>
      <c r="L49" s="103"/>
      <c r="M49" s="104">
        <f t="shared" si="0"/>
        <v>0.9107035059205943</v>
      </c>
    </row>
    <row r="50" spans="1:13" s="96" customFormat="1" ht="18.75" customHeight="1">
      <c r="A50" s="92"/>
      <c r="B50" s="97">
        <v>85303</v>
      </c>
      <c r="C50" s="98" t="s">
        <v>55</v>
      </c>
      <c r="D50" s="99">
        <v>206960</v>
      </c>
      <c r="E50" s="99">
        <f>208069+4631</f>
        <v>212700</v>
      </c>
      <c r="F50" s="99">
        <f>181913+4632</f>
        <v>186545</v>
      </c>
      <c r="G50" s="99"/>
      <c r="H50" s="100">
        <f t="shared" si="4"/>
        <v>0.8770333803479079</v>
      </c>
      <c r="I50" s="99">
        <v>206960</v>
      </c>
      <c r="J50" s="99">
        <f>206960+11981</f>
        <v>218941</v>
      </c>
      <c r="K50" s="99">
        <f>179140+10373</f>
        <v>189513</v>
      </c>
      <c r="L50" s="99"/>
      <c r="M50" s="100">
        <f>K50/J50</f>
        <v>0.8655893596905102</v>
      </c>
    </row>
    <row r="51" spans="1:13" s="96" customFormat="1" ht="18.75" customHeight="1">
      <c r="A51" s="92"/>
      <c r="B51" s="101">
        <v>85305</v>
      </c>
      <c r="C51" s="102" t="s">
        <v>14</v>
      </c>
      <c r="D51" s="103">
        <v>316000</v>
      </c>
      <c r="E51" s="103">
        <f>323600+650</f>
        <v>324250</v>
      </c>
      <c r="F51" s="103">
        <v>263574</v>
      </c>
      <c r="G51" s="103"/>
      <c r="H51" s="104">
        <f t="shared" si="4"/>
        <v>0.8128727833461835</v>
      </c>
      <c r="I51" s="103">
        <v>316000</v>
      </c>
      <c r="J51" s="103">
        <v>346150</v>
      </c>
      <c r="K51" s="103">
        <v>285474</v>
      </c>
      <c r="L51" s="103"/>
      <c r="M51" s="104">
        <f>K51/J51</f>
        <v>0.8247118301314459</v>
      </c>
    </row>
    <row r="52" spans="1:13" s="96" customFormat="1" ht="18.75" customHeight="1">
      <c r="A52" s="92"/>
      <c r="B52" s="101">
        <v>85319</v>
      </c>
      <c r="C52" s="102" t="s">
        <v>68</v>
      </c>
      <c r="D52" s="103"/>
      <c r="E52" s="103">
        <v>6647</v>
      </c>
      <c r="F52" s="103">
        <v>6647</v>
      </c>
      <c r="G52" s="103"/>
      <c r="H52" s="104">
        <f t="shared" si="4"/>
        <v>1</v>
      </c>
      <c r="I52" s="103"/>
      <c r="J52" s="103">
        <v>6647</v>
      </c>
      <c r="K52" s="103">
        <v>6647</v>
      </c>
      <c r="L52" s="103"/>
      <c r="M52" s="104">
        <f>K52/J52</f>
        <v>1</v>
      </c>
    </row>
    <row r="53" spans="1:13" s="96" customFormat="1" ht="19.5" customHeight="1">
      <c r="A53" s="92"/>
      <c r="B53" s="97">
        <v>85326</v>
      </c>
      <c r="C53" s="98" t="s">
        <v>49</v>
      </c>
      <c r="D53" s="99">
        <v>1000</v>
      </c>
      <c r="E53" s="99">
        <v>3794</v>
      </c>
      <c r="F53" s="99">
        <v>3793</v>
      </c>
      <c r="G53" s="99"/>
      <c r="H53" s="100">
        <f t="shared" si="4"/>
        <v>0.9997364259356879</v>
      </c>
      <c r="I53" s="99">
        <v>1000</v>
      </c>
      <c r="J53" s="99">
        <v>3794</v>
      </c>
      <c r="K53" s="99">
        <v>903</v>
      </c>
      <c r="L53" s="99"/>
      <c r="M53" s="104">
        <f>K53/J53</f>
        <v>0.23800738007380073</v>
      </c>
    </row>
    <row r="54" spans="1:13" s="96" customFormat="1" ht="19.5" customHeight="1">
      <c r="A54" s="186">
        <v>854</v>
      </c>
      <c r="B54" s="151"/>
      <c r="C54" s="152" t="s">
        <v>36</v>
      </c>
      <c r="D54" s="153">
        <f>SUM(D55:D58)</f>
        <v>6297200</v>
      </c>
      <c r="E54" s="153">
        <f>SUM(E55:E58)</f>
        <v>9803872</v>
      </c>
      <c r="F54" s="153">
        <f>SUM(F55:F58)</f>
        <v>9502136</v>
      </c>
      <c r="G54" s="153"/>
      <c r="H54" s="158">
        <f>F54/E54</f>
        <v>0.9692227723903372</v>
      </c>
      <c r="I54" s="153">
        <f>SUM(I55:I58)</f>
        <v>6363000</v>
      </c>
      <c r="J54" s="153">
        <f>SUM(J55:J58)</f>
        <v>9801332</v>
      </c>
      <c r="K54" s="153">
        <f>SUM(K55:K58)</f>
        <v>9317295</v>
      </c>
      <c r="L54" s="153"/>
      <c r="M54" s="158">
        <f t="shared" si="0"/>
        <v>0.9506151816916313</v>
      </c>
    </row>
    <row r="55" spans="1:13" s="96" customFormat="1" ht="18.75" customHeight="1">
      <c r="A55" s="92"/>
      <c r="B55" s="97">
        <v>85403</v>
      </c>
      <c r="C55" s="143" t="s">
        <v>41</v>
      </c>
      <c r="D55" s="99">
        <v>75200</v>
      </c>
      <c r="E55" s="99">
        <f>77200+72421</f>
        <v>149621</v>
      </c>
      <c r="F55" s="99">
        <f>72418+56597</f>
        <v>129015</v>
      </c>
      <c r="G55" s="99"/>
      <c r="H55" s="100">
        <f t="shared" si="4"/>
        <v>0.8622786908254857</v>
      </c>
      <c r="I55" s="99">
        <v>84200</v>
      </c>
      <c r="J55" s="99">
        <f>65980+66659</f>
        <v>132639</v>
      </c>
      <c r="K55" s="99">
        <f>66655+53385</f>
        <v>120040</v>
      </c>
      <c r="L55" s="99"/>
      <c r="M55" s="100">
        <f t="shared" si="0"/>
        <v>0.9050128544394936</v>
      </c>
    </row>
    <row r="56" spans="1:13" s="96" customFormat="1" ht="18.75" customHeight="1">
      <c r="A56" s="92"/>
      <c r="B56" s="101">
        <v>85404</v>
      </c>
      <c r="C56" s="148" t="s">
        <v>50</v>
      </c>
      <c r="D56" s="103"/>
      <c r="E56" s="103">
        <f>3409175+3605</f>
        <v>3412780</v>
      </c>
      <c r="F56" s="103">
        <f>3375884+3605</f>
        <v>3379489</v>
      </c>
      <c r="G56" s="103"/>
      <c r="H56" s="104">
        <f t="shared" si="4"/>
        <v>0.9902451959985701</v>
      </c>
      <c r="I56" s="103"/>
      <c r="J56" s="103">
        <f>3341550+7252</f>
        <v>3348802</v>
      </c>
      <c r="K56" s="103">
        <f>3341140+3723</f>
        <v>3344863</v>
      </c>
      <c r="L56" s="103"/>
      <c r="M56" s="104">
        <f t="shared" si="0"/>
        <v>0.9988237584664605</v>
      </c>
    </row>
    <row r="57" spans="1:13" s="96" customFormat="1" ht="18.75" customHeight="1">
      <c r="A57" s="92"/>
      <c r="B57" s="101">
        <v>85407</v>
      </c>
      <c r="C57" s="102" t="s">
        <v>13</v>
      </c>
      <c r="D57" s="103">
        <v>10500</v>
      </c>
      <c r="E57" s="103">
        <f>11000+2250</f>
        <v>13250</v>
      </c>
      <c r="F57" s="103">
        <f>7766+2250</f>
        <v>10016</v>
      </c>
      <c r="G57" s="103"/>
      <c r="H57" s="104">
        <f t="shared" si="4"/>
        <v>0.7559245283018868</v>
      </c>
      <c r="I57" s="103">
        <v>10500</v>
      </c>
      <c r="J57" s="103">
        <f>11727+1492</f>
        <v>13219</v>
      </c>
      <c r="K57" s="103">
        <f>9121+1492</f>
        <v>10613</v>
      </c>
      <c r="L57" s="103"/>
      <c r="M57" s="104">
        <f t="shared" si="0"/>
        <v>0.8028595203873213</v>
      </c>
    </row>
    <row r="58" spans="1:13" s="96" customFormat="1" ht="18.75" customHeight="1">
      <c r="A58" s="92"/>
      <c r="B58" s="155">
        <v>85495</v>
      </c>
      <c r="C58" s="159" t="s">
        <v>65</v>
      </c>
      <c r="D58" s="156">
        <v>6211500</v>
      </c>
      <c r="E58" s="156">
        <f>6211500+16721</f>
        <v>6228221</v>
      </c>
      <c r="F58" s="156">
        <f>5967896+15720</f>
        <v>5983616</v>
      </c>
      <c r="G58" s="156"/>
      <c r="H58" s="157">
        <f>F58/E58</f>
        <v>0.9607263454524173</v>
      </c>
      <c r="I58" s="156">
        <v>6268300</v>
      </c>
      <c r="J58" s="156">
        <f>6296360+10312</f>
        <v>6306672</v>
      </c>
      <c r="K58" s="156">
        <f>5832467+9312</f>
        <v>5841779</v>
      </c>
      <c r="L58" s="156"/>
      <c r="M58" s="157">
        <f t="shared" si="0"/>
        <v>0.9262855274540994</v>
      </c>
    </row>
    <row r="59" spans="1:13" s="96" customFormat="1" ht="27.75" customHeight="1" thickBot="1">
      <c r="A59" s="92"/>
      <c r="B59" s="160"/>
      <c r="C59" s="161" t="s">
        <v>71</v>
      </c>
      <c r="D59" s="162">
        <f aca="true" t="shared" si="5" ref="D59:F61">D60</f>
        <v>15000</v>
      </c>
      <c r="E59" s="162">
        <f t="shared" si="5"/>
        <v>15000</v>
      </c>
      <c r="F59" s="162">
        <f t="shared" si="5"/>
        <v>2642</v>
      </c>
      <c r="G59" s="162"/>
      <c r="H59" s="163">
        <f t="shared" si="4"/>
        <v>0.17613333333333334</v>
      </c>
      <c r="I59" s="162">
        <f aca="true" t="shared" si="6" ref="I59:K61">I60</f>
        <v>15000</v>
      </c>
      <c r="J59" s="162">
        <f t="shared" si="6"/>
        <v>15000</v>
      </c>
      <c r="K59" s="162">
        <f t="shared" si="6"/>
        <v>2679</v>
      </c>
      <c r="L59" s="162"/>
      <c r="M59" s="163">
        <f t="shared" si="0"/>
        <v>0.1786</v>
      </c>
    </row>
    <row r="60" spans="1:13" s="96" customFormat="1" ht="21.75" customHeight="1" thickTop="1">
      <c r="A60" s="154"/>
      <c r="B60" s="168"/>
      <c r="C60" s="165" t="s">
        <v>10</v>
      </c>
      <c r="D60" s="166">
        <f t="shared" si="5"/>
        <v>15000</v>
      </c>
      <c r="E60" s="166">
        <f t="shared" si="5"/>
        <v>15000</v>
      </c>
      <c r="F60" s="166">
        <f t="shared" si="5"/>
        <v>2642</v>
      </c>
      <c r="G60" s="166"/>
      <c r="H60" s="167">
        <f t="shared" si="4"/>
        <v>0.17613333333333334</v>
      </c>
      <c r="I60" s="166">
        <f t="shared" si="6"/>
        <v>15000</v>
      </c>
      <c r="J60" s="166">
        <f t="shared" si="6"/>
        <v>15000</v>
      </c>
      <c r="K60" s="166">
        <f t="shared" si="6"/>
        <v>2679</v>
      </c>
      <c r="L60" s="166"/>
      <c r="M60" s="167">
        <f t="shared" si="0"/>
        <v>0.1786</v>
      </c>
    </row>
    <row r="61" spans="1:13" s="181" customFormat="1" ht="18.75" customHeight="1">
      <c r="A61" s="133">
        <v>801</v>
      </c>
      <c r="B61" s="179"/>
      <c r="C61" s="180" t="s">
        <v>21</v>
      </c>
      <c r="D61" s="133">
        <f t="shared" si="5"/>
        <v>15000</v>
      </c>
      <c r="E61" s="133">
        <f t="shared" si="5"/>
        <v>15000</v>
      </c>
      <c r="F61" s="133">
        <f t="shared" si="5"/>
        <v>2642</v>
      </c>
      <c r="G61" s="133"/>
      <c r="H61" s="134">
        <f t="shared" si="4"/>
        <v>0.17613333333333334</v>
      </c>
      <c r="I61" s="133">
        <f t="shared" si="6"/>
        <v>15000</v>
      </c>
      <c r="J61" s="133">
        <f t="shared" si="6"/>
        <v>15000</v>
      </c>
      <c r="K61" s="133">
        <f t="shared" si="6"/>
        <v>2679</v>
      </c>
      <c r="L61" s="133"/>
      <c r="M61" s="134">
        <f t="shared" si="0"/>
        <v>0.1786</v>
      </c>
    </row>
    <row r="62" spans="1:13" s="173" customFormat="1" ht="18.75" customHeight="1">
      <c r="A62" s="178"/>
      <c r="B62" s="175">
        <v>80132</v>
      </c>
      <c r="C62" s="174" t="s">
        <v>28</v>
      </c>
      <c r="D62" s="108">
        <v>15000</v>
      </c>
      <c r="E62" s="108">
        <v>15000</v>
      </c>
      <c r="F62" s="108">
        <v>2642</v>
      </c>
      <c r="G62" s="108"/>
      <c r="H62" s="109">
        <f t="shared" si="4"/>
        <v>0.17613333333333334</v>
      </c>
      <c r="I62" s="108">
        <v>15000</v>
      </c>
      <c r="J62" s="108">
        <v>15000</v>
      </c>
      <c r="K62" s="108">
        <v>2679</v>
      </c>
      <c r="L62" s="108"/>
      <c r="M62" s="109">
        <f t="shared" si="0"/>
        <v>0.1786</v>
      </c>
    </row>
    <row r="63" spans="1:13" s="96" customFormat="1" ht="20.25" customHeight="1" thickBot="1">
      <c r="A63" s="92"/>
      <c r="B63" s="160"/>
      <c r="C63" s="161" t="s">
        <v>29</v>
      </c>
      <c r="D63" s="162">
        <f>D64</f>
        <v>810700</v>
      </c>
      <c r="E63" s="162">
        <f>E64</f>
        <v>823233</v>
      </c>
      <c r="F63" s="162">
        <f>F64</f>
        <v>829589</v>
      </c>
      <c r="G63" s="162"/>
      <c r="H63" s="163">
        <f t="shared" si="4"/>
        <v>1.0077207789289302</v>
      </c>
      <c r="I63" s="162">
        <f>I64</f>
        <v>831300</v>
      </c>
      <c r="J63" s="162">
        <f>J64</f>
        <v>862083</v>
      </c>
      <c r="K63" s="162">
        <f>K64</f>
        <v>824094</v>
      </c>
      <c r="L63" s="162"/>
      <c r="M63" s="163">
        <f t="shared" si="0"/>
        <v>0.9559334774029878</v>
      </c>
    </row>
    <row r="64" spans="1:13" s="96" customFormat="1" ht="21.75" customHeight="1" thickTop="1">
      <c r="A64" s="92"/>
      <c r="B64" s="164"/>
      <c r="C64" s="165" t="s">
        <v>10</v>
      </c>
      <c r="D64" s="166">
        <f>D67+D65</f>
        <v>810700</v>
      </c>
      <c r="E64" s="166">
        <f>E67+E65</f>
        <v>823233</v>
      </c>
      <c r="F64" s="166">
        <f>F67+F65</f>
        <v>829589</v>
      </c>
      <c r="G64" s="166"/>
      <c r="H64" s="167">
        <f t="shared" si="4"/>
        <v>1.0077207789289302</v>
      </c>
      <c r="I64" s="166">
        <f>I67+I65</f>
        <v>831300</v>
      </c>
      <c r="J64" s="166">
        <f>J67+J65</f>
        <v>862083</v>
      </c>
      <c r="K64" s="166">
        <f>K67+K65</f>
        <v>824094</v>
      </c>
      <c r="L64" s="166"/>
      <c r="M64" s="167">
        <f t="shared" si="0"/>
        <v>0.9559334774029878</v>
      </c>
    </row>
    <row r="65" spans="1:13" s="96" customFormat="1" ht="28.5" customHeight="1">
      <c r="A65" s="154"/>
      <c r="B65" s="168"/>
      <c r="C65" s="169" t="s">
        <v>75</v>
      </c>
      <c r="D65" s="166"/>
      <c r="E65" s="166"/>
      <c r="F65" s="166"/>
      <c r="G65" s="166"/>
      <c r="H65" s="167"/>
      <c r="I65" s="166"/>
      <c r="J65" s="166">
        <f>J66</f>
        <v>50</v>
      </c>
      <c r="K65" s="166">
        <f>K66</f>
        <v>50</v>
      </c>
      <c r="L65" s="166"/>
      <c r="M65" s="167"/>
    </row>
    <row r="66" spans="1:13" s="96" customFormat="1" ht="19.5" customHeight="1">
      <c r="A66" s="170" t="s">
        <v>76</v>
      </c>
      <c r="B66" s="171" t="s">
        <v>77</v>
      </c>
      <c r="C66" s="119" t="s">
        <v>55</v>
      </c>
      <c r="D66" s="136"/>
      <c r="E66" s="136"/>
      <c r="F66" s="136"/>
      <c r="G66" s="136"/>
      <c r="H66" s="137"/>
      <c r="I66" s="136"/>
      <c r="J66" s="136">
        <v>50</v>
      </c>
      <c r="K66" s="136">
        <v>50</v>
      </c>
      <c r="L66" s="136"/>
      <c r="M66" s="137"/>
    </row>
    <row r="67" spans="1:13" s="96" customFormat="1" ht="28.5" customHeight="1">
      <c r="A67" s="154"/>
      <c r="B67" s="168"/>
      <c r="C67" s="169" t="s">
        <v>54</v>
      </c>
      <c r="D67" s="166">
        <f>D68+D69+D70+D71</f>
        <v>810700</v>
      </c>
      <c r="E67" s="166">
        <f>E68+E69+E70+E71</f>
        <v>823233</v>
      </c>
      <c r="F67" s="166">
        <f>F68+F69+F70+F71</f>
        <v>829589</v>
      </c>
      <c r="G67" s="166"/>
      <c r="H67" s="167">
        <f t="shared" si="4"/>
        <v>1.0077207789289302</v>
      </c>
      <c r="I67" s="166">
        <f>I68+I69+I70+I71</f>
        <v>831300</v>
      </c>
      <c r="J67" s="166">
        <f>J68+J69+J70+J71</f>
        <v>862033</v>
      </c>
      <c r="K67" s="166">
        <f>K68+K69+K70+K71</f>
        <v>824044</v>
      </c>
      <c r="L67" s="166"/>
      <c r="M67" s="167">
        <f t="shared" si="0"/>
        <v>0.9559309214380424</v>
      </c>
    </row>
    <row r="68" spans="1:13" s="96" customFormat="1" ht="19.5" customHeight="1">
      <c r="A68" s="170" t="s">
        <v>43</v>
      </c>
      <c r="B68" s="171" t="s">
        <v>42</v>
      </c>
      <c r="C68" s="119" t="s">
        <v>60</v>
      </c>
      <c r="D68" s="136">
        <v>45000</v>
      </c>
      <c r="E68" s="136">
        <v>45000</v>
      </c>
      <c r="F68" s="136">
        <v>53001</v>
      </c>
      <c r="G68" s="136"/>
      <c r="H68" s="137">
        <f t="shared" si="4"/>
        <v>1.1778</v>
      </c>
      <c r="I68" s="136">
        <v>65300</v>
      </c>
      <c r="J68" s="136">
        <v>65300</v>
      </c>
      <c r="K68" s="136">
        <v>48641</v>
      </c>
      <c r="L68" s="136"/>
      <c r="M68" s="137">
        <f t="shared" si="0"/>
        <v>0.7448851454823889</v>
      </c>
    </row>
    <row r="69" spans="1:13" s="96" customFormat="1" ht="19.5" customHeight="1">
      <c r="A69" s="172" t="s">
        <v>44</v>
      </c>
      <c r="B69" s="171" t="s">
        <v>45</v>
      </c>
      <c r="C69" s="119" t="s">
        <v>22</v>
      </c>
      <c r="D69" s="136"/>
      <c r="E69" s="136">
        <v>79933</v>
      </c>
      <c r="F69" s="136">
        <v>79933</v>
      </c>
      <c r="G69" s="136"/>
      <c r="H69" s="137">
        <f t="shared" si="4"/>
        <v>1</v>
      </c>
      <c r="I69" s="136"/>
      <c r="J69" s="136">
        <v>79933</v>
      </c>
      <c r="K69" s="136">
        <v>63718</v>
      </c>
      <c r="L69" s="136"/>
      <c r="M69" s="137">
        <f t="shared" si="0"/>
        <v>0.7971426069333066</v>
      </c>
    </row>
    <row r="70" spans="1:13" s="96" customFormat="1" ht="25.5" customHeight="1">
      <c r="A70" s="172" t="s">
        <v>44</v>
      </c>
      <c r="B70" s="171" t="s">
        <v>46</v>
      </c>
      <c r="C70" s="119" t="s">
        <v>23</v>
      </c>
      <c r="D70" s="136">
        <v>445000</v>
      </c>
      <c r="E70" s="136">
        <v>698300</v>
      </c>
      <c r="F70" s="136">
        <v>696655</v>
      </c>
      <c r="G70" s="136"/>
      <c r="H70" s="137">
        <f>F70/E70</f>
        <v>0.9976442789631963</v>
      </c>
      <c r="I70" s="136">
        <v>445300</v>
      </c>
      <c r="J70" s="136">
        <v>716800</v>
      </c>
      <c r="K70" s="136">
        <v>711685</v>
      </c>
      <c r="L70" s="136"/>
      <c r="M70" s="137">
        <f>K70/J70</f>
        <v>0.9928641183035715</v>
      </c>
    </row>
    <row r="71" spans="1:13" s="96" customFormat="1" ht="19.5" customHeight="1">
      <c r="A71" s="172" t="s">
        <v>47</v>
      </c>
      <c r="B71" s="171" t="s">
        <v>48</v>
      </c>
      <c r="C71" s="119" t="s">
        <v>61</v>
      </c>
      <c r="D71" s="136">
        <v>320700</v>
      </c>
      <c r="E71" s="136"/>
      <c r="F71" s="136"/>
      <c r="G71" s="136"/>
      <c r="H71" s="137"/>
      <c r="I71" s="136">
        <v>320700</v>
      </c>
      <c r="J71" s="136"/>
      <c r="K71" s="136"/>
      <c r="L71" s="136"/>
      <c r="M71" s="137"/>
    </row>
  </sheetData>
  <mergeCells count="2">
    <mergeCell ref="F8:G8"/>
    <mergeCell ref="K8:L8"/>
  </mergeCells>
  <printOptions horizontalCentered="1"/>
  <pageMargins left="0.6692913385826772" right="0.4330708661417323" top="0.5905511811023623" bottom="0.6692913385826772" header="0.5118110236220472" footer="0.5118110236220472"/>
  <pageSetup firstPageNumber="56" useFirstPageNumber="1" horizontalDpi="300" verticalDpi="300" orientation="landscape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Finansowy</dc:creator>
  <cp:keywords/>
  <dc:description/>
  <cp:lastModifiedBy>Urząd Miejski w Lublinie Urzą</cp:lastModifiedBy>
  <cp:lastPrinted>2003-03-13T16:21:27Z</cp:lastPrinted>
  <dcterms:created xsi:type="dcterms:W3CDTF">1999-07-21T05:51:07Z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