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075" activeTab="0"/>
  </bookViews>
  <sheets>
    <sheet name="inwest" sheetId="1" r:id="rId1"/>
  </sheets>
  <definedNames>
    <definedName name="_xlnm.Print_Titles" localSheetId="0">'inwest'!$7:$11</definedName>
  </definedNames>
  <calcPr fullCalcOnLoad="1"/>
</workbook>
</file>

<file path=xl/sharedStrings.xml><?xml version="1.0" encoding="utf-8"?>
<sst xmlns="http://schemas.openxmlformats.org/spreadsheetml/2006/main" count="277" uniqueCount="203">
  <si>
    <t>w złotych</t>
  </si>
  <si>
    <t>Wydatki</t>
  </si>
  <si>
    <t>z tego:</t>
  </si>
  <si>
    <t>Dział</t>
  </si>
  <si>
    <t>Rozdz.</t>
  </si>
  <si>
    <t xml:space="preserve">   Nazwa: działu, rozdziału, </t>
  </si>
  <si>
    <t>majątkowe</t>
  </si>
  <si>
    <t>ze środków</t>
  </si>
  <si>
    <t>kredytów,</t>
  </si>
  <si>
    <t xml:space="preserve">ze </t>
  </si>
  <si>
    <t xml:space="preserve">                zadania inwestycyjnego</t>
  </si>
  <si>
    <t xml:space="preserve">własnych </t>
  </si>
  <si>
    <t>pożyczek i</t>
  </si>
  <si>
    <t>środków</t>
  </si>
  <si>
    <t>innych środków</t>
  </si>
  <si>
    <t>budżetu państwa</t>
  </si>
  <si>
    <t>Wydatki na zadania własne</t>
  </si>
  <si>
    <t>Handel</t>
  </si>
  <si>
    <t>Pozostała działalność</t>
  </si>
  <si>
    <t>budowa i modernizacja małych dzielnicowych targowisk</t>
  </si>
  <si>
    <t>Transport i łączność</t>
  </si>
  <si>
    <t>Drogi publiczne w miastach na prawach powiatu</t>
  </si>
  <si>
    <t>ul. Wojciechowska</t>
  </si>
  <si>
    <t>modernizacja ul. Turystycznej</t>
  </si>
  <si>
    <t>modernizacja ciągu ulic: Długosza-Leszczyńskiego-Czechowska</t>
  </si>
  <si>
    <t xml:space="preserve">modernizacja ul. Nałęczowskiej </t>
  </si>
  <si>
    <t>modernizacja ul. Królewskiej</t>
  </si>
  <si>
    <t>kładka nad ul. Filaretów</t>
  </si>
  <si>
    <t>budowa zatok autobusowych</t>
  </si>
  <si>
    <t>sygnalizacje świetlne</t>
  </si>
  <si>
    <t>dokumentacja techniczna</t>
  </si>
  <si>
    <t>Drogi publiczne gminne</t>
  </si>
  <si>
    <t>modernizacja ul. Wrotkowskiej</t>
  </si>
  <si>
    <t xml:space="preserve">ścieżka rowerowa wzdłuż rzeki Bystrzycy </t>
  </si>
  <si>
    <t>zakup wiat przystankowych</t>
  </si>
  <si>
    <t>zakupy inwestycyjne</t>
  </si>
  <si>
    <t>Gospodarka mieszkaniowa</t>
  </si>
  <si>
    <t>Zakłady gospodarki mieszkaniowej</t>
  </si>
  <si>
    <t>modernizacje budynków</t>
  </si>
  <si>
    <t>Działalność usługowa</t>
  </si>
  <si>
    <t>System Informacji o Terenie</t>
  </si>
  <si>
    <t>Administracja publiczna</t>
  </si>
  <si>
    <t>Bezpieczeństwo publiczne i ochrona przeciwpożarowa</t>
  </si>
  <si>
    <t>Komendy powiatowe Policji</t>
  </si>
  <si>
    <t>Komendy powiatowe Państwowej Straży Pożarnej</t>
  </si>
  <si>
    <t>Miejskie Centrum Powiadamiania Ratunkowego</t>
  </si>
  <si>
    <t>Oświata i wychowanie</t>
  </si>
  <si>
    <t>Szkoły podstawowe</t>
  </si>
  <si>
    <t>Szkoła Podstawowa  w os. Felin</t>
  </si>
  <si>
    <t>rozbudowa Szkoły Podstawowej                                                            Nr 21 - I etap</t>
  </si>
  <si>
    <t>Szkoła Podstawowa Nr 39                                                                          przy ul. Krężnickiej</t>
  </si>
  <si>
    <t xml:space="preserve">modernizacje szkół </t>
  </si>
  <si>
    <t>Szkoły podstawowe specjalne</t>
  </si>
  <si>
    <t>Gimnazja</t>
  </si>
  <si>
    <t>Licea ogólnokształcące</t>
  </si>
  <si>
    <t>modernizacje szkół</t>
  </si>
  <si>
    <t>Ochrona zdrowia</t>
  </si>
  <si>
    <t>Lecznictwo ambulatoryjne</t>
  </si>
  <si>
    <t>Przeciwdziałanie alkoholizmowi</t>
  </si>
  <si>
    <t>modernizacja lokalu przy ul. Karłowicza 3</t>
  </si>
  <si>
    <t>Opieka społeczna</t>
  </si>
  <si>
    <t>Placówki opiekuńczo-wychowawcze</t>
  </si>
  <si>
    <t>modernizacje obiektów</t>
  </si>
  <si>
    <t>Domy pomocy społecznej</t>
  </si>
  <si>
    <t>Żłobki</t>
  </si>
  <si>
    <t>Edukacyjna opieka wychowawcza</t>
  </si>
  <si>
    <t>Specjalne ośrodki szkolno-wychowawcze</t>
  </si>
  <si>
    <t>Poradnie psychologiczno-pedagogiczne oraz inne poradnie specjalistyczne</t>
  </si>
  <si>
    <t>Placówki wychowania pozaszkolnego</t>
  </si>
  <si>
    <t>Gospodarka komunalna i ochrona środowiska</t>
  </si>
  <si>
    <t>Gospodarka ściekowa i ochrona wód</t>
  </si>
  <si>
    <t>kolektor sanitarny AN-AS</t>
  </si>
  <si>
    <t>kanalizacja sanitarna dla os. Rudnik i Bursaki</t>
  </si>
  <si>
    <t>odprowadzenie wód deszczowych z osiedli: Rudnik i Bursaki</t>
  </si>
  <si>
    <t>sieć wodociągowa od ujęcia wody Sławinek do ul. Puławskiej</t>
  </si>
  <si>
    <t>sieć wodociągowa od ujęcia wody Sławinek do os. Szerokie</t>
  </si>
  <si>
    <t>sieć wodociągowa dla os. Poligon</t>
  </si>
  <si>
    <t>likwidacja zalewisk</t>
  </si>
  <si>
    <t>Utrzymanie zieleni w miastach i gminach</t>
  </si>
  <si>
    <t>Oświetlenie ulic, placów i dróg</t>
  </si>
  <si>
    <t>oświetlenie ulic</t>
  </si>
  <si>
    <t>wykup gruntów</t>
  </si>
  <si>
    <t>infrastruktura techniczna dla inwestorów budownictwa wielorodzinnego</t>
  </si>
  <si>
    <t>inwestycje realizowane przy udziale mieszkańców</t>
  </si>
  <si>
    <t>dokumentacja przyszłościowa</t>
  </si>
  <si>
    <t>cmentarz komunalny</t>
  </si>
  <si>
    <t>korekta przebiegu infrastruktury technicznej związanej z nowym podziałem geodezyjnym</t>
  </si>
  <si>
    <t>Kultura i ochrona dziedzictwa narodowego</t>
  </si>
  <si>
    <t>Pozostałe zadania w zakresie kultury</t>
  </si>
  <si>
    <t>budowa muszli koncertowej</t>
  </si>
  <si>
    <t>Ochrona i konserwacja zabytków</t>
  </si>
  <si>
    <t>kamienica Rynek 8</t>
  </si>
  <si>
    <t>kamienica Złota 3</t>
  </si>
  <si>
    <t xml:space="preserve">trasa turystyczna </t>
  </si>
  <si>
    <t>ul. Olejna i Szambelańska</t>
  </si>
  <si>
    <t>ul. Kowalska</t>
  </si>
  <si>
    <t>ulice Jezuicka-Dominikańska-Gruella</t>
  </si>
  <si>
    <t>Plac po Farze</t>
  </si>
  <si>
    <t>Plac Rybny ze schodami do ul. Kowalskiej</t>
  </si>
  <si>
    <t>mur oporowy przy ul. Podwale na wysokości Zespołu o.o. Dominikanów</t>
  </si>
  <si>
    <t>zabezpieczenie skarpy wzgórza Czwartek</t>
  </si>
  <si>
    <t>Kultura fizyczna i sport</t>
  </si>
  <si>
    <t>Obiekty sportowe</t>
  </si>
  <si>
    <t>tor kartingowy</t>
  </si>
  <si>
    <t>boiska osiedlowe</t>
  </si>
  <si>
    <t>Instytucje kultury fizycznej</t>
  </si>
  <si>
    <t>Wydatki na zadania zlecone</t>
  </si>
  <si>
    <t>w tym:</t>
  </si>
  <si>
    <t>Wydatki na zadania ustawowo zlecone gminie</t>
  </si>
  <si>
    <t>budowa punktów świetlnych</t>
  </si>
  <si>
    <t>Wydatki na zadania z zakresu administracji rządowej wykonywane przez powiat</t>
  </si>
  <si>
    <t>na 2002 rok</t>
  </si>
  <si>
    <t>Cmentarze</t>
  </si>
  <si>
    <t>trasa zielona</t>
  </si>
  <si>
    <t xml:space="preserve">modernizacja skrzyżowania: Al. Racławickie - Długosza - Łopacińskiego </t>
  </si>
  <si>
    <t>obwodnica miejska od węzła al. Tysiąclecia - ul. Hutnicza do ul. Mełgiewskiej</t>
  </si>
  <si>
    <t>przedłużenie ul. Krańcowej do ul. Kunickiego wraz z mostem na rzece Czerniejówce</t>
  </si>
  <si>
    <t>chodnik pomiędzy ul. Wolską a ul. Garbarską wraz z oświetleniem</t>
  </si>
  <si>
    <t>ul. Inżynierska</t>
  </si>
  <si>
    <t>Gimnazjum Nr 3</t>
  </si>
  <si>
    <t>Szkoły zawodowe</t>
  </si>
  <si>
    <t>zakup sprzętu i aparatury medycznej</t>
  </si>
  <si>
    <t>Ośrodki wsparcia</t>
  </si>
  <si>
    <t>Powiatowe urzędy pracy</t>
  </si>
  <si>
    <t xml:space="preserve">Przedszkola </t>
  </si>
  <si>
    <t>Internaty i bursy szkolne</t>
  </si>
  <si>
    <t>Oczyszczanie miast i wsi</t>
  </si>
  <si>
    <t>ul. Frankowskiego</t>
  </si>
  <si>
    <t>system informatyczny</t>
  </si>
  <si>
    <t>utworzenie komisariatu przy ul. Walecznych</t>
  </si>
  <si>
    <t>Zespół Szkół Nr 5</t>
  </si>
  <si>
    <t>kamienica przy ul. Grodzkiej 34</t>
  </si>
  <si>
    <t>modernizacja al. Kraśnickiej</t>
  </si>
  <si>
    <t>budowa gimnazjum przy ul. Roztocze</t>
  </si>
  <si>
    <t>Zespół Szkół Nr 1</t>
  </si>
  <si>
    <t>Ośrodki pomocy społecznej</t>
  </si>
  <si>
    <t>budowa Parków Sportowych SKATE-PARKÓW</t>
  </si>
  <si>
    <t>wprowadzenie systemów sterowania sygnalizacjami świetlnymi</t>
  </si>
  <si>
    <t>modernizacja ul. Budowlanej wraz ze skrzyżowaniem z ul. Zemborzycką</t>
  </si>
  <si>
    <t>modernizacja al. Spółdzielczości Pracy</t>
  </si>
  <si>
    <t>połączenie ul. Głębokiej 
z ul. Spadochroniarzy</t>
  </si>
  <si>
    <t>skrzyżowanie Al. Racławickie - 
ul. Spadochroniarzy</t>
  </si>
  <si>
    <t>ul. Bohaterów Monte Cassino - 
ul. Wojciechowska - ul. Powstania Styczniowego</t>
  </si>
  <si>
    <t>ul. Willowa</t>
  </si>
  <si>
    <t>budownictwo mieszkaniowe komunalne 
i socjalne</t>
  </si>
  <si>
    <t>Urzędy miast i miast na prawach powiatu</t>
  </si>
  <si>
    <t>modernizacja Przychodni Rejonowej                       Nr 15 i Przychodni Specjalistycznej                                      Nr 1 przy ul. Hipotecznej 4</t>
  </si>
  <si>
    <t>modernizacja stadionu przy 
Al. Zygmuntowskich 5</t>
  </si>
  <si>
    <t>Gospodarka gruntami i nieruchomościami</t>
  </si>
  <si>
    <t>modernizacja ul. Narutowicza 
(od ul. Bernardyńskiej do skrzyżowania 
z ul. Okopową i Mościckiego) 
z Placem Wolności, z ul. Kapucyńską                                         i ul. Wróblewskiego</t>
  </si>
  <si>
    <t>ul. Stefczyka, w tym włączenie 
do ul. Związkowej</t>
  </si>
  <si>
    <t>kanalizacja sanitarna w obszarze 
os. Nałkowskich II, Zalewu Zemborzyckiego 
i os. Zemborzyce</t>
  </si>
  <si>
    <t xml:space="preserve">odsetki od zaciągniętych pożyczek </t>
  </si>
  <si>
    <t>dotacja na inwestycje w Środowiskowym Domu Samopomocy przy ul. Abramowickiej "Misericordia"</t>
  </si>
  <si>
    <t>budżetu miasta</t>
  </si>
  <si>
    <t>Ogółem wydatki majątkowe</t>
  </si>
  <si>
    <t>węzeł drogowy Poniatowskiego (wiadukt 
z połączeniem do ul. ks. Popiełuszki)</t>
  </si>
  <si>
    <t xml:space="preserve">przedłużenie ul. Szewskiej </t>
  </si>
  <si>
    <t>sieć wodociągowa w ulicy Mełgiewskiej</t>
  </si>
  <si>
    <t>przebudowa ul. Poniatowskiego 
i ul. Sowińskiego (od ul. ks. Popiełuszki do 
ul. Filaretów)</t>
  </si>
  <si>
    <t>rewaloryzacja Ogrodu Saskiego i Park Rury</t>
  </si>
  <si>
    <t xml:space="preserve">składowisko odpadów w Rokitnie zad. 1 </t>
  </si>
  <si>
    <t>utworzenie Komisariatu IV w os. LSM</t>
  </si>
  <si>
    <t>modernizacja pomieszczeń</t>
  </si>
  <si>
    <t>Zmiany</t>
  </si>
  <si>
    <t>Zmniejszenie</t>
  </si>
  <si>
    <t>Zwiększenie</t>
  </si>
  <si>
    <t>na 2002</t>
  </si>
  <si>
    <t>po zmianach</t>
  </si>
  <si>
    <t>budowa schodów i chodnika w ul. Orkana</t>
  </si>
  <si>
    <t>budowa zatoki w ul. Rucianej</t>
  </si>
  <si>
    <t>stan na 30.06.2002 r.</t>
  </si>
  <si>
    <t xml:space="preserve">Wydatki majątkowe </t>
  </si>
  <si>
    <t>wg uchwały budżetowej</t>
  </si>
  <si>
    <t xml:space="preserve">Wykonanie </t>
  </si>
  <si>
    <t>na</t>
  </si>
  <si>
    <t>2002 roku</t>
  </si>
  <si>
    <t>%</t>
  </si>
  <si>
    <t>9:5</t>
  </si>
  <si>
    <t>10:6</t>
  </si>
  <si>
    <t>modernizacja Pl. Litewskiego wraz 
z przebudową układu komunikacyjnego</t>
  </si>
  <si>
    <t>udziały w spółce akcyjnej - budowa 
i eksploatacja Lotniska Wielofunkcyjnego 
w Świdniku</t>
  </si>
  <si>
    <t>Szkoła Podstawowa Nr 51 w os. Widok</t>
  </si>
  <si>
    <t>modernizacje przychodni rejonowych 
i specjalistycznych</t>
  </si>
  <si>
    <t xml:space="preserve">odprowadzenie wód deszczowych z osiedli: Szerokie, Lipniak, Węglin Południowy 
i Północny, Sławin </t>
  </si>
  <si>
    <t>budowa wielofunkcyjnej hali sportowo-widowiskowej przy ul. Kazimierza Wielkiego</t>
  </si>
  <si>
    <t>Zadania w zakresie kultury fizycznej 
i sportu</t>
  </si>
  <si>
    <t>przebudowa sieci kanalizacji deszczowej 
w ul. Rogowskiego i ul. Iglatowskiego</t>
  </si>
  <si>
    <t>31 grudnia</t>
  </si>
  <si>
    <t>Rady miast i miast na prawach powiatu</t>
  </si>
  <si>
    <t>system monitoringu w mieście</t>
  </si>
  <si>
    <t xml:space="preserve">Straż Miejska </t>
  </si>
  <si>
    <t>kolektor sanitarny N-II (III i IV etap)</t>
  </si>
  <si>
    <t xml:space="preserve">Wydatki na zadania realizowane na podstawie porozumień i umów </t>
  </si>
  <si>
    <t>zakup specjalistycznego samochodu pożarniczego</t>
  </si>
  <si>
    <t>dotacja na zakupy inwestycyjne w Środowiskowym Domu Samopomocy Społecznej "Roztocze"</t>
  </si>
  <si>
    <t>Rady Miasta Lublin</t>
  </si>
  <si>
    <t>Załącznik Nr 4</t>
  </si>
  <si>
    <t>w tym budowa dróg</t>
  </si>
  <si>
    <t>Centra kształcenia ustawicznego 
i praktycznego oraz ośrodki dokszałcania 
zawodowego</t>
  </si>
  <si>
    <t>dotacja na zakupy inwestycyjne 
w Środowiskowym Domu Samopomocy "Roztocze" przy ul. Wallenroda</t>
  </si>
  <si>
    <t xml:space="preserve">do uchwały Nr 143/VI/2003           </t>
  </si>
  <si>
    <t>z dnia 24 kwietnia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</si>
</sst>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i/>
      <sz val="11"/>
      <name val="Arial CE"/>
      <family val="0"/>
    </font>
    <font>
      <b/>
      <sz val="15"/>
      <name val="Arial CE"/>
      <family val="2"/>
    </font>
    <font>
      <sz val="12"/>
      <name val="Arial CE"/>
      <family val="2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64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medium"/>
      <right style="thin"/>
      <top style="dotted"/>
      <bottom style="hair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3" fillId="0" borderId="5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3" fillId="2" borderId="17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3" fillId="0" borderId="8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3" fontId="1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7" xfId="0" applyNumberFormat="1" applyFont="1" applyBorder="1" applyAlignment="1">
      <alignment vertical="top"/>
    </xf>
    <xf numFmtId="3" fontId="3" fillId="0" borderId="17" xfId="0" applyNumberFormat="1" applyFont="1" applyBorder="1" applyAlignment="1">
      <alignment wrapText="1"/>
    </xf>
    <xf numFmtId="1" fontId="1" fillId="0" borderId="8" xfId="0" applyNumberFormat="1" applyFont="1" applyBorder="1" applyAlignment="1">
      <alignment/>
    </xf>
    <xf numFmtId="3" fontId="1" fillId="0" borderId="18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2" borderId="1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3" fillId="2" borderId="17" xfId="0" applyNumberFormat="1" applyFont="1" applyFill="1" applyBorder="1" applyAlignment="1">
      <alignment wrapText="1"/>
    </xf>
    <xf numFmtId="1" fontId="3" fillId="0" borderId="15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wrapText="1"/>
    </xf>
    <xf numFmtId="1" fontId="3" fillId="2" borderId="15" xfId="0" applyNumberFormat="1" applyFont="1" applyFill="1" applyBorder="1" applyAlignment="1">
      <alignment/>
    </xf>
    <xf numFmtId="1" fontId="3" fillId="2" borderId="15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 wrapText="1"/>
    </xf>
    <xf numFmtId="1" fontId="3" fillId="0" borderId="1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1" fillId="0" borderId="22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20" xfId="0" applyNumberFormat="1" applyFont="1" applyBorder="1" applyAlignment="1">
      <alignment wrapText="1"/>
    </xf>
    <xf numFmtId="3" fontId="3" fillId="2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0" fontId="1" fillId="0" borderId="23" xfId="0" applyFont="1" applyBorder="1" applyAlignment="1">
      <alignment horizontal="center" vertical="top" wrapText="1"/>
    </xf>
    <xf numFmtId="1" fontId="3" fillId="2" borderId="17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8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3" fontId="3" fillId="0" borderId="3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3" fontId="1" fillId="0" borderId="19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41" xfId="0" applyFont="1" applyBorder="1" applyAlignment="1">
      <alignment/>
    </xf>
    <xf numFmtId="1" fontId="1" fillId="0" borderId="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1" xfId="0" applyNumberFormat="1" applyFont="1" applyBorder="1" applyAlignment="1">
      <alignment/>
    </xf>
    <xf numFmtId="10" fontId="1" fillId="0" borderId="5" xfId="0" applyNumberFormat="1" applyFont="1" applyBorder="1" applyAlignment="1">
      <alignment horizontal="center"/>
    </xf>
    <xf numFmtId="10" fontId="1" fillId="0" borderId="5" xfId="0" applyNumberFormat="1" applyFont="1" applyBorder="1" applyAlignment="1" quotePrefix="1">
      <alignment horizontal="center" vertical="center"/>
    </xf>
    <xf numFmtId="10" fontId="1" fillId="0" borderId="10" xfId="0" applyNumberFormat="1" applyFont="1" applyBorder="1" applyAlignment="1">
      <alignment horizontal="center" vertical="top" wrapText="1"/>
    </xf>
    <xf numFmtId="10" fontId="2" fillId="0" borderId="13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10" fontId="3" fillId="2" borderId="15" xfId="0" applyNumberFormat="1" applyFont="1" applyFill="1" applyBorder="1" applyAlignment="1">
      <alignment/>
    </xf>
    <xf numFmtId="10" fontId="3" fillId="0" borderId="17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10" fontId="1" fillId="0" borderId="21" xfId="0" applyNumberFormat="1" applyFont="1" applyBorder="1" applyAlignment="1">
      <alignment/>
    </xf>
    <xf numFmtId="10" fontId="1" fillId="0" borderId="22" xfId="0" applyNumberFormat="1" applyFont="1" applyBorder="1" applyAlignment="1">
      <alignment/>
    </xf>
    <xf numFmtId="10" fontId="1" fillId="0" borderId="20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10" fontId="1" fillId="0" borderId="21" xfId="0" applyNumberFormat="1" applyFont="1" applyBorder="1" applyAlignment="1">
      <alignment/>
    </xf>
    <xf numFmtId="10" fontId="1" fillId="0" borderId="19" xfId="0" applyNumberFormat="1" applyFont="1" applyBorder="1" applyAlignment="1">
      <alignment vertical="center"/>
    </xf>
    <xf numFmtId="10" fontId="3" fillId="2" borderId="17" xfId="0" applyNumberFormat="1" applyFont="1" applyFill="1" applyBorder="1" applyAlignment="1">
      <alignment/>
    </xf>
    <xf numFmtId="10" fontId="1" fillId="0" borderId="15" xfId="0" applyNumberFormat="1" applyFont="1" applyBorder="1" applyAlignment="1">
      <alignment/>
    </xf>
    <xf numFmtId="10" fontId="3" fillId="0" borderId="15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1" fontId="4" fillId="0" borderId="38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/>
    </xf>
    <xf numFmtId="3" fontId="2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2" borderId="50" xfId="0" applyNumberFormat="1" applyFont="1" applyFill="1" applyBorder="1" applyAlignment="1">
      <alignment/>
    </xf>
    <xf numFmtId="3" fontId="3" fillId="0" borderId="51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3" fillId="2" borderId="51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8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/>
    </xf>
    <xf numFmtId="10" fontId="1" fillId="0" borderId="14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0" fontId="3" fillId="0" borderId="2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0" fontId="3" fillId="0" borderId="15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10" fontId="3" fillId="2" borderId="14" xfId="0" applyNumberFormat="1" applyFont="1" applyFill="1" applyBorder="1" applyAlignment="1">
      <alignment/>
    </xf>
    <xf numFmtId="3" fontId="3" fillId="0" borderId="51" xfId="0" applyNumberFormat="1" applyFont="1" applyBorder="1" applyAlignment="1">
      <alignment/>
    </xf>
    <xf numFmtId="10" fontId="3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3" fontId="3" fillId="2" borderId="48" xfId="0" applyNumberFormat="1" applyFont="1" applyFill="1" applyBorder="1" applyAlignment="1">
      <alignment/>
    </xf>
    <xf numFmtId="3" fontId="3" fillId="2" borderId="51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3" fontId="3" fillId="2" borderId="50" xfId="0" applyNumberFormat="1" applyFont="1" applyFill="1" applyBorder="1" applyAlignment="1">
      <alignment/>
    </xf>
    <xf numFmtId="3" fontId="3" fillId="2" borderId="52" xfId="0" applyNumberFormat="1" applyFont="1" applyFill="1" applyBorder="1" applyAlignment="1">
      <alignment/>
    </xf>
    <xf numFmtId="3" fontId="3" fillId="0" borderId="52" xfId="0" applyNumberFormat="1" applyFont="1" applyBorder="1" applyAlignment="1">
      <alignment/>
    </xf>
    <xf numFmtId="10" fontId="3" fillId="2" borderId="18" xfId="0" applyNumberFormat="1" applyFont="1" applyFill="1" applyBorder="1" applyAlignment="1">
      <alignment/>
    </xf>
    <xf numFmtId="10" fontId="3" fillId="0" borderId="18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10" fontId="1" fillId="0" borderId="8" xfId="0" applyNumberFormat="1" applyFont="1" applyBorder="1" applyAlignment="1">
      <alignment wrapText="1"/>
    </xf>
    <xf numFmtId="10" fontId="1" fillId="0" borderId="20" xfId="0" applyNumberFormat="1" applyFont="1" applyBorder="1" applyAlignment="1">
      <alignment wrapText="1"/>
    </xf>
    <xf numFmtId="10" fontId="1" fillId="0" borderId="15" xfId="0" applyNumberFormat="1" applyFont="1" applyBorder="1" applyAlignment="1">
      <alignment/>
    </xf>
    <xf numFmtId="10" fontId="3" fillId="2" borderId="15" xfId="0" applyNumberFormat="1" applyFont="1" applyFill="1" applyBorder="1" applyAlignment="1">
      <alignment/>
    </xf>
    <xf numFmtId="1" fontId="8" fillId="0" borderId="1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16" xfId="0" applyNumberFormat="1" applyFont="1" applyBorder="1" applyAlignment="1">
      <alignment wrapText="1"/>
    </xf>
    <xf numFmtId="3" fontId="5" fillId="0" borderId="16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" fontId="1" fillId="0" borderId="59" xfId="0" applyNumberFormat="1" applyFont="1" applyBorder="1" applyAlignment="1">
      <alignment/>
    </xf>
    <xf numFmtId="3" fontId="1" fillId="0" borderId="59" xfId="0" applyNumberFormat="1" applyFont="1" applyBorder="1" applyAlignment="1">
      <alignment wrapText="1"/>
    </xf>
    <xf numFmtId="3" fontId="1" fillId="0" borderId="59" xfId="0" applyNumberFormat="1" applyFont="1" applyBorder="1" applyAlignment="1">
      <alignment/>
    </xf>
    <xf numFmtId="10" fontId="1" fillId="0" borderId="59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10" fontId="1" fillId="0" borderId="0" xfId="0" applyNumberFormat="1" applyFont="1" applyBorder="1" applyAlignment="1">
      <alignment/>
    </xf>
    <xf numFmtId="3" fontId="8" fillId="0" borderId="60" xfId="0" applyNumberFormat="1" applyFont="1" applyBorder="1" applyAlignment="1">
      <alignment wrapText="1"/>
    </xf>
    <xf numFmtId="3" fontId="8" fillId="0" borderId="6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10" fontId="8" fillId="0" borderId="60" xfId="0" applyNumberFormat="1" applyFont="1" applyBorder="1" applyAlignment="1">
      <alignment/>
    </xf>
    <xf numFmtId="10" fontId="3" fillId="2" borderId="17" xfId="0" applyNumberFormat="1" applyFont="1" applyFill="1" applyBorder="1" applyAlignment="1">
      <alignment/>
    </xf>
    <xf numFmtId="0" fontId="3" fillId="0" borderId="63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7"/>
  <sheetViews>
    <sheetView tabSelected="1" zoomScale="75" zoomScaleNormal="75" zoomScaleSheetLayoutView="75" workbookViewId="0" topLeftCell="D1">
      <selection activeCell="N14" sqref="N14"/>
    </sheetView>
  </sheetViews>
  <sheetFormatPr defaultColWidth="9.00390625" defaultRowHeight="12.75"/>
  <cols>
    <col min="1" max="1" width="6.25390625" style="1" customWidth="1"/>
    <col min="2" max="2" width="7.75390625" style="1" customWidth="1"/>
    <col min="3" max="3" width="41.00390625" style="0" customWidth="1"/>
    <col min="4" max="4" width="15.75390625" style="0" customWidth="1"/>
    <col min="5" max="7" width="15.75390625" style="0" hidden="1" customWidth="1"/>
    <col min="8" max="9" width="12.875" style="0" hidden="1" customWidth="1"/>
    <col min="10" max="10" width="16.375" style="0" customWidth="1"/>
    <col min="11" max="11" width="13.125" style="0" customWidth="1"/>
    <col min="12" max="12" width="13.625" style="0" customWidth="1"/>
    <col min="13" max="13" width="12.375" style="0" customWidth="1"/>
    <col min="14" max="14" width="13.625" style="0" customWidth="1"/>
    <col min="15" max="16" width="13.00390625" style="0" customWidth="1"/>
    <col min="17" max="17" width="12.375" style="0" customWidth="1"/>
    <col min="18" max="18" width="12.375" style="137" customWidth="1"/>
    <col min="19" max="19" width="12.375" style="0" customWidth="1"/>
  </cols>
  <sheetData>
    <row r="1" spans="5:8" ht="15">
      <c r="E1" s="85"/>
      <c r="H1" s="85"/>
    </row>
    <row r="2" spans="1:18" s="3" customFormat="1" ht="19.5">
      <c r="A2" s="2"/>
      <c r="B2" s="84" t="s">
        <v>172</v>
      </c>
      <c r="E2" s="85"/>
      <c r="H2" s="85"/>
      <c r="P2" s="85" t="s">
        <v>197</v>
      </c>
      <c r="R2" s="138"/>
    </row>
    <row r="3" spans="5:16" ht="18" customHeight="1">
      <c r="E3" s="85"/>
      <c r="H3" s="85" t="s">
        <v>171</v>
      </c>
      <c r="P3" s="85" t="s">
        <v>201</v>
      </c>
    </row>
    <row r="4" spans="5:16" ht="18" customHeight="1">
      <c r="E4" s="85"/>
      <c r="H4" s="85"/>
      <c r="P4" s="85" t="s">
        <v>196</v>
      </c>
    </row>
    <row r="5" spans="5:16" ht="18" customHeight="1">
      <c r="E5" s="85"/>
      <c r="H5" s="85"/>
      <c r="P5" s="85" t="s">
        <v>202</v>
      </c>
    </row>
    <row r="6" spans="6:19" ht="13.5" thickBot="1">
      <c r="F6" s="4"/>
      <c r="G6" s="4"/>
      <c r="I6" s="4"/>
      <c r="M6" s="4"/>
      <c r="N6" s="4"/>
      <c r="O6" s="4"/>
      <c r="P6" s="4"/>
      <c r="R6" s="139"/>
      <c r="S6" s="4" t="s">
        <v>0</v>
      </c>
    </row>
    <row r="7" spans="1:20" s="11" customFormat="1" ht="21.75" customHeight="1" thickBot="1" thickTop="1">
      <c r="A7" s="5"/>
      <c r="B7" s="5"/>
      <c r="C7" s="6"/>
      <c r="D7" s="8" t="s">
        <v>1</v>
      </c>
      <c r="E7" s="9" t="s">
        <v>2</v>
      </c>
      <c r="F7" s="9"/>
      <c r="G7" s="10"/>
      <c r="H7" s="243" t="s">
        <v>164</v>
      </c>
      <c r="I7" s="244"/>
      <c r="J7" s="7" t="s">
        <v>1</v>
      </c>
      <c r="K7" s="130" t="s">
        <v>2</v>
      </c>
      <c r="L7" s="131"/>
      <c r="M7" s="131"/>
      <c r="N7" s="165" t="s">
        <v>174</v>
      </c>
      <c r="O7" s="130" t="s">
        <v>2</v>
      </c>
      <c r="P7" s="131"/>
      <c r="Q7" s="131"/>
      <c r="R7" s="140"/>
      <c r="S7" s="6"/>
      <c r="T7" s="134"/>
    </row>
    <row r="8" spans="1:19" ht="21.75" customHeight="1" thickTop="1">
      <c r="A8" s="12" t="s">
        <v>3</v>
      </c>
      <c r="B8" s="12" t="s">
        <v>4</v>
      </c>
      <c r="C8" s="13" t="s">
        <v>5</v>
      </c>
      <c r="D8" s="15" t="s">
        <v>6</v>
      </c>
      <c r="E8" s="16" t="s">
        <v>7</v>
      </c>
      <c r="F8" s="17" t="s">
        <v>8</v>
      </c>
      <c r="G8" s="18" t="s">
        <v>9</v>
      </c>
      <c r="H8" s="16"/>
      <c r="I8" s="17"/>
      <c r="J8" s="14" t="s">
        <v>6</v>
      </c>
      <c r="K8" s="128" t="s">
        <v>7</v>
      </c>
      <c r="L8" s="129" t="s">
        <v>8</v>
      </c>
      <c r="M8" s="129" t="s">
        <v>9</v>
      </c>
      <c r="N8" s="166" t="s">
        <v>175</v>
      </c>
      <c r="O8" s="128" t="s">
        <v>7</v>
      </c>
      <c r="P8" s="129" t="s">
        <v>8</v>
      </c>
      <c r="Q8" s="129" t="s">
        <v>9</v>
      </c>
      <c r="R8" s="141" t="s">
        <v>177</v>
      </c>
      <c r="S8" s="132" t="s">
        <v>177</v>
      </c>
    </row>
    <row r="9" spans="1:19" ht="21.75" customHeight="1">
      <c r="A9" s="19"/>
      <c r="B9" s="12"/>
      <c r="C9" s="13" t="s">
        <v>10</v>
      </c>
      <c r="D9" s="15" t="s">
        <v>111</v>
      </c>
      <c r="E9" s="88" t="s">
        <v>11</v>
      </c>
      <c r="F9" s="89" t="s">
        <v>12</v>
      </c>
      <c r="G9" s="90" t="s">
        <v>13</v>
      </c>
      <c r="H9" s="88" t="s">
        <v>165</v>
      </c>
      <c r="I9" s="89" t="s">
        <v>166</v>
      </c>
      <c r="J9" s="14" t="s">
        <v>167</v>
      </c>
      <c r="K9" s="88" t="s">
        <v>11</v>
      </c>
      <c r="L9" s="114" t="s">
        <v>12</v>
      </c>
      <c r="M9" s="114" t="s">
        <v>13</v>
      </c>
      <c r="N9" s="167" t="s">
        <v>188</v>
      </c>
      <c r="O9" s="88" t="s">
        <v>11</v>
      </c>
      <c r="P9" s="114" t="s">
        <v>12</v>
      </c>
      <c r="Q9" s="114" t="s">
        <v>13</v>
      </c>
      <c r="R9" s="142" t="s">
        <v>178</v>
      </c>
      <c r="S9" s="142" t="s">
        <v>179</v>
      </c>
    </row>
    <row r="10" spans="1:19" ht="30.75" customHeight="1" thickBot="1">
      <c r="A10" s="20"/>
      <c r="B10" s="20"/>
      <c r="C10" s="21"/>
      <c r="D10" s="127" t="s">
        <v>173</v>
      </c>
      <c r="E10" s="86" t="s">
        <v>154</v>
      </c>
      <c r="F10" s="87" t="s">
        <v>14</v>
      </c>
      <c r="G10" s="82" t="s">
        <v>15</v>
      </c>
      <c r="H10" s="86"/>
      <c r="I10" s="87"/>
      <c r="J10" s="14" t="s">
        <v>168</v>
      </c>
      <c r="K10" s="86" t="s">
        <v>154</v>
      </c>
      <c r="L10" s="115" t="s">
        <v>14</v>
      </c>
      <c r="M10" s="115" t="s">
        <v>15</v>
      </c>
      <c r="N10" s="168" t="s">
        <v>176</v>
      </c>
      <c r="O10" s="86" t="s">
        <v>154</v>
      </c>
      <c r="P10" s="115" t="s">
        <v>14</v>
      </c>
      <c r="Q10" s="115" t="s">
        <v>15</v>
      </c>
      <c r="R10" s="143"/>
      <c r="S10" s="133"/>
    </row>
    <row r="11" spans="1:19" s="24" customFormat="1" ht="13.5" thickBot="1" thickTop="1">
      <c r="A11" s="22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5</v>
      </c>
      <c r="K11" s="23">
        <v>6</v>
      </c>
      <c r="L11" s="116">
        <v>7</v>
      </c>
      <c r="M11" s="164">
        <v>8</v>
      </c>
      <c r="N11" s="169">
        <v>9</v>
      </c>
      <c r="O11" s="119">
        <v>10</v>
      </c>
      <c r="P11" s="119">
        <v>11</v>
      </c>
      <c r="Q11" s="119">
        <v>12</v>
      </c>
      <c r="R11" s="163">
        <v>13</v>
      </c>
      <c r="S11" s="119">
        <v>14</v>
      </c>
    </row>
    <row r="12" spans="1:19" s="28" customFormat="1" ht="25.5" customHeight="1" thickBot="1" thickTop="1">
      <c r="A12" s="25"/>
      <c r="B12" s="25"/>
      <c r="C12" s="26" t="s">
        <v>155</v>
      </c>
      <c r="D12" s="27">
        <f>D14+D218</f>
        <v>82938243</v>
      </c>
      <c r="E12" s="27" t="e">
        <f>E14</f>
        <v>#REF!</v>
      </c>
      <c r="F12" s="27">
        <f>F14</f>
        <v>36810000</v>
      </c>
      <c r="G12" s="95">
        <f>G14+G218</f>
        <v>767243</v>
      </c>
      <c r="H12" s="27" t="e">
        <f>H14+H218</f>
        <v>#REF!</v>
      </c>
      <c r="I12" s="27" t="e">
        <f>I14+I218</f>
        <v>#REF!</v>
      </c>
      <c r="J12" s="95">
        <f>J14+J214+J218</f>
        <v>90369124</v>
      </c>
      <c r="K12" s="95">
        <f>K14+K214+K218</f>
        <v>45770554</v>
      </c>
      <c r="L12" s="95">
        <f>L14+L214+L218</f>
        <v>37396253</v>
      </c>
      <c r="M12" s="95">
        <f>M14+M214+M218</f>
        <v>7202317</v>
      </c>
      <c r="N12" s="170">
        <f>SUM(O12:Q12)</f>
        <v>83151814</v>
      </c>
      <c r="O12" s="27">
        <f>O14+O214+O218</f>
        <v>39614385</v>
      </c>
      <c r="P12" s="27">
        <f>P14+P214+P218</f>
        <v>37083360</v>
      </c>
      <c r="Q12" s="27">
        <f>Q14+Q214+Q218</f>
        <v>6454069</v>
      </c>
      <c r="R12" s="144">
        <f>N12/J12</f>
        <v>0.9201352222911887</v>
      </c>
      <c r="S12" s="144">
        <f>O12/K12</f>
        <v>0.8654993557648439</v>
      </c>
    </row>
    <row r="13" spans="1:19" s="31" customFormat="1" ht="15" customHeight="1">
      <c r="A13" s="29"/>
      <c r="B13" s="29"/>
      <c r="C13" s="30" t="s">
        <v>2</v>
      </c>
      <c r="D13" s="30"/>
      <c r="E13" s="30"/>
      <c r="F13" s="30"/>
      <c r="G13" s="96"/>
      <c r="H13" s="30"/>
      <c r="I13" s="30"/>
      <c r="J13" s="30"/>
      <c r="K13" s="30"/>
      <c r="L13" s="96"/>
      <c r="M13" s="96"/>
      <c r="N13" s="171"/>
      <c r="O13" s="30"/>
      <c r="P13" s="30"/>
      <c r="Q13" s="30"/>
      <c r="R13" s="145"/>
      <c r="S13" s="145"/>
    </row>
    <row r="14" spans="1:19" s="34" customFormat="1" ht="24" customHeight="1" thickBot="1">
      <c r="A14" s="32"/>
      <c r="B14" s="32"/>
      <c r="C14" s="33" t="s">
        <v>16</v>
      </c>
      <c r="D14" s="33">
        <v>82171000</v>
      </c>
      <c r="E14" s="33" t="e">
        <f>E15+E18+E59+E64+E69+E77++E86+E113+E123+E142+E157+E188+E203</f>
        <v>#REF!</v>
      </c>
      <c r="F14" s="33">
        <f>F15+F18+F59+F64+F69+F77++F86+F113+F123+F142+F157+F188+F203</f>
        <v>36810000</v>
      </c>
      <c r="G14" s="97"/>
      <c r="H14" s="33" t="e">
        <f>H15+H18+H59+H64+H69+H77+H86+H113+H123+H142+H157+H188+H203</f>
        <v>#REF!</v>
      </c>
      <c r="I14" s="33" t="e">
        <f>I15+I18+I59+I64+I69+I77+I86+I113+I123+I142+I157+I188+I203</f>
        <v>#REF!</v>
      </c>
      <c r="J14" s="33">
        <f>SUM(K14:M14)</f>
        <v>89865207</v>
      </c>
      <c r="K14" s="33">
        <f>K15+K18+K59+K64+K69+K77++K86+K113+K123+K142+K157+K188+K203</f>
        <v>45770554</v>
      </c>
      <c r="L14" s="97">
        <f>L15+L18+L59+L64+L69+L77++L86+L113+L123+L142+L157+L188+L203</f>
        <v>37285253</v>
      </c>
      <c r="M14" s="97">
        <f>M15+M18+M59+M64+M69+M77++M86+M113+M123+M142+M157+M188+M203</f>
        <v>6809400</v>
      </c>
      <c r="N14" s="172">
        <f aca="true" t="shared" si="0" ref="N14:N45">SUM(O14:Q14)</f>
        <v>82672811</v>
      </c>
      <c r="O14" s="33">
        <f>O15+O18+O59+O64+O69+O77+O86+O113+O123+O142+O157+O188+O203</f>
        <v>39614385</v>
      </c>
      <c r="P14" s="33">
        <f>P15+P18+P59+P64+P69+P77+P86+P113+P123+P142+P157+P188+P203</f>
        <v>36972360</v>
      </c>
      <c r="Q14" s="33">
        <f>Q15+Q18+Q59+Q64+Q69+Q77+Q86+Q113+Q123+Q142+Q157+Q188+Q203</f>
        <v>6086066</v>
      </c>
      <c r="R14" s="146">
        <f>N14/J14</f>
        <v>0.9199646199001132</v>
      </c>
      <c r="S14" s="146">
        <f>O14/K14</f>
        <v>0.8654993557648439</v>
      </c>
    </row>
    <row r="15" spans="1:19" s="37" customFormat="1" ht="24" customHeight="1" thickTop="1">
      <c r="A15" s="35">
        <v>500</v>
      </c>
      <c r="B15" s="35"/>
      <c r="C15" s="36" t="s">
        <v>17</v>
      </c>
      <c r="D15" s="36">
        <f aca="true" t="shared" si="1" ref="D15:D21">SUM(E15:G15)</f>
        <v>20000</v>
      </c>
      <c r="E15" s="36">
        <f>E16</f>
        <v>20000</v>
      </c>
      <c r="F15" s="36"/>
      <c r="G15" s="98"/>
      <c r="H15" s="36">
        <f>H16</f>
        <v>0</v>
      </c>
      <c r="I15" s="36">
        <f>I16</f>
        <v>0</v>
      </c>
      <c r="J15" s="36">
        <f aca="true" t="shared" si="2" ref="J15:J21">SUM(K15:M15)</f>
        <v>20000</v>
      </c>
      <c r="K15" s="36">
        <f>K16</f>
        <v>20000</v>
      </c>
      <c r="L15" s="98"/>
      <c r="M15" s="98"/>
      <c r="N15" s="210"/>
      <c r="O15" s="36"/>
      <c r="P15" s="36"/>
      <c r="Q15" s="36"/>
      <c r="R15" s="205"/>
      <c r="S15" s="147"/>
    </row>
    <row r="16" spans="1:19" s="34" customFormat="1" ht="24" customHeight="1">
      <c r="A16" s="38"/>
      <c r="B16" s="39">
        <v>50095</v>
      </c>
      <c r="C16" s="40" t="s">
        <v>18</v>
      </c>
      <c r="D16" s="40">
        <f t="shared" si="1"/>
        <v>20000</v>
      </c>
      <c r="E16" s="40">
        <f>E17</f>
        <v>20000</v>
      </c>
      <c r="F16" s="40"/>
      <c r="G16" s="99"/>
      <c r="H16" s="40">
        <f>H17</f>
        <v>0</v>
      </c>
      <c r="I16" s="40">
        <f>I17</f>
        <v>0</v>
      </c>
      <c r="J16" s="40">
        <f t="shared" si="2"/>
        <v>20000</v>
      </c>
      <c r="K16" s="40">
        <f>K17</f>
        <v>20000</v>
      </c>
      <c r="L16" s="99"/>
      <c r="M16" s="99"/>
      <c r="N16" s="174"/>
      <c r="O16" s="40"/>
      <c r="P16" s="40"/>
      <c r="Q16" s="40"/>
      <c r="R16" s="148"/>
      <c r="S16" s="148"/>
    </row>
    <row r="17" spans="1:19" s="37" customFormat="1" ht="31.5" customHeight="1">
      <c r="A17" s="41"/>
      <c r="B17" s="42"/>
      <c r="C17" s="43" t="s">
        <v>19</v>
      </c>
      <c r="D17" s="44">
        <f t="shared" si="1"/>
        <v>20000</v>
      </c>
      <c r="E17" s="44">
        <v>20000</v>
      </c>
      <c r="F17" s="44"/>
      <c r="G17" s="100"/>
      <c r="H17" s="44"/>
      <c r="I17" s="44"/>
      <c r="J17" s="44">
        <f t="shared" si="2"/>
        <v>20000</v>
      </c>
      <c r="K17" s="44">
        <v>20000</v>
      </c>
      <c r="L17" s="100"/>
      <c r="M17" s="100"/>
      <c r="N17" s="203"/>
      <c r="O17" s="208"/>
      <c r="P17" s="208"/>
      <c r="Q17" s="208"/>
      <c r="R17" s="209"/>
      <c r="S17" s="209"/>
    </row>
    <row r="18" spans="1:19" s="37" customFormat="1" ht="24" customHeight="1">
      <c r="A18" s="35">
        <v>600</v>
      </c>
      <c r="B18" s="35"/>
      <c r="C18" s="36" t="s">
        <v>20</v>
      </c>
      <c r="D18" s="36">
        <f t="shared" si="1"/>
        <v>31865000</v>
      </c>
      <c r="E18" s="36">
        <f>E19+E45</f>
        <v>1150000</v>
      </c>
      <c r="F18" s="36">
        <f>F19+F45</f>
        <v>30715000</v>
      </c>
      <c r="G18" s="98"/>
      <c r="H18" s="36">
        <f>H19+H45+H57</f>
        <v>41950</v>
      </c>
      <c r="I18" s="36">
        <f>I19+I45+I57</f>
        <v>131950</v>
      </c>
      <c r="J18" s="77">
        <f t="shared" si="2"/>
        <v>35056164</v>
      </c>
      <c r="K18" s="36">
        <f>K19+K45+K57</f>
        <v>1633280</v>
      </c>
      <c r="L18" s="98">
        <f>L19+L45+L57</f>
        <v>28422884</v>
      </c>
      <c r="M18" s="98">
        <f>M19+M45+M57</f>
        <v>5000000</v>
      </c>
      <c r="N18" s="173">
        <f t="shared" si="0"/>
        <v>33455385</v>
      </c>
      <c r="O18" s="36">
        <f>O19+O45+O57</f>
        <v>190000</v>
      </c>
      <c r="P18" s="36">
        <f>P19+P45+P57</f>
        <v>28265385</v>
      </c>
      <c r="Q18" s="36">
        <f>Q19+Q45+Q57</f>
        <v>5000000</v>
      </c>
      <c r="R18" s="147">
        <f>N18/J18</f>
        <v>0.9543367323361449</v>
      </c>
      <c r="S18" s="147">
        <f>O18/K18</f>
        <v>0.11633032915360501</v>
      </c>
    </row>
    <row r="19" spans="1:19" s="34" customFormat="1" ht="30" customHeight="1">
      <c r="A19" s="45"/>
      <c r="B19" s="46">
        <v>60015</v>
      </c>
      <c r="C19" s="47" t="s">
        <v>21</v>
      </c>
      <c r="D19" s="40">
        <f t="shared" si="1"/>
        <v>27525000</v>
      </c>
      <c r="E19" s="40">
        <f>SUM(E20:E43)</f>
        <v>550000</v>
      </c>
      <c r="F19" s="40">
        <f>SUM(F20:F43)</f>
        <v>26975000</v>
      </c>
      <c r="G19" s="99"/>
      <c r="H19" s="40">
        <f>SUM(H20:H44)</f>
        <v>41950</v>
      </c>
      <c r="I19" s="40">
        <f>SUM(I20:I44)</f>
        <v>20150</v>
      </c>
      <c r="J19" s="40">
        <f t="shared" si="2"/>
        <v>29706542</v>
      </c>
      <c r="K19" s="40">
        <f>SUM(K20:K44)</f>
        <v>943280</v>
      </c>
      <c r="L19" s="99">
        <f>SUM(L20:L44)</f>
        <v>23763262</v>
      </c>
      <c r="M19" s="99">
        <f>SUM(M20:M44)</f>
        <v>5000000</v>
      </c>
      <c r="N19" s="174">
        <f t="shared" si="0"/>
        <v>28605762</v>
      </c>
      <c r="O19" s="40"/>
      <c r="P19" s="40">
        <f>SUM(P20:P44)</f>
        <v>23605762</v>
      </c>
      <c r="Q19" s="40">
        <f>SUM(Q20:Q44)</f>
        <v>5000000</v>
      </c>
      <c r="R19" s="148">
        <f>N19/J19</f>
        <v>0.9629448624481436</v>
      </c>
      <c r="S19" s="148"/>
    </row>
    <row r="20" spans="1:19" s="37" customFormat="1" ht="31.5" customHeight="1">
      <c r="A20" s="29"/>
      <c r="B20" s="48"/>
      <c r="C20" s="49" t="s">
        <v>156</v>
      </c>
      <c r="D20" s="50">
        <f t="shared" si="1"/>
        <v>3450000</v>
      </c>
      <c r="E20" s="50"/>
      <c r="F20" s="50">
        <v>3450000</v>
      </c>
      <c r="G20" s="101"/>
      <c r="H20" s="50"/>
      <c r="I20" s="50"/>
      <c r="J20" s="50">
        <f t="shared" si="2"/>
        <v>8450000</v>
      </c>
      <c r="K20" s="50"/>
      <c r="L20" s="101">
        <v>3450000</v>
      </c>
      <c r="M20" s="101">
        <v>5000000</v>
      </c>
      <c r="N20" s="176">
        <f t="shared" si="0"/>
        <v>8450000</v>
      </c>
      <c r="O20" s="50"/>
      <c r="P20" s="50">
        <v>3450000</v>
      </c>
      <c r="Q20" s="50">
        <v>5000000</v>
      </c>
      <c r="R20" s="150">
        <f>N20/J20</f>
        <v>1</v>
      </c>
      <c r="S20" s="150"/>
    </row>
    <row r="21" spans="1:19" s="37" customFormat="1" ht="24" customHeight="1">
      <c r="A21" s="29"/>
      <c r="B21" s="29"/>
      <c r="C21" s="51" t="s">
        <v>22</v>
      </c>
      <c r="D21" s="52">
        <f t="shared" si="1"/>
        <v>1100000</v>
      </c>
      <c r="E21" s="52"/>
      <c r="F21" s="52">
        <v>1100000</v>
      </c>
      <c r="G21" s="102"/>
      <c r="H21" s="52"/>
      <c r="I21" s="52"/>
      <c r="J21" s="52">
        <f t="shared" si="2"/>
        <v>748821</v>
      </c>
      <c r="K21" s="52"/>
      <c r="L21" s="102">
        <v>748821</v>
      </c>
      <c r="M21" s="102"/>
      <c r="N21" s="177">
        <f t="shared" si="0"/>
        <v>748821</v>
      </c>
      <c r="O21" s="52"/>
      <c r="P21" s="52">
        <v>748821</v>
      </c>
      <c r="Q21" s="52"/>
      <c r="R21" s="151">
        <f aca="true" t="shared" si="3" ref="R21:R58">N21/J21</f>
        <v>1</v>
      </c>
      <c r="S21" s="151"/>
    </row>
    <row r="22" spans="1:19" s="37" customFormat="1" ht="23.25" customHeight="1">
      <c r="A22" s="29"/>
      <c r="B22" s="29"/>
      <c r="C22" s="52" t="s">
        <v>23</v>
      </c>
      <c r="D22" s="52">
        <f aca="true" t="shared" si="4" ref="D22:D31">SUM(E22:G22)</f>
        <v>1100000</v>
      </c>
      <c r="E22" s="52"/>
      <c r="F22" s="52">
        <v>1100000</v>
      </c>
      <c r="G22" s="102"/>
      <c r="H22" s="52"/>
      <c r="I22" s="52"/>
      <c r="J22" s="52">
        <f aca="true" t="shared" si="5" ref="J22:J31">SUM(K22:M22)</f>
        <v>2312479</v>
      </c>
      <c r="K22" s="52"/>
      <c r="L22" s="102">
        <v>2312479</v>
      </c>
      <c r="M22" s="102"/>
      <c r="N22" s="177">
        <f t="shared" si="0"/>
        <v>2312479</v>
      </c>
      <c r="O22" s="52"/>
      <c r="P22" s="52">
        <v>2312479</v>
      </c>
      <c r="Q22" s="52"/>
      <c r="R22" s="151">
        <f t="shared" si="3"/>
        <v>1</v>
      </c>
      <c r="S22" s="151"/>
    </row>
    <row r="23" spans="1:19" s="37" customFormat="1" ht="24" customHeight="1">
      <c r="A23" s="29"/>
      <c r="B23" s="29"/>
      <c r="C23" s="54" t="s">
        <v>132</v>
      </c>
      <c r="D23" s="54">
        <f t="shared" si="4"/>
        <v>1600000</v>
      </c>
      <c r="E23" s="54"/>
      <c r="F23" s="54">
        <v>1600000</v>
      </c>
      <c r="G23" s="103"/>
      <c r="H23" s="54"/>
      <c r="I23" s="54"/>
      <c r="J23" s="54">
        <f t="shared" si="5"/>
        <v>2079517</v>
      </c>
      <c r="K23" s="54"/>
      <c r="L23" s="103">
        <v>2079517</v>
      </c>
      <c r="M23" s="103"/>
      <c r="N23" s="178">
        <f t="shared" si="0"/>
        <v>2079517</v>
      </c>
      <c r="O23" s="54"/>
      <c r="P23" s="54">
        <v>2079517</v>
      </c>
      <c r="Q23" s="54"/>
      <c r="R23" s="152">
        <f t="shared" si="3"/>
        <v>1</v>
      </c>
      <c r="S23" s="152"/>
    </row>
    <row r="24" spans="1:19" s="37" customFormat="1" ht="30.75" customHeight="1">
      <c r="A24" s="29"/>
      <c r="B24" s="29"/>
      <c r="C24" s="51" t="s">
        <v>24</v>
      </c>
      <c r="D24" s="52">
        <f t="shared" si="4"/>
        <v>1200000</v>
      </c>
      <c r="E24" s="52"/>
      <c r="F24" s="52">
        <v>1200000</v>
      </c>
      <c r="G24" s="102"/>
      <c r="H24" s="52"/>
      <c r="I24" s="52"/>
      <c r="J24" s="52">
        <f t="shared" si="5"/>
        <v>1153128</v>
      </c>
      <c r="K24" s="52"/>
      <c r="L24" s="102">
        <v>1153128</v>
      </c>
      <c r="M24" s="102"/>
      <c r="N24" s="178">
        <f t="shared" si="0"/>
        <v>1153128</v>
      </c>
      <c r="O24" s="52"/>
      <c r="P24" s="52">
        <v>1153128</v>
      </c>
      <c r="Q24" s="52"/>
      <c r="R24" s="152">
        <f t="shared" si="3"/>
        <v>1</v>
      </c>
      <c r="S24" s="151"/>
    </row>
    <row r="25" spans="1:19" s="37" customFormat="1" ht="24" customHeight="1">
      <c r="A25" s="29"/>
      <c r="B25" s="29"/>
      <c r="C25" s="51" t="s">
        <v>25</v>
      </c>
      <c r="D25" s="52">
        <f t="shared" si="4"/>
        <v>300000</v>
      </c>
      <c r="E25" s="52"/>
      <c r="F25" s="52">
        <v>300000</v>
      </c>
      <c r="G25" s="102"/>
      <c r="H25" s="52"/>
      <c r="I25" s="52"/>
      <c r="J25" s="52">
        <f t="shared" si="5"/>
        <v>186815</v>
      </c>
      <c r="K25" s="52"/>
      <c r="L25" s="102">
        <v>186815</v>
      </c>
      <c r="M25" s="102"/>
      <c r="N25" s="177">
        <f t="shared" si="0"/>
        <v>186815</v>
      </c>
      <c r="O25" s="52"/>
      <c r="P25" s="52">
        <v>186815</v>
      </c>
      <c r="Q25" s="52"/>
      <c r="R25" s="151">
        <f t="shared" si="3"/>
        <v>1</v>
      </c>
      <c r="S25" s="151"/>
    </row>
    <row r="26" spans="1:19" s="37" customFormat="1" ht="24" customHeight="1">
      <c r="A26" s="29"/>
      <c r="B26" s="29"/>
      <c r="C26" s="52" t="s">
        <v>139</v>
      </c>
      <c r="D26" s="52">
        <f t="shared" si="4"/>
        <v>715000</v>
      </c>
      <c r="E26" s="52"/>
      <c r="F26" s="52">
        <v>715000</v>
      </c>
      <c r="G26" s="102"/>
      <c r="H26" s="52"/>
      <c r="I26" s="52"/>
      <c r="J26" s="52">
        <f t="shared" si="5"/>
        <v>538714</v>
      </c>
      <c r="K26" s="52"/>
      <c r="L26" s="102">
        <v>538714</v>
      </c>
      <c r="M26" s="102"/>
      <c r="N26" s="177">
        <f t="shared" si="0"/>
        <v>538714</v>
      </c>
      <c r="O26" s="52"/>
      <c r="P26" s="52">
        <v>538714</v>
      </c>
      <c r="Q26" s="52"/>
      <c r="R26" s="151">
        <f t="shared" si="3"/>
        <v>1</v>
      </c>
      <c r="S26" s="151"/>
    </row>
    <row r="27" spans="1:19" s="37" customFormat="1" ht="70.5" customHeight="1">
      <c r="A27" s="29"/>
      <c r="B27" s="29"/>
      <c r="C27" s="51" t="s">
        <v>149</v>
      </c>
      <c r="D27" s="52">
        <f t="shared" si="4"/>
        <v>2250000</v>
      </c>
      <c r="E27" s="52"/>
      <c r="F27" s="52">
        <v>2250000</v>
      </c>
      <c r="G27" s="102"/>
      <c r="H27" s="52"/>
      <c r="I27" s="52"/>
      <c r="J27" s="52">
        <f t="shared" si="5"/>
        <v>525128</v>
      </c>
      <c r="K27" s="52"/>
      <c r="L27" s="102">
        <v>525128</v>
      </c>
      <c r="M27" s="102"/>
      <c r="N27" s="177">
        <f t="shared" si="0"/>
        <v>525128</v>
      </c>
      <c r="O27" s="52"/>
      <c r="P27" s="52">
        <f>25674+499454</f>
        <v>525128</v>
      </c>
      <c r="Q27" s="52"/>
      <c r="R27" s="151">
        <f t="shared" si="3"/>
        <v>1</v>
      </c>
      <c r="S27" s="151"/>
    </row>
    <row r="28" spans="1:19" s="37" customFormat="1" ht="24" customHeight="1">
      <c r="A28" s="29"/>
      <c r="B28" s="29"/>
      <c r="C28" s="52" t="s">
        <v>26</v>
      </c>
      <c r="D28" s="52">
        <f t="shared" si="4"/>
        <v>1100000</v>
      </c>
      <c r="E28" s="52"/>
      <c r="F28" s="52">
        <v>1100000</v>
      </c>
      <c r="G28" s="102"/>
      <c r="H28" s="52"/>
      <c r="I28" s="52"/>
      <c r="J28" s="52">
        <f t="shared" si="5"/>
        <v>82441</v>
      </c>
      <c r="K28" s="52"/>
      <c r="L28" s="102">
        <v>82441</v>
      </c>
      <c r="M28" s="102"/>
      <c r="N28" s="177">
        <f t="shared" si="0"/>
        <v>82441</v>
      </c>
      <c r="O28" s="52"/>
      <c r="P28" s="52">
        <f>1200+81241</f>
        <v>82441</v>
      </c>
      <c r="Q28" s="52"/>
      <c r="R28" s="151">
        <f t="shared" si="3"/>
        <v>1</v>
      </c>
      <c r="S28" s="151"/>
    </row>
    <row r="29" spans="1:19" s="37" customFormat="1" ht="21.75" customHeight="1">
      <c r="A29" s="29"/>
      <c r="B29" s="29"/>
      <c r="C29" s="52" t="s">
        <v>27</v>
      </c>
      <c r="D29" s="52">
        <f t="shared" si="4"/>
        <v>50000</v>
      </c>
      <c r="E29" s="52"/>
      <c r="F29" s="52">
        <v>50000</v>
      </c>
      <c r="G29" s="102"/>
      <c r="H29" s="52"/>
      <c r="I29" s="52"/>
      <c r="J29" s="52">
        <f t="shared" si="5"/>
        <v>102899</v>
      </c>
      <c r="K29" s="52"/>
      <c r="L29" s="102">
        <v>102899</v>
      </c>
      <c r="M29" s="102"/>
      <c r="N29" s="177">
        <f t="shared" si="0"/>
        <v>102899</v>
      </c>
      <c r="O29" s="52"/>
      <c r="P29" s="52">
        <v>102899</v>
      </c>
      <c r="Q29" s="52"/>
      <c r="R29" s="151">
        <f t="shared" si="3"/>
        <v>1</v>
      </c>
      <c r="S29" s="151"/>
    </row>
    <row r="30" spans="1:19" s="37" customFormat="1" ht="21.75" customHeight="1">
      <c r="A30" s="29"/>
      <c r="B30" s="29"/>
      <c r="C30" s="71" t="s">
        <v>28</v>
      </c>
      <c r="D30" s="71">
        <f t="shared" si="4"/>
        <v>200000</v>
      </c>
      <c r="E30" s="71"/>
      <c r="F30" s="71">
        <v>200000</v>
      </c>
      <c r="G30" s="105"/>
      <c r="H30" s="71">
        <v>41950</v>
      </c>
      <c r="I30" s="71"/>
      <c r="J30" s="71">
        <f t="shared" si="5"/>
        <v>96535</v>
      </c>
      <c r="K30" s="71"/>
      <c r="L30" s="105">
        <v>96535</v>
      </c>
      <c r="M30" s="105"/>
      <c r="N30" s="179">
        <f t="shared" si="0"/>
        <v>96535</v>
      </c>
      <c r="O30" s="71"/>
      <c r="P30" s="71">
        <v>96535</v>
      </c>
      <c r="Q30" s="71"/>
      <c r="R30" s="153">
        <f t="shared" si="3"/>
        <v>1</v>
      </c>
      <c r="S30" s="153"/>
    </row>
    <row r="31" spans="1:19" s="37" customFormat="1" ht="21.75" customHeight="1">
      <c r="A31" s="41"/>
      <c r="B31" s="41"/>
      <c r="C31" s="53" t="s">
        <v>29</v>
      </c>
      <c r="D31" s="53">
        <f t="shared" si="4"/>
        <v>1250000</v>
      </c>
      <c r="E31" s="53"/>
      <c r="F31" s="53">
        <v>1250000</v>
      </c>
      <c r="G31" s="104"/>
      <c r="H31" s="53"/>
      <c r="I31" s="53"/>
      <c r="J31" s="53">
        <f t="shared" si="5"/>
        <v>1073586</v>
      </c>
      <c r="K31" s="53">
        <v>393280</v>
      </c>
      <c r="L31" s="104">
        <v>680306</v>
      </c>
      <c r="M31" s="104"/>
      <c r="N31" s="180">
        <f t="shared" si="0"/>
        <v>680306</v>
      </c>
      <c r="O31" s="53"/>
      <c r="P31" s="53">
        <v>680306</v>
      </c>
      <c r="Q31" s="53"/>
      <c r="R31" s="154">
        <f t="shared" si="3"/>
        <v>0.6336762960768862</v>
      </c>
      <c r="S31" s="154"/>
    </row>
    <row r="32" spans="1:19" s="37" customFormat="1" ht="45" customHeight="1">
      <c r="A32" s="29"/>
      <c r="B32" s="29"/>
      <c r="C32" s="69" t="s">
        <v>159</v>
      </c>
      <c r="D32" s="54">
        <f>SUM(E32:G32)</f>
        <v>1000000</v>
      </c>
      <c r="E32" s="54"/>
      <c r="F32" s="54">
        <v>1000000</v>
      </c>
      <c r="G32" s="103"/>
      <c r="H32" s="54"/>
      <c r="I32" s="54"/>
      <c r="J32" s="54">
        <f>SUM(K32:M32)</f>
        <v>9702</v>
      </c>
      <c r="K32" s="54"/>
      <c r="L32" s="103">
        <v>9702</v>
      </c>
      <c r="M32" s="103"/>
      <c r="N32" s="178">
        <f t="shared" si="0"/>
        <v>9702</v>
      </c>
      <c r="O32" s="54"/>
      <c r="P32" s="54">
        <v>9702</v>
      </c>
      <c r="Q32" s="54"/>
      <c r="R32" s="152">
        <f>N32/J32</f>
        <v>1</v>
      </c>
      <c r="S32" s="152"/>
    </row>
    <row r="33" spans="1:19" s="37" customFormat="1" ht="32.25" customHeight="1">
      <c r="A33" s="29"/>
      <c r="B33" s="29"/>
      <c r="C33" s="51" t="s">
        <v>137</v>
      </c>
      <c r="D33" s="52">
        <f>SUM(E33:G33)</f>
        <v>2000000</v>
      </c>
      <c r="E33" s="52"/>
      <c r="F33" s="52">
        <v>2000000</v>
      </c>
      <c r="G33" s="102"/>
      <c r="H33" s="52"/>
      <c r="I33" s="52"/>
      <c r="J33" s="52">
        <v>0</v>
      </c>
      <c r="K33" s="52"/>
      <c r="L33" s="102"/>
      <c r="M33" s="102"/>
      <c r="N33" s="178"/>
      <c r="O33" s="52"/>
      <c r="P33" s="52"/>
      <c r="Q33" s="52"/>
      <c r="R33" s="152"/>
      <c r="S33" s="151"/>
    </row>
    <row r="34" spans="1:19" s="37" customFormat="1" ht="34.5" customHeight="1">
      <c r="A34" s="29"/>
      <c r="B34" s="29"/>
      <c r="C34" s="70" t="s">
        <v>138</v>
      </c>
      <c r="D34" s="71">
        <f>SUM(E34:G34)</f>
        <v>300000</v>
      </c>
      <c r="E34" s="71"/>
      <c r="F34" s="71">
        <v>300000</v>
      </c>
      <c r="G34" s="105"/>
      <c r="H34" s="71"/>
      <c r="I34" s="71"/>
      <c r="J34" s="71">
        <f>SUM(K34:M34)</f>
        <v>455074</v>
      </c>
      <c r="K34" s="71"/>
      <c r="L34" s="105">
        <v>455074</v>
      </c>
      <c r="M34" s="105"/>
      <c r="N34" s="178">
        <f t="shared" si="0"/>
        <v>297574</v>
      </c>
      <c r="O34" s="71"/>
      <c r="P34" s="71">
        <v>297574</v>
      </c>
      <c r="Q34" s="71"/>
      <c r="R34" s="152">
        <f t="shared" si="3"/>
        <v>0.6539024422401631</v>
      </c>
      <c r="S34" s="153"/>
    </row>
    <row r="35" spans="1:19" s="37" customFormat="1" ht="24" customHeight="1">
      <c r="A35" s="29"/>
      <c r="B35" s="29"/>
      <c r="C35" s="71" t="s">
        <v>113</v>
      </c>
      <c r="D35" s="71">
        <f aca="true" t="shared" si="6" ref="D35:D42">SUM(E35:G35)</f>
        <v>3850000</v>
      </c>
      <c r="E35" s="71"/>
      <c r="F35" s="71">
        <f>4000000-150000</f>
        <v>3850000</v>
      </c>
      <c r="G35" s="105"/>
      <c r="H35" s="71"/>
      <c r="I35" s="71"/>
      <c r="J35" s="71">
        <f aca="true" t="shared" si="7" ref="J35:J40">SUM(K35:M35)</f>
        <v>5880561</v>
      </c>
      <c r="K35" s="71"/>
      <c r="L35" s="105">
        <v>5880561</v>
      </c>
      <c r="M35" s="105"/>
      <c r="N35" s="179">
        <f t="shared" si="0"/>
        <v>5880561</v>
      </c>
      <c r="O35" s="71"/>
      <c r="P35" s="71">
        <v>5880561</v>
      </c>
      <c r="Q35" s="71"/>
      <c r="R35" s="153">
        <f t="shared" si="3"/>
        <v>1</v>
      </c>
      <c r="S35" s="153"/>
    </row>
    <row r="36" spans="1:19" s="37" customFormat="1" ht="30.75" customHeight="1">
      <c r="A36" s="29"/>
      <c r="B36" s="29"/>
      <c r="C36" s="70" t="s">
        <v>140</v>
      </c>
      <c r="D36" s="71">
        <f t="shared" si="6"/>
        <v>500000</v>
      </c>
      <c r="E36" s="71"/>
      <c r="F36" s="71">
        <v>500000</v>
      </c>
      <c r="G36" s="105"/>
      <c r="H36" s="71"/>
      <c r="I36" s="71"/>
      <c r="J36" s="71">
        <f t="shared" si="7"/>
        <v>255223</v>
      </c>
      <c r="K36" s="71"/>
      <c r="L36" s="105">
        <v>255223</v>
      </c>
      <c r="M36" s="105"/>
      <c r="N36" s="179">
        <f t="shared" si="0"/>
        <v>255223</v>
      </c>
      <c r="O36" s="71"/>
      <c r="P36" s="71">
        <v>255223</v>
      </c>
      <c r="Q36" s="71"/>
      <c r="R36" s="153">
        <f t="shared" si="3"/>
        <v>1</v>
      </c>
      <c r="S36" s="153"/>
    </row>
    <row r="37" spans="1:19" s="37" customFormat="1" ht="30.75" customHeight="1">
      <c r="A37" s="29"/>
      <c r="B37" s="29"/>
      <c r="C37" s="70" t="s">
        <v>141</v>
      </c>
      <c r="D37" s="71">
        <f t="shared" si="6"/>
        <v>350000</v>
      </c>
      <c r="E37" s="71"/>
      <c r="F37" s="71">
        <v>350000</v>
      </c>
      <c r="G37" s="105"/>
      <c r="H37" s="71"/>
      <c r="I37" s="71"/>
      <c r="J37" s="71">
        <f t="shared" si="7"/>
        <v>537601</v>
      </c>
      <c r="K37" s="71"/>
      <c r="L37" s="105">
        <v>537601</v>
      </c>
      <c r="M37" s="105"/>
      <c r="N37" s="179">
        <f t="shared" si="0"/>
        <v>537601</v>
      </c>
      <c r="O37" s="71"/>
      <c r="P37" s="71">
        <v>537601</v>
      </c>
      <c r="Q37" s="71"/>
      <c r="R37" s="153">
        <f t="shared" si="3"/>
        <v>1</v>
      </c>
      <c r="S37" s="153"/>
    </row>
    <row r="38" spans="1:19" s="37" customFormat="1" ht="45" customHeight="1">
      <c r="A38" s="29"/>
      <c r="B38" s="29"/>
      <c r="C38" s="70" t="s">
        <v>142</v>
      </c>
      <c r="D38" s="71">
        <f t="shared" si="6"/>
        <v>1500000</v>
      </c>
      <c r="E38" s="71"/>
      <c r="F38" s="71">
        <v>1500000</v>
      </c>
      <c r="G38" s="105"/>
      <c r="H38" s="71"/>
      <c r="I38" s="71"/>
      <c r="J38" s="71">
        <f t="shared" si="7"/>
        <v>2562923</v>
      </c>
      <c r="K38" s="71"/>
      <c r="L38" s="105">
        <v>2562923</v>
      </c>
      <c r="M38" s="105"/>
      <c r="N38" s="179">
        <f t="shared" si="0"/>
        <v>2562923</v>
      </c>
      <c r="O38" s="71"/>
      <c r="P38" s="71">
        <v>2562923</v>
      </c>
      <c r="Q38" s="71"/>
      <c r="R38" s="153">
        <f t="shared" si="3"/>
        <v>1</v>
      </c>
      <c r="S38" s="153"/>
    </row>
    <row r="39" spans="1:19" s="37" customFormat="1" ht="30.75" customHeight="1">
      <c r="A39" s="29"/>
      <c r="B39" s="29"/>
      <c r="C39" s="70" t="s">
        <v>114</v>
      </c>
      <c r="D39" s="71">
        <f t="shared" si="6"/>
        <v>250000</v>
      </c>
      <c r="E39" s="71"/>
      <c r="F39" s="71">
        <v>250000</v>
      </c>
      <c r="G39" s="105"/>
      <c r="H39" s="71"/>
      <c r="I39" s="71"/>
      <c r="J39" s="71">
        <f t="shared" si="7"/>
        <v>520000</v>
      </c>
      <c r="K39" s="71"/>
      <c r="L39" s="105">
        <v>520000</v>
      </c>
      <c r="M39" s="105"/>
      <c r="N39" s="179">
        <f t="shared" si="0"/>
        <v>520000</v>
      </c>
      <c r="O39" s="71"/>
      <c r="P39" s="71">
        <v>520000</v>
      </c>
      <c r="Q39" s="71"/>
      <c r="R39" s="153">
        <f t="shared" si="3"/>
        <v>1</v>
      </c>
      <c r="S39" s="153"/>
    </row>
    <row r="40" spans="1:19" s="37" customFormat="1" ht="33" customHeight="1">
      <c r="A40" s="29"/>
      <c r="B40" s="29"/>
      <c r="C40" s="70" t="s">
        <v>115</v>
      </c>
      <c r="D40" s="71">
        <f t="shared" si="6"/>
        <v>1000000</v>
      </c>
      <c r="E40" s="71"/>
      <c r="F40" s="71">
        <v>1000000</v>
      </c>
      <c r="G40" s="105"/>
      <c r="H40" s="71"/>
      <c r="I40" s="71"/>
      <c r="J40" s="71">
        <f t="shared" si="7"/>
        <v>320142</v>
      </c>
      <c r="K40" s="71"/>
      <c r="L40" s="105">
        <v>320142</v>
      </c>
      <c r="M40" s="105"/>
      <c r="N40" s="179">
        <f t="shared" si="0"/>
        <v>320142</v>
      </c>
      <c r="O40" s="71"/>
      <c r="P40" s="71">
        <v>320142</v>
      </c>
      <c r="Q40" s="71"/>
      <c r="R40" s="153">
        <f t="shared" si="3"/>
        <v>1</v>
      </c>
      <c r="S40" s="153"/>
    </row>
    <row r="41" spans="1:19" s="37" customFormat="1" ht="32.25" customHeight="1">
      <c r="A41" s="29"/>
      <c r="B41" s="29"/>
      <c r="C41" s="70" t="s">
        <v>116</v>
      </c>
      <c r="D41" s="71">
        <f>SUM(E41:G41)</f>
        <v>1400000</v>
      </c>
      <c r="E41" s="71">
        <v>550000</v>
      </c>
      <c r="F41" s="71">
        <v>850000</v>
      </c>
      <c r="G41" s="105"/>
      <c r="H41" s="71"/>
      <c r="I41" s="71"/>
      <c r="J41" s="71">
        <f aca="true" t="shared" si="8" ref="J41:J98">SUM(K41:M41)</f>
        <v>1762726</v>
      </c>
      <c r="K41" s="71">
        <v>550000</v>
      </c>
      <c r="L41" s="105">
        <v>1212726</v>
      </c>
      <c r="M41" s="105"/>
      <c r="N41" s="179">
        <f t="shared" si="0"/>
        <v>1212726</v>
      </c>
      <c r="O41" s="71"/>
      <c r="P41" s="71">
        <v>1212726</v>
      </c>
      <c r="Q41" s="71"/>
      <c r="R41" s="153">
        <f t="shared" si="3"/>
        <v>0.68798327136492</v>
      </c>
      <c r="S41" s="153"/>
    </row>
    <row r="42" spans="1:19" s="37" customFormat="1" ht="24" customHeight="1">
      <c r="A42" s="29"/>
      <c r="B42" s="29"/>
      <c r="C42" s="71" t="s">
        <v>30</v>
      </c>
      <c r="D42" s="71">
        <f t="shared" si="6"/>
        <v>60000</v>
      </c>
      <c r="E42" s="71"/>
      <c r="F42" s="71">
        <v>60000</v>
      </c>
      <c r="G42" s="105"/>
      <c r="H42" s="71"/>
      <c r="I42" s="71"/>
      <c r="J42" s="71">
        <f t="shared" si="8"/>
        <v>32379</v>
      </c>
      <c r="K42" s="71"/>
      <c r="L42" s="105">
        <v>32379</v>
      </c>
      <c r="M42" s="105"/>
      <c r="N42" s="179">
        <f t="shared" si="0"/>
        <v>32379</v>
      </c>
      <c r="O42" s="71"/>
      <c r="P42" s="71">
        <v>32379</v>
      </c>
      <c r="Q42" s="71"/>
      <c r="R42" s="153">
        <f t="shared" si="3"/>
        <v>1</v>
      </c>
      <c r="S42" s="153"/>
    </row>
    <row r="43" spans="1:19" s="37" customFormat="1" ht="24" customHeight="1">
      <c r="A43" s="29"/>
      <c r="B43" s="29"/>
      <c r="C43" s="71" t="s">
        <v>32</v>
      </c>
      <c r="D43" s="71">
        <f>SUM(E43:G43)</f>
        <v>1000000</v>
      </c>
      <c r="E43" s="71"/>
      <c r="F43" s="71">
        <v>1000000</v>
      </c>
      <c r="G43" s="105"/>
      <c r="H43" s="71"/>
      <c r="I43" s="71"/>
      <c r="J43" s="71">
        <v>0</v>
      </c>
      <c r="K43" s="71"/>
      <c r="L43" s="105"/>
      <c r="M43" s="105"/>
      <c r="N43" s="179"/>
      <c r="O43" s="71"/>
      <c r="P43" s="71"/>
      <c r="Q43" s="71"/>
      <c r="R43" s="153"/>
      <c r="S43" s="153"/>
    </row>
    <row r="44" spans="1:19" s="37" customFormat="1" ht="24" customHeight="1">
      <c r="A44" s="29"/>
      <c r="B44" s="41"/>
      <c r="C44" s="53" t="s">
        <v>169</v>
      </c>
      <c r="D44" s="53"/>
      <c r="E44" s="53"/>
      <c r="F44" s="53"/>
      <c r="G44" s="104"/>
      <c r="H44" s="53"/>
      <c r="I44" s="53">
        <v>20150</v>
      </c>
      <c r="J44" s="53">
        <f>SUM(K44:M44)</f>
        <v>20148</v>
      </c>
      <c r="K44" s="53"/>
      <c r="L44" s="104">
        <v>20148</v>
      </c>
      <c r="M44" s="104"/>
      <c r="N44" s="180">
        <f t="shared" si="0"/>
        <v>20148</v>
      </c>
      <c r="O44" s="53"/>
      <c r="P44" s="53">
        <v>20148</v>
      </c>
      <c r="Q44" s="53"/>
      <c r="R44" s="154">
        <f t="shared" si="3"/>
        <v>1</v>
      </c>
      <c r="S44" s="154"/>
    </row>
    <row r="45" spans="1:19" s="34" customFormat="1" ht="24" customHeight="1">
      <c r="A45" s="45"/>
      <c r="B45" s="39">
        <v>60016</v>
      </c>
      <c r="C45" s="40" t="s">
        <v>31</v>
      </c>
      <c r="D45" s="40">
        <f>SUM(E45:G45)</f>
        <v>4340000</v>
      </c>
      <c r="E45" s="40">
        <f>SUM(E46:E55)</f>
        <v>600000</v>
      </c>
      <c r="F45" s="40">
        <f>SUM(F46:F55)</f>
        <v>3740000</v>
      </c>
      <c r="G45" s="99"/>
      <c r="H45" s="40">
        <f>SUM(H46:H56)</f>
        <v>0</v>
      </c>
      <c r="I45" s="40">
        <f>SUM(I46:I56)</f>
        <v>21800</v>
      </c>
      <c r="J45" s="40">
        <f t="shared" si="8"/>
        <v>5259622</v>
      </c>
      <c r="K45" s="40">
        <f>SUM(K46:K56)</f>
        <v>600000</v>
      </c>
      <c r="L45" s="99">
        <f>SUM(L46:L56)</f>
        <v>4659622</v>
      </c>
      <c r="M45" s="99"/>
      <c r="N45" s="174">
        <f t="shared" si="0"/>
        <v>4759623</v>
      </c>
      <c r="O45" s="40">
        <f>SUM(O46:O56)</f>
        <v>100000</v>
      </c>
      <c r="P45" s="40">
        <f>SUM(P46:P56)</f>
        <v>4659623</v>
      </c>
      <c r="Q45" s="40"/>
      <c r="R45" s="148">
        <f t="shared" si="3"/>
        <v>0.9049363243214056</v>
      </c>
      <c r="S45" s="148">
        <f>O45/K45</f>
        <v>0.16666666666666666</v>
      </c>
    </row>
    <row r="46" spans="1:19" s="37" customFormat="1" ht="30.75" customHeight="1">
      <c r="A46" s="29"/>
      <c r="B46" s="48"/>
      <c r="C46" s="49" t="s">
        <v>180</v>
      </c>
      <c r="D46" s="50">
        <f>SUM(E46:G46)</f>
        <v>500000</v>
      </c>
      <c r="E46" s="50"/>
      <c r="F46" s="50">
        <v>500000</v>
      </c>
      <c r="G46" s="101"/>
      <c r="H46" s="50"/>
      <c r="I46" s="50"/>
      <c r="J46" s="50">
        <f t="shared" si="8"/>
        <v>347700</v>
      </c>
      <c r="K46" s="50"/>
      <c r="L46" s="101">
        <v>347700</v>
      </c>
      <c r="M46" s="101"/>
      <c r="N46" s="177">
        <f aca="true" t="shared" si="9" ref="N46:N73">SUM(O46:Q46)</f>
        <v>347700</v>
      </c>
      <c r="O46" s="50"/>
      <c r="P46" s="50">
        <v>347700</v>
      </c>
      <c r="Q46" s="50"/>
      <c r="R46" s="151">
        <f t="shared" si="3"/>
        <v>1</v>
      </c>
      <c r="S46" s="150"/>
    </row>
    <row r="47" spans="1:19" s="37" customFormat="1" ht="21.75" customHeight="1">
      <c r="A47" s="29"/>
      <c r="B47" s="29"/>
      <c r="C47" s="51" t="s">
        <v>143</v>
      </c>
      <c r="D47" s="52">
        <f aca="true" t="shared" si="10" ref="D47:D55">SUM(E47:G47)</f>
        <v>1500000</v>
      </c>
      <c r="E47" s="52">
        <v>500000</v>
      </c>
      <c r="F47" s="52">
        <v>1000000</v>
      </c>
      <c r="G47" s="102"/>
      <c r="H47" s="52"/>
      <c r="I47" s="52"/>
      <c r="J47" s="52">
        <f t="shared" si="8"/>
        <v>2417038</v>
      </c>
      <c r="K47" s="52">
        <v>500000</v>
      </c>
      <c r="L47" s="102">
        <v>1917038</v>
      </c>
      <c r="M47" s="102"/>
      <c r="N47" s="177">
        <f t="shared" si="9"/>
        <v>1917039</v>
      </c>
      <c r="O47" s="52"/>
      <c r="P47" s="52">
        <v>1917039</v>
      </c>
      <c r="Q47" s="52"/>
      <c r="R47" s="151">
        <f t="shared" si="3"/>
        <v>0.7931356478466619</v>
      </c>
      <c r="S47" s="151"/>
    </row>
    <row r="48" spans="1:19" s="37" customFormat="1" ht="21.75" customHeight="1">
      <c r="A48" s="29"/>
      <c r="B48" s="29"/>
      <c r="C48" s="51" t="s">
        <v>127</v>
      </c>
      <c r="D48" s="91">
        <f>SUM(E48:G48)</f>
        <v>605000</v>
      </c>
      <c r="E48" s="91"/>
      <c r="F48" s="91">
        <v>605000</v>
      </c>
      <c r="G48" s="106"/>
      <c r="H48" s="91"/>
      <c r="I48" s="91"/>
      <c r="J48" s="91">
        <f t="shared" si="8"/>
        <v>798866</v>
      </c>
      <c r="K48" s="91"/>
      <c r="L48" s="106">
        <v>798866</v>
      </c>
      <c r="M48" s="106"/>
      <c r="N48" s="181">
        <f t="shared" si="9"/>
        <v>798866</v>
      </c>
      <c r="O48" s="91"/>
      <c r="P48" s="91">
        <v>798866</v>
      </c>
      <c r="Q48" s="91"/>
      <c r="R48" s="155">
        <f t="shared" si="3"/>
        <v>1</v>
      </c>
      <c r="S48" s="155"/>
    </row>
    <row r="49" spans="1:19" s="37" customFormat="1" ht="21.75" customHeight="1">
      <c r="A49" s="29"/>
      <c r="B49" s="29"/>
      <c r="C49" s="69" t="s">
        <v>157</v>
      </c>
      <c r="D49" s="92">
        <f>SUM(E49:G49)</f>
        <v>150000</v>
      </c>
      <c r="E49" s="92"/>
      <c r="F49" s="92">
        <v>150000</v>
      </c>
      <c r="G49" s="107"/>
      <c r="H49" s="92"/>
      <c r="I49" s="92"/>
      <c r="J49" s="92">
        <v>0</v>
      </c>
      <c r="K49" s="92"/>
      <c r="L49" s="107"/>
      <c r="M49" s="107"/>
      <c r="N49" s="181"/>
      <c r="O49" s="92"/>
      <c r="P49" s="92"/>
      <c r="Q49" s="92"/>
      <c r="R49" s="155"/>
      <c r="S49" s="156"/>
    </row>
    <row r="50" spans="1:19" s="37" customFormat="1" ht="32.25" customHeight="1">
      <c r="A50" s="29"/>
      <c r="B50" s="29"/>
      <c r="C50" s="69" t="s">
        <v>150</v>
      </c>
      <c r="D50" s="54">
        <f>SUM(E50:G50)</f>
        <v>360000</v>
      </c>
      <c r="E50" s="54"/>
      <c r="F50" s="54">
        <v>360000</v>
      </c>
      <c r="G50" s="103"/>
      <c r="H50" s="54"/>
      <c r="I50" s="54"/>
      <c r="J50" s="54">
        <f t="shared" si="8"/>
        <v>16176</v>
      </c>
      <c r="K50" s="54"/>
      <c r="L50" s="103">
        <v>16176</v>
      </c>
      <c r="M50" s="103"/>
      <c r="N50" s="181">
        <f t="shared" si="9"/>
        <v>16176</v>
      </c>
      <c r="O50" s="54"/>
      <c r="P50" s="54">
        <v>16176</v>
      </c>
      <c r="Q50" s="54"/>
      <c r="R50" s="155">
        <f t="shared" si="3"/>
        <v>1</v>
      </c>
      <c r="S50" s="152"/>
    </row>
    <row r="51" spans="1:19" s="37" customFormat="1" ht="21.75" customHeight="1">
      <c r="A51" s="29"/>
      <c r="B51" s="29"/>
      <c r="C51" s="51" t="s">
        <v>33</v>
      </c>
      <c r="D51" s="91">
        <f t="shared" si="10"/>
        <v>500000</v>
      </c>
      <c r="E51" s="91"/>
      <c r="F51" s="91">
        <v>500000</v>
      </c>
      <c r="G51" s="123"/>
      <c r="H51" s="122"/>
      <c r="I51" s="122"/>
      <c r="J51" s="91">
        <f t="shared" si="8"/>
        <v>213826</v>
      </c>
      <c r="K51" s="91"/>
      <c r="L51" s="106">
        <v>213826</v>
      </c>
      <c r="M51" s="123"/>
      <c r="N51" s="181">
        <f t="shared" si="9"/>
        <v>213826</v>
      </c>
      <c r="O51" s="91"/>
      <c r="P51" s="91">
        <v>213826</v>
      </c>
      <c r="Q51" s="91"/>
      <c r="R51" s="155">
        <f t="shared" si="3"/>
        <v>1</v>
      </c>
      <c r="S51" s="157"/>
    </row>
    <row r="52" spans="1:19" s="37" customFormat="1" ht="21.75" customHeight="1">
      <c r="A52" s="29"/>
      <c r="B52" s="29"/>
      <c r="C52" s="69" t="s">
        <v>34</v>
      </c>
      <c r="D52" s="54">
        <f t="shared" si="10"/>
        <v>100000</v>
      </c>
      <c r="E52" s="54">
        <v>100000</v>
      </c>
      <c r="F52" s="54"/>
      <c r="G52" s="103"/>
      <c r="H52" s="54"/>
      <c r="I52" s="54"/>
      <c r="J52" s="54">
        <f t="shared" si="8"/>
        <v>100000</v>
      </c>
      <c r="K52" s="54">
        <v>100000</v>
      </c>
      <c r="L52" s="103"/>
      <c r="M52" s="103"/>
      <c r="N52" s="178">
        <f t="shared" si="9"/>
        <v>100000</v>
      </c>
      <c r="O52" s="54">
        <v>100000</v>
      </c>
      <c r="P52" s="54"/>
      <c r="Q52" s="54"/>
      <c r="R52" s="152">
        <f t="shared" si="3"/>
        <v>1</v>
      </c>
      <c r="S52" s="152">
        <f>O52/K52</f>
        <v>1</v>
      </c>
    </row>
    <row r="53" spans="1:19" s="37" customFormat="1" ht="32.25" customHeight="1">
      <c r="A53" s="41"/>
      <c r="B53" s="41"/>
      <c r="C53" s="57" t="s">
        <v>117</v>
      </c>
      <c r="D53" s="58">
        <f>SUM(E53:G53)</f>
        <v>75000</v>
      </c>
      <c r="E53" s="58"/>
      <c r="F53" s="58">
        <v>75000</v>
      </c>
      <c r="G53" s="109"/>
      <c r="H53" s="58"/>
      <c r="I53" s="58"/>
      <c r="J53" s="58">
        <f t="shared" si="8"/>
        <v>20000</v>
      </c>
      <c r="K53" s="58"/>
      <c r="L53" s="109">
        <v>20000</v>
      </c>
      <c r="M53" s="109"/>
      <c r="N53" s="183">
        <f t="shared" si="9"/>
        <v>20000</v>
      </c>
      <c r="O53" s="58"/>
      <c r="P53" s="58">
        <v>20000</v>
      </c>
      <c r="Q53" s="58"/>
      <c r="R53" s="159">
        <f t="shared" si="3"/>
        <v>1</v>
      </c>
      <c r="S53" s="159"/>
    </row>
    <row r="54" spans="1:19" s="37" customFormat="1" ht="24" customHeight="1">
      <c r="A54" s="29"/>
      <c r="B54" s="29"/>
      <c r="C54" s="81" t="s">
        <v>118</v>
      </c>
      <c r="D54" s="187">
        <f>SUM(E54:G54)</f>
        <v>500000</v>
      </c>
      <c r="E54" s="187"/>
      <c r="F54" s="187">
        <v>500000</v>
      </c>
      <c r="G54" s="188"/>
      <c r="H54" s="189"/>
      <c r="I54" s="189"/>
      <c r="J54" s="187">
        <f t="shared" si="8"/>
        <v>1300000</v>
      </c>
      <c r="K54" s="187"/>
      <c r="L54" s="190">
        <v>1300000</v>
      </c>
      <c r="M54" s="188"/>
      <c r="N54" s="178">
        <f t="shared" si="9"/>
        <v>1300000</v>
      </c>
      <c r="O54" s="189"/>
      <c r="P54" s="187">
        <v>1300000</v>
      </c>
      <c r="Q54" s="189"/>
      <c r="R54" s="152">
        <f t="shared" si="3"/>
        <v>1</v>
      </c>
      <c r="S54" s="191"/>
    </row>
    <row r="55" spans="1:19" s="37" customFormat="1" ht="24" customHeight="1">
      <c r="A55" s="29"/>
      <c r="B55" s="29"/>
      <c r="C55" s="52" t="s">
        <v>30</v>
      </c>
      <c r="D55" s="52">
        <f t="shared" si="10"/>
        <v>50000</v>
      </c>
      <c r="E55" s="52"/>
      <c r="F55" s="52">
        <v>50000</v>
      </c>
      <c r="G55" s="102"/>
      <c r="H55" s="52"/>
      <c r="I55" s="52"/>
      <c r="J55" s="52">
        <f t="shared" si="8"/>
        <v>24217</v>
      </c>
      <c r="K55" s="52"/>
      <c r="L55" s="102">
        <v>24217</v>
      </c>
      <c r="M55" s="102"/>
      <c r="N55" s="178">
        <f t="shared" si="9"/>
        <v>24217</v>
      </c>
      <c r="O55" s="52"/>
      <c r="P55" s="52">
        <v>24217</v>
      </c>
      <c r="Q55" s="52"/>
      <c r="R55" s="152">
        <f t="shared" si="3"/>
        <v>1</v>
      </c>
      <c r="S55" s="151"/>
    </row>
    <row r="56" spans="1:19" s="37" customFormat="1" ht="24" customHeight="1">
      <c r="A56" s="29"/>
      <c r="B56" s="41"/>
      <c r="C56" s="58" t="s">
        <v>170</v>
      </c>
      <c r="D56" s="58"/>
      <c r="E56" s="58"/>
      <c r="F56" s="58"/>
      <c r="G56" s="109"/>
      <c r="H56" s="58"/>
      <c r="I56" s="58">
        <v>21800</v>
      </c>
      <c r="J56" s="58">
        <f>SUM(K56:M56)</f>
        <v>21799</v>
      </c>
      <c r="K56" s="58"/>
      <c r="L56" s="109">
        <v>21799</v>
      </c>
      <c r="M56" s="109"/>
      <c r="N56" s="183">
        <f t="shared" si="9"/>
        <v>21799</v>
      </c>
      <c r="O56" s="58"/>
      <c r="P56" s="58">
        <v>21799</v>
      </c>
      <c r="Q56" s="58"/>
      <c r="R56" s="145">
        <f t="shared" si="3"/>
        <v>1</v>
      </c>
      <c r="S56" s="159"/>
    </row>
    <row r="57" spans="1:19" s="34" customFormat="1" ht="24" customHeight="1">
      <c r="A57" s="45"/>
      <c r="B57" s="32">
        <v>60095</v>
      </c>
      <c r="C57" s="55" t="s">
        <v>18</v>
      </c>
      <c r="D57" s="55"/>
      <c r="E57" s="55"/>
      <c r="F57" s="55"/>
      <c r="G57" s="110"/>
      <c r="H57" s="55">
        <f>H58</f>
        <v>0</v>
      </c>
      <c r="I57" s="55">
        <f>I58</f>
        <v>90000</v>
      </c>
      <c r="J57" s="55">
        <f>SUM(K57:M57)</f>
        <v>90000</v>
      </c>
      <c r="K57" s="55">
        <f>SUM(K58)</f>
        <v>90000</v>
      </c>
      <c r="L57" s="110"/>
      <c r="M57" s="110"/>
      <c r="N57" s="197">
        <f t="shared" si="9"/>
        <v>90000</v>
      </c>
      <c r="O57" s="55">
        <f>O58</f>
        <v>90000</v>
      </c>
      <c r="P57" s="55"/>
      <c r="Q57" s="55"/>
      <c r="R57" s="207">
        <f t="shared" si="3"/>
        <v>1</v>
      </c>
      <c r="S57" s="218">
        <f>O57/K57</f>
        <v>1</v>
      </c>
    </row>
    <row r="58" spans="1:19" s="37" customFormat="1" ht="42" customHeight="1">
      <c r="A58" s="29"/>
      <c r="B58" s="42"/>
      <c r="C58" s="43" t="s">
        <v>181</v>
      </c>
      <c r="D58" s="44"/>
      <c r="E58" s="44"/>
      <c r="F58" s="44"/>
      <c r="G58" s="100"/>
      <c r="H58" s="44"/>
      <c r="I58" s="44">
        <v>90000</v>
      </c>
      <c r="J58" s="44">
        <f>SUM(K58:M58)</f>
        <v>90000</v>
      </c>
      <c r="K58" s="44">
        <f>I58</f>
        <v>90000</v>
      </c>
      <c r="L58" s="100"/>
      <c r="M58" s="100"/>
      <c r="N58" s="183">
        <f t="shared" si="9"/>
        <v>90000</v>
      </c>
      <c r="O58" s="44">
        <v>90000</v>
      </c>
      <c r="P58" s="44"/>
      <c r="Q58" s="44"/>
      <c r="R58" s="152">
        <f t="shared" si="3"/>
        <v>1</v>
      </c>
      <c r="S58" s="149">
        <f>O58/K58</f>
        <v>1</v>
      </c>
    </row>
    <row r="59" spans="1:19" s="37" customFormat="1" ht="24" customHeight="1">
      <c r="A59" s="35">
        <v>700</v>
      </c>
      <c r="B59" s="35"/>
      <c r="C59" s="56" t="s">
        <v>36</v>
      </c>
      <c r="D59" s="56">
        <f aca="true" t="shared" si="11" ref="D59:D98">SUM(E59:G59)</f>
        <v>5130000</v>
      </c>
      <c r="E59" s="56">
        <f>E60+E62</f>
        <v>4630000</v>
      </c>
      <c r="F59" s="56">
        <f>F60+F62</f>
        <v>500000</v>
      </c>
      <c r="G59" s="108"/>
      <c r="H59" s="56">
        <f>H60+H62</f>
        <v>500000</v>
      </c>
      <c r="I59" s="56">
        <f>I60+I62</f>
        <v>0</v>
      </c>
      <c r="J59" s="56">
        <f t="shared" si="8"/>
        <v>4630000</v>
      </c>
      <c r="K59" s="56">
        <f>K60+K62</f>
        <v>4630000</v>
      </c>
      <c r="L59" s="108"/>
      <c r="M59" s="108"/>
      <c r="N59" s="182">
        <f t="shared" si="9"/>
        <v>2276619</v>
      </c>
      <c r="O59" s="56">
        <f>O60+O62</f>
        <v>2276619</v>
      </c>
      <c r="P59" s="56"/>
      <c r="Q59" s="56"/>
      <c r="R59" s="158">
        <f aca="true" t="shared" si="12" ref="R59:R95">N59/J59</f>
        <v>0.49171036717062633</v>
      </c>
      <c r="S59" s="158">
        <f aca="true" t="shared" si="13" ref="S59:S95">O59/K59</f>
        <v>0.49171036717062633</v>
      </c>
    </row>
    <row r="60" spans="1:19" s="34" customFormat="1" ht="24" customHeight="1">
      <c r="A60" s="38"/>
      <c r="B60" s="39">
        <v>70001</v>
      </c>
      <c r="C60" s="40" t="s">
        <v>37</v>
      </c>
      <c r="D60" s="40">
        <f t="shared" si="11"/>
        <v>630000</v>
      </c>
      <c r="E60" s="40">
        <f>E61</f>
        <v>130000</v>
      </c>
      <c r="F60" s="40">
        <f>F61</f>
        <v>500000</v>
      </c>
      <c r="G60" s="99"/>
      <c r="H60" s="40">
        <f>H61</f>
        <v>500000</v>
      </c>
      <c r="I60" s="40">
        <f>I61</f>
        <v>0</v>
      </c>
      <c r="J60" s="40">
        <f t="shared" si="8"/>
        <v>130000</v>
      </c>
      <c r="K60" s="40">
        <f>K61</f>
        <v>130000</v>
      </c>
      <c r="L60" s="99"/>
      <c r="M60" s="99"/>
      <c r="N60" s="174">
        <f t="shared" si="9"/>
        <v>129884</v>
      </c>
      <c r="O60" s="40">
        <f>O61</f>
        <v>129884</v>
      </c>
      <c r="P60" s="40"/>
      <c r="Q60" s="40"/>
      <c r="R60" s="148">
        <f t="shared" si="12"/>
        <v>0.9991076923076923</v>
      </c>
      <c r="S60" s="148">
        <f t="shared" si="13"/>
        <v>0.9991076923076923</v>
      </c>
    </row>
    <row r="61" spans="1:19" s="37" customFormat="1" ht="24" customHeight="1">
      <c r="A61" s="29"/>
      <c r="B61" s="42"/>
      <c r="C61" s="43" t="s">
        <v>38</v>
      </c>
      <c r="D61" s="44">
        <f t="shared" si="11"/>
        <v>630000</v>
      </c>
      <c r="E61" s="44">
        <v>130000</v>
      </c>
      <c r="F61" s="44">
        <v>500000</v>
      </c>
      <c r="G61" s="100"/>
      <c r="H61" s="44">
        <v>500000</v>
      </c>
      <c r="I61" s="44"/>
      <c r="J61" s="44">
        <f t="shared" si="8"/>
        <v>130000</v>
      </c>
      <c r="K61" s="44">
        <v>130000</v>
      </c>
      <c r="L61" s="100"/>
      <c r="M61" s="100"/>
      <c r="N61" s="175">
        <f t="shared" si="9"/>
        <v>129884</v>
      </c>
      <c r="O61" s="44">
        <v>129884</v>
      </c>
      <c r="P61" s="44"/>
      <c r="Q61" s="44"/>
      <c r="R61" s="149">
        <f t="shared" si="12"/>
        <v>0.9991076923076923</v>
      </c>
      <c r="S61" s="149">
        <f t="shared" si="13"/>
        <v>0.9991076923076923</v>
      </c>
    </row>
    <row r="62" spans="1:19" s="34" customFormat="1" ht="24" customHeight="1">
      <c r="A62" s="45"/>
      <c r="B62" s="39">
        <v>70095</v>
      </c>
      <c r="C62" s="40" t="s">
        <v>18</v>
      </c>
      <c r="D62" s="40">
        <f t="shared" si="11"/>
        <v>4500000</v>
      </c>
      <c r="E62" s="40">
        <f>SUM(E63:E63)</f>
        <v>4500000</v>
      </c>
      <c r="F62" s="40"/>
      <c r="G62" s="99"/>
      <c r="H62" s="40">
        <f>H63</f>
        <v>0</v>
      </c>
      <c r="I62" s="40">
        <f>I63</f>
        <v>0</v>
      </c>
      <c r="J62" s="40">
        <f t="shared" si="8"/>
        <v>4500000</v>
      </c>
      <c r="K62" s="40">
        <f>SUM(K63:K63)</f>
        <v>4500000</v>
      </c>
      <c r="L62" s="99"/>
      <c r="M62" s="99"/>
      <c r="N62" s="174">
        <f t="shared" si="9"/>
        <v>2146735</v>
      </c>
      <c r="O62" s="40">
        <f>O63</f>
        <v>2146735</v>
      </c>
      <c r="P62" s="40"/>
      <c r="Q62" s="40"/>
      <c r="R62" s="148">
        <f t="shared" si="12"/>
        <v>0.4770522222222222</v>
      </c>
      <c r="S62" s="148">
        <f t="shared" si="13"/>
        <v>0.4770522222222222</v>
      </c>
    </row>
    <row r="63" spans="1:19" s="37" customFormat="1" ht="29.25" customHeight="1">
      <c r="A63" s="29"/>
      <c r="B63" s="48"/>
      <c r="C63" s="49" t="s">
        <v>144</v>
      </c>
      <c r="D63" s="50">
        <f t="shared" si="11"/>
        <v>4500000</v>
      </c>
      <c r="E63" s="50">
        <f>4235000+265000</f>
        <v>4500000</v>
      </c>
      <c r="F63" s="50"/>
      <c r="G63" s="101"/>
      <c r="H63" s="50"/>
      <c r="I63" s="50"/>
      <c r="J63" s="50">
        <f t="shared" si="8"/>
        <v>4500000</v>
      </c>
      <c r="K63" s="50">
        <f>4235000+265000</f>
        <v>4500000</v>
      </c>
      <c r="L63" s="101"/>
      <c r="M63" s="101"/>
      <c r="N63" s="176">
        <f t="shared" si="9"/>
        <v>2146735</v>
      </c>
      <c r="O63" s="50">
        <v>2146735</v>
      </c>
      <c r="P63" s="50"/>
      <c r="Q63" s="50"/>
      <c r="R63" s="150">
        <f t="shared" si="12"/>
        <v>0.4770522222222222</v>
      </c>
      <c r="S63" s="150">
        <f t="shared" si="13"/>
        <v>0.4770522222222222</v>
      </c>
    </row>
    <row r="64" spans="1:19" s="37" customFormat="1" ht="23.25" customHeight="1">
      <c r="A64" s="35">
        <v>710</v>
      </c>
      <c r="B64" s="35"/>
      <c r="C64" s="56" t="s">
        <v>39</v>
      </c>
      <c r="D64" s="56">
        <f t="shared" si="11"/>
        <v>200000</v>
      </c>
      <c r="E64" s="56">
        <f>E67+E65</f>
        <v>200000</v>
      </c>
      <c r="F64" s="56"/>
      <c r="G64" s="108"/>
      <c r="H64" s="56">
        <f>H65+H67</f>
        <v>80000</v>
      </c>
      <c r="I64" s="56">
        <f>I65+I67</f>
        <v>80000</v>
      </c>
      <c r="J64" s="56">
        <f t="shared" si="8"/>
        <v>185000</v>
      </c>
      <c r="K64" s="56">
        <f>K67+K65</f>
        <v>185000</v>
      </c>
      <c r="L64" s="108"/>
      <c r="M64" s="108"/>
      <c r="N64" s="214">
        <f t="shared" si="9"/>
        <v>180000</v>
      </c>
      <c r="O64" s="56">
        <f>O65+O67</f>
        <v>180000</v>
      </c>
      <c r="P64" s="56"/>
      <c r="Q64" s="56"/>
      <c r="R64" s="216">
        <f t="shared" si="12"/>
        <v>0.972972972972973</v>
      </c>
      <c r="S64" s="216">
        <f t="shared" si="13"/>
        <v>0.972972972972973</v>
      </c>
    </row>
    <row r="65" spans="1:19" s="34" customFormat="1" ht="21.75" customHeight="1">
      <c r="A65" s="38"/>
      <c r="B65" s="39">
        <v>71035</v>
      </c>
      <c r="C65" s="40" t="s">
        <v>112</v>
      </c>
      <c r="D65" s="40">
        <f t="shared" si="11"/>
        <v>100000</v>
      </c>
      <c r="E65" s="40">
        <f>E66</f>
        <v>100000</v>
      </c>
      <c r="F65" s="40"/>
      <c r="G65" s="99"/>
      <c r="H65" s="40">
        <f>H66</f>
        <v>0</v>
      </c>
      <c r="I65" s="40">
        <f>I66</f>
        <v>80000</v>
      </c>
      <c r="J65" s="40">
        <f t="shared" si="8"/>
        <v>180000</v>
      </c>
      <c r="K65" s="40">
        <f>K66</f>
        <v>180000</v>
      </c>
      <c r="L65" s="99"/>
      <c r="M65" s="99"/>
      <c r="N65" s="215">
        <f t="shared" si="9"/>
        <v>180000</v>
      </c>
      <c r="O65" s="40">
        <f>O66</f>
        <v>180000</v>
      </c>
      <c r="P65" s="40"/>
      <c r="Q65" s="40"/>
      <c r="R65" s="217">
        <f t="shared" si="12"/>
        <v>1</v>
      </c>
      <c r="S65" s="217">
        <f t="shared" si="13"/>
        <v>1</v>
      </c>
    </row>
    <row r="66" spans="1:19" s="37" customFormat="1" ht="21.75" customHeight="1">
      <c r="A66" s="29"/>
      <c r="B66" s="42"/>
      <c r="C66" s="44" t="s">
        <v>85</v>
      </c>
      <c r="D66" s="44">
        <f t="shared" si="11"/>
        <v>100000</v>
      </c>
      <c r="E66" s="44">
        <v>100000</v>
      </c>
      <c r="F66" s="44"/>
      <c r="G66" s="100"/>
      <c r="H66" s="44"/>
      <c r="I66" s="44">
        <v>80000</v>
      </c>
      <c r="J66" s="44">
        <f t="shared" si="8"/>
        <v>180000</v>
      </c>
      <c r="K66" s="44">
        <f>100000+I66</f>
        <v>180000</v>
      </c>
      <c r="L66" s="100"/>
      <c r="M66" s="100"/>
      <c r="N66" s="176">
        <f t="shared" si="9"/>
        <v>180000</v>
      </c>
      <c r="O66" s="44">
        <v>180000</v>
      </c>
      <c r="P66" s="44"/>
      <c r="Q66" s="44"/>
      <c r="R66" s="150">
        <f t="shared" si="12"/>
        <v>1</v>
      </c>
      <c r="S66" s="150">
        <f t="shared" si="13"/>
        <v>1</v>
      </c>
    </row>
    <row r="67" spans="1:19" s="34" customFormat="1" ht="24" customHeight="1">
      <c r="A67" s="45"/>
      <c r="B67" s="39">
        <v>71095</v>
      </c>
      <c r="C67" s="40" t="s">
        <v>18</v>
      </c>
      <c r="D67" s="40">
        <f t="shared" si="11"/>
        <v>100000</v>
      </c>
      <c r="E67" s="40">
        <f>E68</f>
        <v>100000</v>
      </c>
      <c r="F67" s="40"/>
      <c r="G67" s="99"/>
      <c r="H67" s="40">
        <f>H68</f>
        <v>80000</v>
      </c>
      <c r="I67" s="40">
        <f>I68</f>
        <v>0</v>
      </c>
      <c r="J67" s="40">
        <f t="shared" si="8"/>
        <v>5000</v>
      </c>
      <c r="K67" s="40">
        <f>K68</f>
        <v>5000</v>
      </c>
      <c r="L67" s="99"/>
      <c r="M67" s="99"/>
      <c r="N67" s="176"/>
      <c r="O67" s="40"/>
      <c r="P67" s="40"/>
      <c r="Q67" s="40"/>
      <c r="R67" s="150"/>
      <c r="S67" s="150"/>
    </row>
    <row r="68" spans="1:19" s="37" customFormat="1" ht="21.75" customHeight="1">
      <c r="A68" s="41"/>
      <c r="B68" s="42"/>
      <c r="C68" s="44" t="s">
        <v>40</v>
      </c>
      <c r="D68" s="44">
        <f t="shared" si="11"/>
        <v>100000</v>
      </c>
      <c r="E68" s="44">
        <v>100000</v>
      </c>
      <c r="F68" s="44"/>
      <c r="G68" s="100"/>
      <c r="H68" s="44">
        <v>80000</v>
      </c>
      <c r="I68" s="44"/>
      <c r="J68" s="44">
        <f t="shared" si="8"/>
        <v>5000</v>
      </c>
      <c r="K68" s="44">
        <v>5000</v>
      </c>
      <c r="L68" s="100"/>
      <c r="M68" s="100"/>
      <c r="N68" s="176"/>
      <c r="O68" s="44"/>
      <c r="P68" s="44"/>
      <c r="Q68" s="44"/>
      <c r="R68" s="150"/>
      <c r="S68" s="150"/>
    </row>
    <row r="69" spans="1:19" s="37" customFormat="1" ht="21.75" customHeight="1">
      <c r="A69" s="35">
        <v>750</v>
      </c>
      <c r="B69" s="35"/>
      <c r="C69" s="56" t="s">
        <v>41</v>
      </c>
      <c r="D69" s="56">
        <f t="shared" si="11"/>
        <v>1100000</v>
      </c>
      <c r="E69" s="56">
        <f>E72</f>
        <v>1100000</v>
      </c>
      <c r="F69" s="56"/>
      <c r="G69" s="108"/>
      <c r="H69" s="56">
        <f>H72</f>
        <v>0</v>
      </c>
      <c r="I69" s="56">
        <f>I72</f>
        <v>0</v>
      </c>
      <c r="J69" s="56">
        <f>SUM(K69:M69)</f>
        <v>578414</v>
      </c>
      <c r="K69" s="56">
        <f>K70+K72</f>
        <v>578414</v>
      </c>
      <c r="L69" s="108"/>
      <c r="M69" s="108"/>
      <c r="N69" s="182">
        <f>SUM(O69:Q69)</f>
        <v>574798</v>
      </c>
      <c r="O69" s="56">
        <f>O70+O72</f>
        <v>574798</v>
      </c>
      <c r="P69" s="56"/>
      <c r="Q69" s="56"/>
      <c r="R69" s="158">
        <f t="shared" si="12"/>
        <v>0.993748422410246</v>
      </c>
      <c r="S69" s="158">
        <f t="shared" si="13"/>
        <v>0.993748422410246</v>
      </c>
    </row>
    <row r="70" spans="1:19" s="34" customFormat="1" ht="23.25" customHeight="1">
      <c r="A70" s="38"/>
      <c r="B70" s="39">
        <v>75022</v>
      </c>
      <c r="C70" s="47" t="s">
        <v>189</v>
      </c>
      <c r="D70" s="40"/>
      <c r="E70" s="40">
        <f>E71+E74</f>
        <v>1733200</v>
      </c>
      <c r="F70" s="40"/>
      <c r="G70" s="99"/>
      <c r="H70" s="40">
        <f>H71+H74</f>
        <v>0</v>
      </c>
      <c r="I70" s="40">
        <f>I71+I74</f>
        <v>0</v>
      </c>
      <c r="J70" s="40">
        <f>SUM(K70:M70)</f>
        <v>14414</v>
      </c>
      <c r="K70" s="40">
        <f>K71</f>
        <v>14414</v>
      </c>
      <c r="L70" s="99"/>
      <c r="M70" s="99"/>
      <c r="N70" s="174">
        <f>SUM(O70:Q70)</f>
        <v>14414</v>
      </c>
      <c r="O70" s="40">
        <f>O71</f>
        <v>14414</v>
      </c>
      <c r="P70" s="40"/>
      <c r="Q70" s="40"/>
      <c r="R70" s="148">
        <f>N70/J70</f>
        <v>1</v>
      </c>
      <c r="S70" s="148">
        <f>O70/K70</f>
        <v>1</v>
      </c>
    </row>
    <row r="71" spans="1:19" s="37" customFormat="1" ht="21.75" customHeight="1">
      <c r="A71" s="29"/>
      <c r="B71" s="48"/>
      <c r="C71" s="50" t="s">
        <v>35</v>
      </c>
      <c r="D71" s="50"/>
      <c r="E71" s="50">
        <f>SUM(E72:E73)</f>
        <v>1600000</v>
      </c>
      <c r="F71" s="50"/>
      <c r="G71" s="50"/>
      <c r="H71" s="50">
        <f>SUM(H72:H73)</f>
        <v>0</v>
      </c>
      <c r="I71" s="50">
        <f>SUM(I72:I73)</f>
        <v>0</v>
      </c>
      <c r="J71" s="50">
        <f>SUM(K71:M71)</f>
        <v>14414</v>
      </c>
      <c r="K71" s="50">
        <v>14414</v>
      </c>
      <c r="L71" s="50"/>
      <c r="M71" s="101"/>
      <c r="N71" s="176">
        <f>SUM(O71:Q71)</f>
        <v>14414</v>
      </c>
      <c r="O71" s="50">
        <v>14414</v>
      </c>
      <c r="P71" s="50"/>
      <c r="Q71" s="50"/>
      <c r="R71" s="150">
        <f>N71/J71</f>
        <v>1</v>
      </c>
      <c r="S71" s="150">
        <f>O71/K71</f>
        <v>1</v>
      </c>
    </row>
    <row r="72" spans="1:19" s="34" customFormat="1" ht="23.25" customHeight="1">
      <c r="A72" s="45"/>
      <c r="B72" s="39">
        <v>75023</v>
      </c>
      <c r="C72" s="47" t="s">
        <v>145</v>
      </c>
      <c r="D72" s="40">
        <f t="shared" si="11"/>
        <v>1100000</v>
      </c>
      <c r="E72" s="40">
        <f>E73+E76</f>
        <v>1100000</v>
      </c>
      <c r="F72" s="40"/>
      <c r="G72" s="99"/>
      <c r="H72" s="40">
        <f>H73+H76</f>
        <v>0</v>
      </c>
      <c r="I72" s="40">
        <f>I73+I76</f>
        <v>0</v>
      </c>
      <c r="J72" s="40">
        <f t="shared" si="8"/>
        <v>564000</v>
      </c>
      <c r="K72" s="40">
        <f>K73+K76</f>
        <v>564000</v>
      </c>
      <c r="L72" s="99"/>
      <c r="M72" s="99"/>
      <c r="N72" s="174">
        <f t="shared" si="9"/>
        <v>560384</v>
      </c>
      <c r="O72" s="40">
        <f>SUM(O73:O76)</f>
        <v>560384</v>
      </c>
      <c r="P72" s="40"/>
      <c r="Q72" s="40"/>
      <c r="R72" s="148">
        <f t="shared" si="12"/>
        <v>0.9935886524822695</v>
      </c>
      <c r="S72" s="148">
        <f t="shared" si="13"/>
        <v>0.9935886524822695</v>
      </c>
    </row>
    <row r="73" spans="1:19" s="37" customFormat="1" ht="22.5" customHeight="1">
      <c r="A73" s="29"/>
      <c r="B73" s="48"/>
      <c r="C73" s="50" t="s">
        <v>128</v>
      </c>
      <c r="D73" s="50">
        <f t="shared" si="11"/>
        <v>500000</v>
      </c>
      <c r="E73" s="50">
        <f>SUM(E74:E75)</f>
        <v>500000</v>
      </c>
      <c r="F73" s="50"/>
      <c r="G73" s="50"/>
      <c r="H73" s="50">
        <f>SUM(H74:H75)</f>
        <v>0</v>
      </c>
      <c r="I73" s="50">
        <f>SUM(I74:I75)</f>
        <v>0</v>
      </c>
      <c r="J73" s="50">
        <f t="shared" si="8"/>
        <v>350000</v>
      </c>
      <c r="K73" s="50">
        <v>350000</v>
      </c>
      <c r="L73" s="50"/>
      <c r="M73" s="101"/>
      <c r="N73" s="176">
        <f t="shared" si="9"/>
        <v>346792</v>
      </c>
      <c r="O73" s="50">
        <v>346792</v>
      </c>
      <c r="P73" s="50"/>
      <c r="Q73" s="50"/>
      <c r="R73" s="150">
        <f t="shared" si="12"/>
        <v>0.9908342857142857</v>
      </c>
      <c r="S73" s="150">
        <f t="shared" si="13"/>
        <v>0.9908342857142857</v>
      </c>
    </row>
    <row r="74" spans="1:19" s="37" customFormat="1" ht="24" customHeight="1" hidden="1">
      <c r="A74" s="29"/>
      <c r="B74" s="29"/>
      <c r="C74" s="30"/>
      <c r="D74" s="30">
        <f t="shared" si="11"/>
        <v>133200</v>
      </c>
      <c r="E74" s="30">
        <v>133200</v>
      </c>
      <c r="F74" s="30"/>
      <c r="G74" s="96"/>
      <c r="H74" s="30"/>
      <c r="I74" s="30"/>
      <c r="J74" s="30">
        <f t="shared" si="8"/>
        <v>133200</v>
      </c>
      <c r="K74" s="30">
        <v>133200</v>
      </c>
      <c r="L74" s="96"/>
      <c r="M74" s="96"/>
      <c r="N74" s="171"/>
      <c r="O74" s="30"/>
      <c r="P74" s="30"/>
      <c r="Q74" s="30"/>
      <c r="R74" s="145">
        <f t="shared" si="12"/>
        <v>0</v>
      </c>
      <c r="S74" s="145">
        <f t="shared" si="13"/>
        <v>0</v>
      </c>
    </row>
    <row r="75" spans="1:19" s="37" customFormat="1" ht="24" customHeight="1" hidden="1">
      <c r="A75" s="29"/>
      <c r="B75" s="121"/>
      <c r="C75" s="54"/>
      <c r="D75" s="54">
        <f t="shared" si="11"/>
        <v>366800</v>
      </c>
      <c r="E75" s="54">
        <v>366800</v>
      </c>
      <c r="F75" s="54"/>
      <c r="G75" s="103"/>
      <c r="H75" s="54"/>
      <c r="I75" s="54"/>
      <c r="J75" s="54">
        <f t="shared" si="8"/>
        <v>366800</v>
      </c>
      <c r="K75" s="54">
        <v>366800</v>
      </c>
      <c r="L75" s="103"/>
      <c r="M75" s="103"/>
      <c r="N75" s="178"/>
      <c r="O75" s="54"/>
      <c r="P75" s="54"/>
      <c r="Q75" s="54"/>
      <c r="R75" s="152">
        <f t="shared" si="12"/>
        <v>0</v>
      </c>
      <c r="S75" s="152">
        <f t="shared" si="13"/>
        <v>0</v>
      </c>
    </row>
    <row r="76" spans="1:19" s="37" customFormat="1" ht="23.25" customHeight="1">
      <c r="A76" s="41"/>
      <c r="B76" s="41"/>
      <c r="C76" s="58" t="s">
        <v>35</v>
      </c>
      <c r="D76" s="58">
        <f t="shared" si="11"/>
        <v>600000</v>
      </c>
      <c r="E76" s="58">
        <v>600000</v>
      </c>
      <c r="F76" s="58"/>
      <c r="G76" s="109"/>
      <c r="H76" s="58"/>
      <c r="I76" s="58"/>
      <c r="J76" s="58">
        <f t="shared" si="8"/>
        <v>214000</v>
      </c>
      <c r="K76" s="58">
        <v>214000</v>
      </c>
      <c r="L76" s="109"/>
      <c r="M76" s="109"/>
      <c r="N76" s="183">
        <f aca="true" t="shared" si="14" ref="N76:N95">SUM(O76:Q76)</f>
        <v>213592</v>
      </c>
      <c r="O76" s="58">
        <v>213592</v>
      </c>
      <c r="P76" s="58"/>
      <c r="Q76" s="58"/>
      <c r="R76" s="159">
        <f t="shared" si="12"/>
        <v>0.9980934579439252</v>
      </c>
      <c r="S76" s="159">
        <f t="shared" si="13"/>
        <v>0.9980934579439252</v>
      </c>
    </row>
    <row r="77" spans="1:19" s="37" customFormat="1" ht="30.75" customHeight="1">
      <c r="A77" s="83">
        <v>754</v>
      </c>
      <c r="B77" s="35"/>
      <c r="C77" s="59" t="s">
        <v>42</v>
      </c>
      <c r="D77" s="56">
        <f t="shared" si="11"/>
        <v>400000</v>
      </c>
      <c r="E77" s="56">
        <f>E78+E82</f>
        <v>400000</v>
      </c>
      <c r="F77" s="56"/>
      <c r="G77" s="108"/>
      <c r="H77" s="56">
        <f>H78+H82</f>
        <v>32678</v>
      </c>
      <c r="I77" s="56">
        <f>I78+I82</f>
        <v>32678</v>
      </c>
      <c r="J77" s="56">
        <f t="shared" si="8"/>
        <v>406000</v>
      </c>
      <c r="K77" s="56">
        <f>K78+K82+K84</f>
        <v>406000</v>
      </c>
      <c r="L77" s="108"/>
      <c r="M77" s="108"/>
      <c r="N77" s="182">
        <f t="shared" si="14"/>
        <v>400231</v>
      </c>
      <c r="O77" s="56">
        <f>O78+O82+O84</f>
        <v>400231</v>
      </c>
      <c r="P77" s="56"/>
      <c r="Q77" s="56"/>
      <c r="R77" s="158">
        <f t="shared" si="12"/>
        <v>0.9857906403940887</v>
      </c>
      <c r="S77" s="158">
        <f t="shared" si="13"/>
        <v>0.9857906403940887</v>
      </c>
    </row>
    <row r="78" spans="1:19" s="34" customFormat="1" ht="24" customHeight="1">
      <c r="A78" s="38"/>
      <c r="B78" s="39">
        <v>75405</v>
      </c>
      <c r="C78" s="47" t="s">
        <v>43</v>
      </c>
      <c r="D78" s="40">
        <f t="shared" si="11"/>
        <v>300000</v>
      </c>
      <c r="E78" s="40">
        <f>SUM(E79:E80)</f>
        <v>300000</v>
      </c>
      <c r="F78" s="40"/>
      <c r="G78" s="99"/>
      <c r="H78" s="40">
        <f>H79+H80</f>
        <v>32678</v>
      </c>
      <c r="I78" s="40">
        <f>I79+I80</f>
        <v>32678</v>
      </c>
      <c r="J78" s="40">
        <f t="shared" si="8"/>
        <v>300000</v>
      </c>
      <c r="K78" s="40">
        <f>SUM(K79:K81)</f>
        <v>300000</v>
      </c>
      <c r="L78" s="99"/>
      <c r="M78" s="99"/>
      <c r="N78" s="174">
        <f t="shared" si="14"/>
        <v>294406</v>
      </c>
      <c r="O78" s="40">
        <f>SUM(O79:O81)</f>
        <v>294406</v>
      </c>
      <c r="P78" s="40"/>
      <c r="Q78" s="40"/>
      <c r="R78" s="148">
        <f t="shared" si="12"/>
        <v>0.9813533333333333</v>
      </c>
      <c r="S78" s="148">
        <f t="shared" si="13"/>
        <v>0.9813533333333333</v>
      </c>
    </row>
    <row r="79" spans="1:19" s="37" customFormat="1" ht="24" customHeight="1">
      <c r="A79" s="29"/>
      <c r="B79" s="48"/>
      <c r="C79" s="49" t="s">
        <v>129</v>
      </c>
      <c r="D79" s="50">
        <f t="shared" si="11"/>
        <v>200000</v>
      </c>
      <c r="E79" s="50">
        <v>200000</v>
      </c>
      <c r="F79" s="50"/>
      <c r="G79" s="101"/>
      <c r="H79" s="50"/>
      <c r="I79" s="50">
        <v>32678</v>
      </c>
      <c r="J79" s="50">
        <f t="shared" si="8"/>
        <v>232678</v>
      </c>
      <c r="K79" s="50">
        <f>200000+I79</f>
        <v>232678</v>
      </c>
      <c r="L79" s="101"/>
      <c r="M79" s="101"/>
      <c r="N79" s="194">
        <f t="shared" si="14"/>
        <v>232677</v>
      </c>
      <c r="O79" s="50">
        <v>232677</v>
      </c>
      <c r="P79" s="50"/>
      <c r="Q79" s="50"/>
      <c r="R79" s="195">
        <v>0.9999</v>
      </c>
      <c r="S79" s="195">
        <v>0.9999</v>
      </c>
    </row>
    <row r="80" spans="1:19" s="37" customFormat="1" ht="23.25" customHeight="1">
      <c r="A80" s="29"/>
      <c r="B80" s="29"/>
      <c r="C80" s="81" t="s">
        <v>162</v>
      </c>
      <c r="D80" s="30">
        <f t="shared" si="11"/>
        <v>100000</v>
      </c>
      <c r="E80" s="30">
        <v>100000</v>
      </c>
      <c r="F80" s="30"/>
      <c r="G80" s="96"/>
      <c r="H80" s="30">
        <v>32678</v>
      </c>
      <c r="I80" s="30"/>
      <c r="J80" s="30">
        <v>0</v>
      </c>
      <c r="K80" s="30"/>
      <c r="L80" s="96"/>
      <c r="M80" s="96"/>
      <c r="N80" s="177"/>
      <c r="O80" s="30"/>
      <c r="P80" s="30"/>
      <c r="Q80" s="30"/>
      <c r="R80" s="151"/>
      <c r="S80" s="151"/>
    </row>
    <row r="81" spans="1:19" s="37" customFormat="1" ht="21.75" customHeight="1">
      <c r="A81" s="41"/>
      <c r="B81" s="41"/>
      <c r="C81" s="76" t="s">
        <v>190</v>
      </c>
      <c r="D81" s="53"/>
      <c r="E81" s="53"/>
      <c r="F81" s="53"/>
      <c r="G81" s="104"/>
      <c r="H81" s="53"/>
      <c r="I81" s="53"/>
      <c r="J81" s="53">
        <f t="shared" si="8"/>
        <v>67322</v>
      </c>
      <c r="K81" s="53">
        <v>67322</v>
      </c>
      <c r="L81" s="104"/>
      <c r="M81" s="104"/>
      <c r="N81" s="180">
        <f t="shared" si="14"/>
        <v>61729</v>
      </c>
      <c r="O81" s="53">
        <v>61729</v>
      </c>
      <c r="P81" s="53"/>
      <c r="Q81" s="53"/>
      <c r="R81" s="154">
        <f t="shared" si="12"/>
        <v>0.9169216600813999</v>
      </c>
      <c r="S81" s="154">
        <f t="shared" si="13"/>
        <v>0.9169216600813999</v>
      </c>
    </row>
    <row r="82" spans="1:19" s="34" customFormat="1" ht="29.25" customHeight="1">
      <c r="A82" s="45"/>
      <c r="B82" s="67">
        <v>75411</v>
      </c>
      <c r="C82" s="61" t="s">
        <v>44</v>
      </c>
      <c r="D82" s="55">
        <f t="shared" si="11"/>
        <v>100000</v>
      </c>
      <c r="E82" s="55">
        <f>E83</f>
        <v>100000</v>
      </c>
      <c r="F82" s="55"/>
      <c r="G82" s="110"/>
      <c r="H82" s="55">
        <f>H83</f>
        <v>0</v>
      </c>
      <c r="I82" s="55">
        <f>I83</f>
        <v>0</v>
      </c>
      <c r="J82" s="55">
        <f t="shared" si="8"/>
        <v>100000</v>
      </c>
      <c r="K82" s="55">
        <f>K83</f>
        <v>100000</v>
      </c>
      <c r="L82" s="110"/>
      <c r="M82" s="110"/>
      <c r="N82" s="184">
        <f t="shared" si="14"/>
        <v>100000</v>
      </c>
      <c r="O82" s="55">
        <f>O83</f>
        <v>100000</v>
      </c>
      <c r="P82" s="55"/>
      <c r="Q82" s="55"/>
      <c r="R82" s="160">
        <f t="shared" si="12"/>
        <v>1</v>
      </c>
      <c r="S82" s="160">
        <f t="shared" si="13"/>
        <v>1</v>
      </c>
    </row>
    <row r="83" spans="1:19" s="37" customFormat="1" ht="31.5" customHeight="1">
      <c r="A83" s="29"/>
      <c r="B83" s="196"/>
      <c r="C83" s="43" t="s">
        <v>45</v>
      </c>
      <c r="D83" s="44">
        <f t="shared" si="11"/>
        <v>100000</v>
      </c>
      <c r="E83" s="44">
        <v>100000</v>
      </c>
      <c r="F83" s="44"/>
      <c r="G83" s="100"/>
      <c r="H83" s="44"/>
      <c r="I83" s="44"/>
      <c r="J83" s="44">
        <f t="shared" si="8"/>
        <v>100000</v>
      </c>
      <c r="K83" s="44">
        <v>100000</v>
      </c>
      <c r="L83" s="100"/>
      <c r="M83" s="100"/>
      <c r="N83" s="175">
        <f t="shared" si="14"/>
        <v>100000</v>
      </c>
      <c r="O83" s="44">
        <v>100000</v>
      </c>
      <c r="P83" s="44"/>
      <c r="Q83" s="44"/>
      <c r="R83" s="149">
        <f t="shared" si="12"/>
        <v>1</v>
      </c>
      <c r="S83" s="149">
        <f t="shared" si="13"/>
        <v>1</v>
      </c>
    </row>
    <row r="84" spans="1:19" s="34" customFormat="1" ht="24" customHeight="1">
      <c r="A84" s="45"/>
      <c r="B84" s="67">
        <v>75416</v>
      </c>
      <c r="C84" s="61" t="s">
        <v>191</v>
      </c>
      <c r="D84" s="55"/>
      <c r="E84" s="55">
        <f>E85</f>
        <v>100000</v>
      </c>
      <c r="F84" s="55"/>
      <c r="G84" s="110"/>
      <c r="H84" s="55">
        <f>H85</f>
        <v>0</v>
      </c>
      <c r="I84" s="55">
        <f>I85</f>
        <v>0</v>
      </c>
      <c r="J84" s="55">
        <f>SUM(K84:M84)</f>
        <v>6000</v>
      </c>
      <c r="K84" s="55">
        <f>K85</f>
        <v>6000</v>
      </c>
      <c r="L84" s="110"/>
      <c r="M84" s="110"/>
      <c r="N84" s="184">
        <f>SUM(O84:Q84)</f>
        <v>5825</v>
      </c>
      <c r="O84" s="55">
        <f>O85</f>
        <v>5825</v>
      </c>
      <c r="P84" s="55"/>
      <c r="Q84" s="55"/>
      <c r="R84" s="160">
        <f>N84/J84</f>
        <v>0.9708333333333333</v>
      </c>
      <c r="S84" s="160">
        <f>O84/K84</f>
        <v>0.9708333333333333</v>
      </c>
    </row>
    <row r="85" spans="1:19" s="37" customFormat="1" ht="22.5" customHeight="1">
      <c r="A85" s="41"/>
      <c r="B85" s="42"/>
      <c r="C85" s="43" t="s">
        <v>35</v>
      </c>
      <c r="D85" s="44"/>
      <c r="E85" s="44">
        <v>100000</v>
      </c>
      <c r="F85" s="44"/>
      <c r="G85" s="100"/>
      <c r="H85" s="44"/>
      <c r="I85" s="44"/>
      <c r="J85" s="44">
        <f>SUM(K85:M85)</f>
        <v>6000</v>
      </c>
      <c r="K85" s="44">
        <v>6000</v>
      </c>
      <c r="L85" s="100"/>
      <c r="M85" s="100"/>
      <c r="N85" s="175">
        <f>SUM(O85:Q85)</f>
        <v>5825</v>
      </c>
      <c r="O85" s="44">
        <v>5825</v>
      </c>
      <c r="P85" s="44"/>
      <c r="Q85" s="44"/>
      <c r="R85" s="149">
        <f>N85/J85</f>
        <v>0.9708333333333333</v>
      </c>
      <c r="S85" s="149">
        <f>O85/K85</f>
        <v>0.9708333333333333</v>
      </c>
    </row>
    <row r="86" spans="1:19" s="37" customFormat="1" ht="24" customHeight="1">
      <c r="A86" s="62">
        <v>801</v>
      </c>
      <c r="B86" s="63"/>
      <c r="C86" s="64" t="s">
        <v>46</v>
      </c>
      <c r="D86" s="77">
        <f t="shared" si="11"/>
        <v>9340000</v>
      </c>
      <c r="E86" s="36">
        <f>E87+E96+E98+E103+E106</f>
        <v>9340000</v>
      </c>
      <c r="F86" s="36"/>
      <c r="G86" s="98"/>
      <c r="H86" s="36">
        <f>H87+H96+H98+H103+H106</f>
        <v>1215559</v>
      </c>
      <c r="I86" s="36">
        <f>I87+I96+I98+I103+I106</f>
        <v>1745573</v>
      </c>
      <c r="J86" s="77">
        <f t="shared" si="8"/>
        <v>10781171</v>
      </c>
      <c r="K86" s="36">
        <f>K87+K96+K98+K103+K106+K111</f>
        <v>9790771</v>
      </c>
      <c r="L86" s="36"/>
      <c r="M86" s="36">
        <f>M87+M96+M98+M103+M106</f>
        <v>990400</v>
      </c>
      <c r="N86" s="173">
        <f t="shared" si="14"/>
        <v>10570688</v>
      </c>
      <c r="O86" s="36">
        <f>O87+O96+O98+O103+O106+O111</f>
        <v>9580288</v>
      </c>
      <c r="P86" s="36"/>
      <c r="Q86" s="36">
        <f>Q87+Q96+Q98+Q103+Q106</f>
        <v>990400</v>
      </c>
      <c r="R86" s="147">
        <f t="shared" si="12"/>
        <v>0.9804767960734506</v>
      </c>
      <c r="S86" s="147">
        <f t="shared" si="13"/>
        <v>0.978501897348023</v>
      </c>
    </row>
    <row r="87" spans="1:19" s="34" customFormat="1" ht="24" customHeight="1">
      <c r="A87" s="38"/>
      <c r="B87" s="65">
        <v>80101</v>
      </c>
      <c r="C87" s="47" t="s">
        <v>47</v>
      </c>
      <c r="D87" s="40">
        <f t="shared" si="11"/>
        <v>5150000</v>
      </c>
      <c r="E87" s="40">
        <f>SUM(E88:E93)</f>
        <v>5150000</v>
      </c>
      <c r="F87" s="40"/>
      <c r="G87" s="99"/>
      <c r="H87" s="40">
        <f>SUM(H88:H95)</f>
        <v>471500</v>
      </c>
      <c r="I87" s="40">
        <f>SUM(I88:I95)</f>
        <v>802000</v>
      </c>
      <c r="J87" s="40">
        <f t="shared" si="8"/>
        <v>6067126</v>
      </c>
      <c r="K87" s="40">
        <f>SUM(K88:K95)</f>
        <v>5416726</v>
      </c>
      <c r="L87" s="40"/>
      <c r="M87" s="40">
        <f>SUM(M88:M95)</f>
        <v>650400</v>
      </c>
      <c r="N87" s="174">
        <f t="shared" si="14"/>
        <v>5952574</v>
      </c>
      <c r="O87" s="40">
        <f>SUM(O88:O95)</f>
        <v>5302174</v>
      </c>
      <c r="P87" s="40"/>
      <c r="Q87" s="40">
        <f>SUM(Q88:Q95)</f>
        <v>650400</v>
      </c>
      <c r="R87" s="148">
        <f t="shared" si="12"/>
        <v>0.9811192317416846</v>
      </c>
      <c r="S87" s="148">
        <f t="shared" si="13"/>
        <v>0.9788521701116135</v>
      </c>
    </row>
    <row r="88" spans="1:19" s="37" customFormat="1" ht="24" customHeight="1">
      <c r="A88" s="29"/>
      <c r="B88" s="48"/>
      <c r="C88" s="69" t="s">
        <v>182</v>
      </c>
      <c r="D88" s="54">
        <f t="shared" si="11"/>
        <v>1300000</v>
      </c>
      <c r="E88" s="54">
        <v>1300000</v>
      </c>
      <c r="F88" s="54"/>
      <c r="G88" s="103"/>
      <c r="H88" s="54"/>
      <c r="I88" s="54"/>
      <c r="J88" s="54">
        <f t="shared" si="8"/>
        <v>1250000</v>
      </c>
      <c r="K88" s="54">
        <v>1250000</v>
      </c>
      <c r="L88" s="103"/>
      <c r="M88" s="103"/>
      <c r="N88" s="178">
        <f t="shared" si="14"/>
        <v>1248961</v>
      </c>
      <c r="O88" s="54">
        <v>1248961</v>
      </c>
      <c r="P88" s="54"/>
      <c r="Q88" s="54"/>
      <c r="R88" s="152">
        <f t="shared" si="12"/>
        <v>0.9991688</v>
      </c>
      <c r="S88" s="152">
        <f t="shared" si="13"/>
        <v>0.9991688</v>
      </c>
    </row>
    <row r="89" spans="1:19" s="37" customFormat="1" ht="24" customHeight="1">
      <c r="A89" s="29"/>
      <c r="B89" s="29"/>
      <c r="C89" s="51" t="s">
        <v>48</v>
      </c>
      <c r="D89" s="52">
        <f t="shared" si="11"/>
        <v>2000000</v>
      </c>
      <c r="E89" s="52">
        <v>2000000</v>
      </c>
      <c r="F89" s="52"/>
      <c r="G89" s="102"/>
      <c r="H89" s="52"/>
      <c r="I89" s="52">
        <v>797000</v>
      </c>
      <c r="J89" s="52">
        <f t="shared" si="8"/>
        <v>3548710</v>
      </c>
      <c r="K89" s="52">
        <v>2898310</v>
      </c>
      <c r="L89" s="102"/>
      <c r="M89" s="102">
        <v>650400</v>
      </c>
      <c r="N89" s="177">
        <f t="shared" si="14"/>
        <v>3447212</v>
      </c>
      <c r="O89" s="52">
        <v>2796812</v>
      </c>
      <c r="P89" s="52"/>
      <c r="Q89" s="52">
        <v>650400</v>
      </c>
      <c r="R89" s="151">
        <f t="shared" si="12"/>
        <v>0.9713986209073157</v>
      </c>
      <c r="S89" s="151">
        <f t="shared" si="13"/>
        <v>0.9649802816123879</v>
      </c>
    </row>
    <row r="90" spans="1:19" s="37" customFormat="1" ht="30" customHeight="1">
      <c r="A90" s="29"/>
      <c r="B90" s="29"/>
      <c r="C90" s="51" t="s">
        <v>49</v>
      </c>
      <c r="D90" s="52">
        <f t="shared" si="11"/>
        <v>200000</v>
      </c>
      <c r="E90" s="52">
        <v>200000</v>
      </c>
      <c r="F90" s="52"/>
      <c r="G90" s="102"/>
      <c r="H90" s="52">
        <v>100000</v>
      </c>
      <c r="I90" s="52"/>
      <c r="J90" s="52">
        <f t="shared" si="8"/>
        <v>48690</v>
      </c>
      <c r="K90" s="52">
        <v>48690</v>
      </c>
      <c r="L90" s="102"/>
      <c r="M90" s="102"/>
      <c r="N90" s="177">
        <f t="shared" si="14"/>
        <v>45140</v>
      </c>
      <c r="O90" s="52">
        <v>45140</v>
      </c>
      <c r="P90" s="52"/>
      <c r="Q90" s="52"/>
      <c r="R90" s="151">
        <f t="shared" si="12"/>
        <v>0.9270897514890121</v>
      </c>
      <c r="S90" s="151">
        <f t="shared" si="13"/>
        <v>0.9270897514890121</v>
      </c>
    </row>
    <row r="91" spans="1:19" s="37" customFormat="1" ht="30" customHeight="1">
      <c r="A91" s="29"/>
      <c r="B91" s="29"/>
      <c r="C91" s="69" t="s">
        <v>50</v>
      </c>
      <c r="D91" s="54">
        <f t="shared" si="11"/>
        <v>200000</v>
      </c>
      <c r="E91" s="54">
        <v>200000</v>
      </c>
      <c r="F91" s="54"/>
      <c r="G91" s="103"/>
      <c r="H91" s="54">
        <v>100000</v>
      </c>
      <c r="I91" s="54"/>
      <c r="J91" s="54">
        <f t="shared" si="8"/>
        <v>52000</v>
      </c>
      <c r="K91" s="54">
        <v>52000</v>
      </c>
      <c r="L91" s="103"/>
      <c r="M91" s="103"/>
      <c r="N91" s="178">
        <f t="shared" si="14"/>
        <v>51209</v>
      </c>
      <c r="O91" s="54">
        <v>51209</v>
      </c>
      <c r="P91" s="54"/>
      <c r="Q91" s="54"/>
      <c r="R91" s="152">
        <f t="shared" si="12"/>
        <v>0.9847884615384616</v>
      </c>
      <c r="S91" s="152">
        <f t="shared" si="13"/>
        <v>0.9847884615384616</v>
      </c>
    </row>
    <row r="92" spans="1:19" s="37" customFormat="1" ht="24.75" customHeight="1">
      <c r="A92" s="29"/>
      <c r="B92" s="29"/>
      <c r="C92" s="51" t="s">
        <v>84</v>
      </c>
      <c r="D92" s="52">
        <f t="shared" si="11"/>
        <v>50000</v>
      </c>
      <c r="E92" s="52">
        <v>50000</v>
      </c>
      <c r="F92" s="52"/>
      <c r="G92" s="102"/>
      <c r="H92" s="52"/>
      <c r="I92" s="52"/>
      <c r="J92" s="52">
        <v>0</v>
      </c>
      <c r="K92" s="52"/>
      <c r="L92" s="102"/>
      <c r="M92" s="102"/>
      <c r="N92" s="178"/>
      <c r="O92" s="52"/>
      <c r="P92" s="52"/>
      <c r="Q92" s="52"/>
      <c r="R92" s="152"/>
      <c r="S92" s="152"/>
    </row>
    <row r="93" spans="1:19" s="37" customFormat="1" ht="24" customHeight="1">
      <c r="A93" s="29"/>
      <c r="B93" s="29"/>
      <c r="C93" s="71" t="s">
        <v>51</v>
      </c>
      <c r="D93" s="71">
        <f t="shared" si="11"/>
        <v>1400000</v>
      </c>
      <c r="E93" s="71">
        <v>1400000</v>
      </c>
      <c r="F93" s="71"/>
      <c r="G93" s="71"/>
      <c r="H93" s="71">
        <v>145000</v>
      </c>
      <c r="I93" s="71"/>
      <c r="J93" s="71">
        <f t="shared" si="8"/>
        <v>1111042</v>
      </c>
      <c r="K93" s="71">
        <v>1111042</v>
      </c>
      <c r="L93" s="71"/>
      <c r="M93" s="105"/>
      <c r="N93" s="179">
        <f t="shared" si="14"/>
        <v>1109953</v>
      </c>
      <c r="O93" s="71">
        <v>1109953</v>
      </c>
      <c r="P93" s="71"/>
      <c r="Q93" s="71"/>
      <c r="R93" s="153">
        <f t="shared" si="12"/>
        <v>0.9990198390339879</v>
      </c>
      <c r="S93" s="152">
        <f t="shared" si="13"/>
        <v>0.9990198390339879</v>
      </c>
    </row>
    <row r="94" spans="1:19" s="37" customFormat="1" ht="24" customHeight="1" hidden="1">
      <c r="A94" s="29"/>
      <c r="B94" s="29"/>
      <c r="C94" s="30"/>
      <c r="D94" s="30"/>
      <c r="E94" s="30"/>
      <c r="F94" s="30"/>
      <c r="G94" s="96"/>
      <c r="H94" s="30">
        <v>126500</v>
      </c>
      <c r="I94" s="30"/>
      <c r="J94" s="30"/>
      <c r="K94" s="30"/>
      <c r="L94" s="96"/>
      <c r="M94" s="96"/>
      <c r="N94" s="179">
        <f t="shared" si="14"/>
        <v>0</v>
      </c>
      <c r="O94" s="30"/>
      <c r="P94" s="30"/>
      <c r="Q94" s="30"/>
      <c r="R94" s="153" t="e">
        <f t="shared" si="12"/>
        <v>#DIV/0!</v>
      </c>
      <c r="S94" s="152" t="e">
        <f t="shared" si="13"/>
        <v>#DIV/0!</v>
      </c>
    </row>
    <row r="95" spans="1:19" s="37" customFormat="1" ht="24" customHeight="1">
      <c r="A95" s="29"/>
      <c r="B95" s="41"/>
      <c r="C95" s="53" t="s">
        <v>35</v>
      </c>
      <c r="D95" s="53"/>
      <c r="E95" s="53"/>
      <c r="F95" s="53"/>
      <c r="G95" s="104"/>
      <c r="H95" s="53"/>
      <c r="I95" s="53">
        <v>5000</v>
      </c>
      <c r="J95" s="53">
        <f>SUM(K95:M95)</f>
        <v>56684</v>
      </c>
      <c r="K95" s="53">
        <v>56684</v>
      </c>
      <c r="L95" s="104"/>
      <c r="M95" s="104"/>
      <c r="N95" s="180">
        <f t="shared" si="14"/>
        <v>50099</v>
      </c>
      <c r="O95" s="53">
        <v>50099</v>
      </c>
      <c r="P95" s="53"/>
      <c r="Q95" s="53"/>
      <c r="R95" s="154">
        <f t="shared" si="12"/>
        <v>0.8838296521064145</v>
      </c>
      <c r="S95" s="145">
        <f t="shared" si="13"/>
        <v>0.8838296521064145</v>
      </c>
    </row>
    <row r="96" spans="1:19" s="34" customFormat="1" ht="24" customHeight="1">
      <c r="A96" s="45"/>
      <c r="B96" s="67">
        <v>80102</v>
      </c>
      <c r="C96" s="61" t="s">
        <v>52</v>
      </c>
      <c r="D96" s="55">
        <f t="shared" si="11"/>
        <v>20000</v>
      </c>
      <c r="E96" s="68">
        <f>E97</f>
        <v>20000</v>
      </c>
      <c r="F96" s="68"/>
      <c r="G96" s="110"/>
      <c r="H96" s="68">
        <f>H97</f>
        <v>0</v>
      </c>
      <c r="I96" s="68">
        <f>I97</f>
        <v>0</v>
      </c>
      <c r="J96" s="55">
        <v>0</v>
      </c>
      <c r="K96" s="68"/>
      <c r="L96" s="117"/>
      <c r="M96" s="110"/>
      <c r="N96" s="184"/>
      <c r="O96" s="55"/>
      <c r="P96" s="55"/>
      <c r="Q96" s="55"/>
      <c r="R96" s="160"/>
      <c r="S96" s="148"/>
    </row>
    <row r="97" spans="1:19" s="37" customFormat="1" ht="24" customHeight="1">
      <c r="A97" s="29"/>
      <c r="B97" s="42"/>
      <c r="C97" s="44" t="s">
        <v>35</v>
      </c>
      <c r="D97" s="44">
        <f t="shared" si="11"/>
        <v>20000</v>
      </c>
      <c r="E97" s="44">
        <v>20000</v>
      </c>
      <c r="F97" s="44"/>
      <c r="G97" s="100"/>
      <c r="H97" s="44"/>
      <c r="I97" s="44"/>
      <c r="J97" s="44">
        <v>0</v>
      </c>
      <c r="K97" s="44"/>
      <c r="L97" s="100"/>
      <c r="M97" s="100"/>
      <c r="N97" s="175"/>
      <c r="O97" s="44"/>
      <c r="P97" s="44"/>
      <c r="Q97" s="44"/>
      <c r="R97" s="149"/>
      <c r="S97" s="149"/>
    </row>
    <row r="98" spans="1:19" s="34" customFormat="1" ht="24" customHeight="1">
      <c r="A98" s="45"/>
      <c r="B98" s="65">
        <v>80110</v>
      </c>
      <c r="C98" s="47" t="s">
        <v>53</v>
      </c>
      <c r="D98" s="40">
        <f t="shared" si="11"/>
        <v>1300000</v>
      </c>
      <c r="E98" s="66">
        <f>SUM(E99:E102)</f>
        <v>1300000</v>
      </c>
      <c r="F98" s="66"/>
      <c r="G98" s="99"/>
      <c r="H98" s="66">
        <f>SUM(H99:H102)</f>
        <v>427000</v>
      </c>
      <c r="I98" s="66">
        <f>SUM(I99:I102)</f>
        <v>4670</v>
      </c>
      <c r="J98" s="40">
        <f t="shared" si="8"/>
        <v>867079</v>
      </c>
      <c r="K98" s="66">
        <f>SUM(K99:K102)</f>
        <v>867079</v>
      </c>
      <c r="L98" s="118"/>
      <c r="M98" s="99"/>
      <c r="N98" s="174">
        <f aca="true" t="shared" si="15" ref="N98:N116">SUM(O98:Q98)</f>
        <v>772075</v>
      </c>
      <c r="O98" s="40">
        <f>SUM(O99:O102)</f>
        <v>772075</v>
      </c>
      <c r="P98" s="40"/>
      <c r="Q98" s="40"/>
      <c r="R98" s="148">
        <f aca="true" t="shared" si="16" ref="R98:R129">N98/J98</f>
        <v>0.8904321290216923</v>
      </c>
      <c r="S98" s="148">
        <f aca="true" t="shared" si="17" ref="S98:S129">O98/K98</f>
        <v>0.8904321290216923</v>
      </c>
    </row>
    <row r="99" spans="1:19" s="37" customFormat="1" ht="22.5" customHeight="1">
      <c r="A99" s="29"/>
      <c r="B99" s="48"/>
      <c r="C99" s="50" t="s">
        <v>133</v>
      </c>
      <c r="D99" s="50">
        <f aca="true" t="shared" si="18" ref="D99:D105">SUM(E99:G99)</f>
        <v>200000</v>
      </c>
      <c r="E99" s="50">
        <v>200000</v>
      </c>
      <c r="F99" s="50"/>
      <c r="G99" s="101"/>
      <c r="H99" s="50">
        <v>100000</v>
      </c>
      <c r="I99" s="50"/>
      <c r="J99" s="50">
        <f aca="true" t="shared" si="19" ref="J99:J105">SUM(K99:M99)</f>
        <v>55000</v>
      </c>
      <c r="K99" s="50">
        <v>55000</v>
      </c>
      <c r="L99" s="101"/>
      <c r="M99" s="101"/>
      <c r="N99" s="177">
        <f t="shared" si="15"/>
        <v>51240</v>
      </c>
      <c r="O99" s="50">
        <v>51240</v>
      </c>
      <c r="P99" s="50"/>
      <c r="Q99" s="50"/>
      <c r="R99" s="151">
        <f t="shared" si="16"/>
        <v>0.9316363636363636</v>
      </c>
      <c r="S99" s="161">
        <f t="shared" si="17"/>
        <v>0.9316363636363636</v>
      </c>
    </row>
    <row r="100" spans="1:19" s="37" customFormat="1" ht="22.5" customHeight="1">
      <c r="A100" s="29"/>
      <c r="B100" s="29"/>
      <c r="C100" s="52" t="s">
        <v>119</v>
      </c>
      <c r="D100" s="52">
        <f t="shared" si="18"/>
        <v>500000</v>
      </c>
      <c r="E100" s="52">
        <v>500000</v>
      </c>
      <c r="F100" s="52"/>
      <c r="G100" s="102"/>
      <c r="H100" s="52">
        <v>250000</v>
      </c>
      <c r="I100" s="52"/>
      <c r="J100" s="52">
        <f t="shared" si="19"/>
        <v>338000</v>
      </c>
      <c r="K100" s="52">
        <v>338000</v>
      </c>
      <c r="L100" s="102"/>
      <c r="M100" s="102"/>
      <c r="N100" s="177">
        <f t="shared" si="15"/>
        <v>337892</v>
      </c>
      <c r="O100" s="52">
        <v>337892</v>
      </c>
      <c r="P100" s="52"/>
      <c r="Q100" s="52"/>
      <c r="R100" s="151">
        <f t="shared" si="16"/>
        <v>0.9996804733727811</v>
      </c>
      <c r="S100" s="152">
        <f t="shared" si="17"/>
        <v>0.9996804733727811</v>
      </c>
    </row>
    <row r="101" spans="1:19" s="37" customFormat="1" ht="22.5" customHeight="1">
      <c r="A101" s="29"/>
      <c r="B101" s="29"/>
      <c r="C101" s="30" t="s">
        <v>55</v>
      </c>
      <c r="D101" s="30">
        <f t="shared" si="18"/>
        <v>500000</v>
      </c>
      <c r="E101" s="30">
        <v>500000</v>
      </c>
      <c r="F101" s="30"/>
      <c r="G101" s="96"/>
      <c r="H101" s="30">
        <v>77000</v>
      </c>
      <c r="I101" s="30"/>
      <c r="J101" s="30">
        <f t="shared" si="19"/>
        <v>428409</v>
      </c>
      <c r="K101" s="30">
        <v>428409</v>
      </c>
      <c r="L101" s="96"/>
      <c r="M101" s="96"/>
      <c r="N101" s="171">
        <f t="shared" si="15"/>
        <v>337276</v>
      </c>
      <c r="O101" s="30">
        <v>337276</v>
      </c>
      <c r="P101" s="30"/>
      <c r="Q101" s="30"/>
      <c r="R101" s="145">
        <f t="shared" si="16"/>
        <v>0.7872757108277371</v>
      </c>
      <c r="S101" s="145">
        <f t="shared" si="17"/>
        <v>0.7872757108277371</v>
      </c>
    </row>
    <row r="102" spans="1:19" s="37" customFormat="1" ht="22.5" customHeight="1">
      <c r="A102" s="29"/>
      <c r="B102" s="41"/>
      <c r="C102" s="53" t="s">
        <v>35</v>
      </c>
      <c r="D102" s="53">
        <f t="shared" si="18"/>
        <v>100000</v>
      </c>
      <c r="E102" s="53">
        <v>100000</v>
      </c>
      <c r="F102" s="53"/>
      <c r="G102" s="104"/>
      <c r="H102" s="53"/>
      <c r="I102" s="53">
        <v>4670</v>
      </c>
      <c r="J102" s="53">
        <f t="shared" si="19"/>
        <v>45670</v>
      </c>
      <c r="K102" s="53">
        <v>45670</v>
      </c>
      <c r="L102" s="104"/>
      <c r="M102" s="104"/>
      <c r="N102" s="180">
        <f t="shared" si="15"/>
        <v>45667</v>
      </c>
      <c r="O102" s="53">
        <v>45667</v>
      </c>
      <c r="P102" s="53"/>
      <c r="Q102" s="53"/>
      <c r="R102" s="154">
        <f t="shared" si="16"/>
        <v>0.999934311364134</v>
      </c>
      <c r="S102" s="154">
        <f t="shared" si="17"/>
        <v>0.999934311364134</v>
      </c>
    </row>
    <row r="103" spans="1:19" s="34" customFormat="1" ht="24" customHeight="1">
      <c r="A103" s="45"/>
      <c r="B103" s="65">
        <v>80120</v>
      </c>
      <c r="C103" s="47" t="s">
        <v>54</v>
      </c>
      <c r="D103" s="40">
        <f t="shared" si="18"/>
        <v>735000</v>
      </c>
      <c r="E103" s="66">
        <f>E104+E105</f>
        <v>735000</v>
      </c>
      <c r="F103" s="66"/>
      <c r="G103" s="99"/>
      <c r="H103" s="66">
        <f>H104+H105</f>
        <v>243059</v>
      </c>
      <c r="I103" s="66">
        <f>I104+I105</f>
        <v>0</v>
      </c>
      <c r="J103" s="40">
        <f t="shared" si="19"/>
        <v>487489</v>
      </c>
      <c r="K103" s="66">
        <f>K104+K105</f>
        <v>487489</v>
      </c>
      <c r="L103" s="118"/>
      <c r="M103" s="99"/>
      <c r="N103" s="174">
        <f t="shared" si="15"/>
        <v>487444</v>
      </c>
      <c r="O103" s="40">
        <f>SUM(O104:O105)</f>
        <v>487444</v>
      </c>
      <c r="P103" s="40"/>
      <c r="Q103" s="40"/>
      <c r="R103" s="148">
        <f t="shared" si="16"/>
        <v>0.9999076902248051</v>
      </c>
      <c r="S103" s="148">
        <f t="shared" si="17"/>
        <v>0.9999076902248051</v>
      </c>
    </row>
    <row r="104" spans="1:19" s="37" customFormat="1" ht="24" customHeight="1">
      <c r="A104" s="29"/>
      <c r="B104" s="48"/>
      <c r="C104" s="50" t="s">
        <v>55</v>
      </c>
      <c r="D104" s="50">
        <f t="shared" si="18"/>
        <v>700000</v>
      </c>
      <c r="E104" s="50">
        <v>700000</v>
      </c>
      <c r="F104" s="50"/>
      <c r="G104" s="101"/>
      <c r="H104" s="50">
        <v>240000</v>
      </c>
      <c r="I104" s="50"/>
      <c r="J104" s="50">
        <f t="shared" si="19"/>
        <v>458879</v>
      </c>
      <c r="K104" s="50">
        <v>458879</v>
      </c>
      <c r="L104" s="101"/>
      <c r="M104" s="101"/>
      <c r="N104" s="176">
        <f t="shared" si="15"/>
        <v>458838</v>
      </c>
      <c r="O104" s="50">
        <v>458838</v>
      </c>
      <c r="P104" s="50"/>
      <c r="Q104" s="50"/>
      <c r="R104" s="150">
        <f t="shared" si="16"/>
        <v>0.999910651827606</v>
      </c>
      <c r="S104" s="150">
        <f t="shared" si="17"/>
        <v>0.999910651827606</v>
      </c>
    </row>
    <row r="105" spans="1:19" s="37" customFormat="1" ht="24" customHeight="1">
      <c r="A105" s="29"/>
      <c r="B105" s="41"/>
      <c r="C105" s="58" t="s">
        <v>35</v>
      </c>
      <c r="D105" s="58">
        <f t="shared" si="18"/>
        <v>35000</v>
      </c>
      <c r="E105" s="58">
        <v>35000</v>
      </c>
      <c r="F105" s="58"/>
      <c r="G105" s="109"/>
      <c r="H105" s="58">
        <v>3059</v>
      </c>
      <c r="I105" s="58"/>
      <c r="J105" s="58">
        <f t="shared" si="19"/>
        <v>28610</v>
      </c>
      <c r="K105" s="58">
        <v>28610</v>
      </c>
      <c r="L105" s="109"/>
      <c r="M105" s="109"/>
      <c r="N105" s="183">
        <f t="shared" si="15"/>
        <v>28606</v>
      </c>
      <c r="O105" s="58">
        <v>28606</v>
      </c>
      <c r="P105" s="58"/>
      <c r="Q105" s="58"/>
      <c r="R105" s="159">
        <f t="shared" si="16"/>
        <v>0.999860188745194</v>
      </c>
      <c r="S105" s="159">
        <f t="shared" si="17"/>
        <v>0.999860188745194</v>
      </c>
    </row>
    <row r="106" spans="1:19" s="34" customFormat="1" ht="24" customHeight="1">
      <c r="A106" s="45"/>
      <c r="B106" s="67">
        <v>80130</v>
      </c>
      <c r="C106" s="61" t="s">
        <v>120</v>
      </c>
      <c r="D106" s="55">
        <f aca="true" t="shared" si="20" ref="D106:D133">SUM(E106:G106)</f>
        <v>2135000</v>
      </c>
      <c r="E106" s="40">
        <f>SUM(E107:E110)</f>
        <v>2135000</v>
      </c>
      <c r="F106" s="40"/>
      <c r="G106" s="110"/>
      <c r="H106" s="40">
        <f>SUM(H107:H110)</f>
        <v>74000</v>
      </c>
      <c r="I106" s="40">
        <f>SUM(I107:I110)</f>
        <v>938903</v>
      </c>
      <c r="J106" s="55">
        <f aca="true" t="shared" si="21" ref="J106:J130">SUM(K106:M106)</f>
        <v>3355577</v>
      </c>
      <c r="K106" s="40">
        <f>SUM(K107:K110)</f>
        <v>3015577</v>
      </c>
      <c r="L106" s="40"/>
      <c r="M106" s="40">
        <f>SUM(M107:M110)</f>
        <v>340000</v>
      </c>
      <c r="N106" s="184">
        <f t="shared" si="15"/>
        <v>3354707</v>
      </c>
      <c r="O106" s="55">
        <f>SUM(O107:O110)</f>
        <v>3014707</v>
      </c>
      <c r="P106" s="55"/>
      <c r="Q106" s="55">
        <f>SUM(Q107:Q110)</f>
        <v>340000</v>
      </c>
      <c r="R106" s="160">
        <f t="shared" si="16"/>
        <v>0.9997407301337445</v>
      </c>
      <c r="S106" s="160">
        <f t="shared" si="17"/>
        <v>0.9997114979985589</v>
      </c>
    </row>
    <row r="107" spans="1:19" s="37" customFormat="1" ht="21.75" customHeight="1">
      <c r="A107" s="29"/>
      <c r="B107" s="48"/>
      <c r="C107" s="50" t="s">
        <v>130</v>
      </c>
      <c r="D107" s="50">
        <f t="shared" si="20"/>
        <v>1500000</v>
      </c>
      <c r="E107" s="50">
        <v>1500000</v>
      </c>
      <c r="F107" s="50"/>
      <c r="G107" s="101"/>
      <c r="H107" s="50"/>
      <c r="I107" s="50">
        <v>400000</v>
      </c>
      <c r="J107" s="50">
        <f t="shared" si="21"/>
        <v>2285000</v>
      </c>
      <c r="K107" s="50">
        <v>1945000</v>
      </c>
      <c r="L107" s="101"/>
      <c r="M107" s="101">
        <v>340000</v>
      </c>
      <c r="N107" s="176">
        <f t="shared" si="15"/>
        <v>2285000</v>
      </c>
      <c r="O107" s="50">
        <v>1945000</v>
      </c>
      <c r="P107" s="50"/>
      <c r="Q107" s="50">
        <v>340000</v>
      </c>
      <c r="R107" s="150">
        <f t="shared" si="16"/>
        <v>1</v>
      </c>
      <c r="S107" s="150">
        <f t="shared" si="17"/>
        <v>1</v>
      </c>
    </row>
    <row r="108" spans="1:19" s="37" customFormat="1" ht="21.75" customHeight="1">
      <c r="A108" s="41"/>
      <c r="B108" s="41"/>
      <c r="C108" s="76" t="s">
        <v>134</v>
      </c>
      <c r="D108" s="53">
        <f t="shared" si="20"/>
        <v>100000</v>
      </c>
      <c r="E108" s="53">
        <v>100000</v>
      </c>
      <c r="F108" s="53"/>
      <c r="G108" s="104"/>
      <c r="H108" s="53">
        <v>50000</v>
      </c>
      <c r="I108" s="53"/>
      <c r="J108" s="53">
        <f t="shared" si="21"/>
        <v>10000</v>
      </c>
      <c r="K108" s="53">
        <v>10000</v>
      </c>
      <c r="L108" s="104"/>
      <c r="M108" s="104"/>
      <c r="N108" s="180">
        <f t="shared" si="15"/>
        <v>9249</v>
      </c>
      <c r="O108" s="53">
        <v>9249</v>
      </c>
      <c r="P108" s="53"/>
      <c r="Q108" s="53"/>
      <c r="R108" s="154">
        <f t="shared" si="16"/>
        <v>0.9249</v>
      </c>
      <c r="S108" s="154">
        <f t="shared" si="17"/>
        <v>0.9249</v>
      </c>
    </row>
    <row r="109" spans="1:19" s="37" customFormat="1" ht="24" customHeight="1">
      <c r="A109" s="29"/>
      <c r="B109" s="29"/>
      <c r="C109" s="54" t="s">
        <v>55</v>
      </c>
      <c r="D109" s="54">
        <f t="shared" si="20"/>
        <v>500000</v>
      </c>
      <c r="E109" s="54">
        <v>500000</v>
      </c>
      <c r="F109" s="54"/>
      <c r="G109" s="103"/>
      <c r="H109" s="54"/>
      <c r="I109" s="54">
        <v>538903</v>
      </c>
      <c r="J109" s="54">
        <f t="shared" si="21"/>
        <v>1048577</v>
      </c>
      <c r="K109" s="54">
        <v>1048577</v>
      </c>
      <c r="L109" s="103"/>
      <c r="M109" s="103"/>
      <c r="N109" s="178">
        <f t="shared" si="15"/>
        <v>1048458</v>
      </c>
      <c r="O109" s="54">
        <v>1048458</v>
      </c>
      <c r="P109" s="54"/>
      <c r="Q109" s="54"/>
      <c r="R109" s="152">
        <f t="shared" si="16"/>
        <v>0.9998865128645774</v>
      </c>
      <c r="S109" s="152">
        <f t="shared" si="17"/>
        <v>0.9998865128645774</v>
      </c>
    </row>
    <row r="110" spans="1:19" s="37" customFormat="1" ht="24" customHeight="1">
      <c r="A110" s="29"/>
      <c r="B110" s="41"/>
      <c r="C110" s="58" t="s">
        <v>35</v>
      </c>
      <c r="D110" s="58">
        <f t="shared" si="20"/>
        <v>35000</v>
      </c>
      <c r="E110" s="58">
        <v>35000</v>
      </c>
      <c r="F110" s="58"/>
      <c r="G110" s="109"/>
      <c r="H110" s="58">
        <v>24000</v>
      </c>
      <c r="I110" s="58"/>
      <c r="J110" s="58">
        <f t="shared" si="21"/>
        <v>12000</v>
      </c>
      <c r="K110" s="58">
        <v>12000</v>
      </c>
      <c r="L110" s="109"/>
      <c r="M110" s="109"/>
      <c r="N110" s="180">
        <f t="shared" si="15"/>
        <v>12000</v>
      </c>
      <c r="O110" s="53">
        <v>12000</v>
      </c>
      <c r="P110" s="53"/>
      <c r="Q110" s="53"/>
      <c r="R110" s="154">
        <f t="shared" si="16"/>
        <v>1</v>
      </c>
      <c r="S110" s="154">
        <f t="shared" si="17"/>
        <v>1</v>
      </c>
    </row>
    <row r="111" spans="1:19" s="34" customFormat="1" ht="45" customHeight="1">
      <c r="A111" s="45"/>
      <c r="B111" s="67">
        <v>80140</v>
      </c>
      <c r="C111" s="61" t="s">
        <v>199</v>
      </c>
      <c r="D111" s="55"/>
      <c r="E111" s="40" t="e">
        <f>SUM(E112:E115)</f>
        <v>#REF!</v>
      </c>
      <c r="F111" s="40"/>
      <c r="G111" s="110"/>
      <c r="H111" s="40" t="e">
        <f>SUM(H112:H115)</f>
        <v>#REF!</v>
      </c>
      <c r="I111" s="40" t="e">
        <f>SUM(I112:I115)</f>
        <v>#REF!</v>
      </c>
      <c r="J111" s="55">
        <f>SUM(K111:M111)</f>
        <v>3900</v>
      </c>
      <c r="K111" s="40">
        <f>K112</f>
        <v>3900</v>
      </c>
      <c r="L111" s="40"/>
      <c r="M111" s="40"/>
      <c r="N111" s="184">
        <f t="shared" si="15"/>
        <v>3888</v>
      </c>
      <c r="O111" s="55">
        <f>O112</f>
        <v>3888</v>
      </c>
      <c r="P111" s="55"/>
      <c r="Q111" s="55"/>
      <c r="R111" s="160">
        <f>N111/J111</f>
        <v>0.9969230769230769</v>
      </c>
      <c r="S111" s="160">
        <f>O111/K111</f>
        <v>0.9969230769230769</v>
      </c>
    </row>
    <row r="112" spans="1:19" s="37" customFormat="1" ht="24" customHeight="1">
      <c r="A112" s="29"/>
      <c r="B112" s="48"/>
      <c r="C112" s="192" t="s">
        <v>35</v>
      </c>
      <c r="D112" s="192"/>
      <c r="E112" s="192">
        <v>1500000</v>
      </c>
      <c r="F112" s="192"/>
      <c r="G112" s="193"/>
      <c r="H112" s="192"/>
      <c r="I112" s="192">
        <v>400000</v>
      </c>
      <c r="J112" s="192">
        <f>SUM(K112:M112)</f>
        <v>3900</v>
      </c>
      <c r="K112" s="192">
        <v>3900</v>
      </c>
      <c r="L112" s="193"/>
      <c r="M112" s="193"/>
      <c r="N112" s="194">
        <f t="shared" si="15"/>
        <v>3888</v>
      </c>
      <c r="O112" s="192">
        <v>3888</v>
      </c>
      <c r="P112" s="192"/>
      <c r="Q112" s="192"/>
      <c r="R112" s="195">
        <f>N112/J112</f>
        <v>0.9969230769230769</v>
      </c>
      <c r="S112" s="195">
        <f>O112/K112</f>
        <v>0.9969230769230769</v>
      </c>
    </row>
    <row r="113" spans="1:19" s="37" customFormat="1" ht="24" customHeight="1">
      <c r="A113" s="35">
        <v>851</v>
      </c>
      <c r="B113" s="35"/>
      <c r="C113" s="56" t="s">
        <v>56</v>
      </c>
      <c r="D113" s="56">
        <v>1705000</v>
      </c>
      <c r="E113" s="56" t="e">
        <f>E114+E118</f>
        <v>#REF!</v>
      </c>
      <c r="F113" s="56"/>
      <c r="G113" s="108"/>
      <c r="H113" s="56" t="e">
        <f>H114+H118+H121</f>
        <v>#REF!</v>
      </c>
      <c r="I113" s="56" t="e">
        <f>I114+I118+I121</f>
        <v>#REF!</v>
      </c>
      <c r="J113" s="56">
        <f t="shared" si="21"/>
        <v>1940537</v>
      </c>
      <c r="K113" s="56">
        <f>K114+K118+K121</f>
        <v>1940537</v>
      </c>
      <c r="L113" s="108"/>
      <c r="M113" s="108"/>
      <c r="N113" s="182">
        <f t="shared" si="15"/>
        <v>1521787</v>
      </c>
      <c r="O113" s="56">
        <f>O114+O118+O121</f>
        <v>1521787</v>
      </c>
      <c r="P113" s="56"/>
      <c r="Q113" s="56"/>
      <c r="R113" s="158">
        <f t="shared" si="16"/>
        <v>0.7842092163148654</v>
      </c>
      <c r="S113" s="158">
        <f t="shared" si="17"/>
        <v>0.7842092163148654</v>
      </c>
    </row>
    <row r="114" spans="1:19" s="34" customFormat="1" ht="24" customHeight="1">
      <c r="A114" s="38"/>
      <c r="B114" s="39">
        <v>85121</v>
      </c>
      <c r="C114" s="40" t="s">
        <v>57</v>
      </c>
      <c r="D114" s="40">
        <f t="shared" si="20"/>
        <v>1100000</v>
      </c>
      <c r="E114" s="40">
        <f>SUM(E115:E117)</f>
        <v>1100000</v>
      </c>
      <c r="F114" s="40"/>
      <c r="G114" s="99"/>
      <c r="H114" s="40">
        <f>SUM(H115:H117)</f>
        <v>0</v>
      </c>
      <c r="I114" s="40">
        <f>SUM(I115:I117)</f>
        <v>0</v>
      </c>
      <c r="J114" s="40">
        <f t="shared" si="21"/>
        <v>1145000</v>
      </c>
      <c r="K114" s="40">
        <f>SUM(K115:K117)</f>
        <v>1145000</v>
      </c>
      <c r="L114" s="99"/>
      <c r="M114" s="99"/>
      <c r="N114" s="174">
        <f t="shared" si="15"/>
        <v>877647</v>
      </c>
      <c r="O114" s="40">
        <f>SUM(O115:O117)</f>
        <v>877647</v>
      </c>
      <c r="P114" s="40"/>
      <c r="Q114" s="40"/>
      <c r="R114" s="148">
        <f t="shared" si="16"/>
        <v>0.7665039301310044</v>
      </c>
      <c r="S114" s="148">
        <f t="shared" si="17"/>
        <v>0.7665039301310044</v>
      </c>
    </row>
    <row r="115" spans="1:19" s="37" customFormat="1" ht="44.25" customHeight="1">
      <c r="A115" s="29"/>
      <c r="B115" s="48"/>
      <c r="C115" s="49" t="s">
        <v>146</v>
      </c>
      <c r="D115" s="50">
        <f t="shared" si="20"/>
        <v>570000</v>
      </c>
      <c r="E115" s="50">
        <v>570000</v>
      </c>
      <c r="F115" s="50"/>
      <c r="G115" s="101"/>
      <c r="H115" s="50"/>
      <c r="I115" s="50"/>
      <c r="J115" s="50">
        <f t="shared" si="21"/>
        <v>745000</v>
      </c>
      <c r="K115" s="50">
        <v>745000</v>
      </c>
      <c r="L115" s="101"/>
      <c r="M115" s="101"/>
      <c r="N115" s="176">
        <f t="shared" si="15"/>
        <v>745000</v>
      </c>
      <c r="O115" s="50">
        <v>745000</v>
      </c>
      <c r="P115" s="50"/>
      <c r="Q115" s="50"/>
      <c r="R115" s="150">
        <f t="shared" si="16"/>
        <v>1</v>
      </c>
      <c r="S115" s="150">
        <f t="shared" si="17"/>
        <v>1</v>
      </c>
    </row>
    <row r="116" spans="1:19" s="37" customFormat="1" ht="28.5" customHeight="1">
      <c r="A116" s="29"/>
      <c r="B116" s="29"/>
      <c r="C116" s="51" t="s">
        <v>183</v>
      </c>
      <c r="D116" s="52">
        <f t="shared" si="20"/>
        <v>400000</v>
      </c>
      <c r="E116" s="52">
        <v>400000</v>
      </c>
      <c r="F116" s="52"/>
      <c r="G116" s="102"/>
      <c r="H116" s="52"/>
      <c r="I116" s="52"/>
      <c r="J116" s="52">
        <f t="shared" si="21"/>
        <v>400000</v>
      </c>
      <c r="K116" s="52">
        <v>400000</v>
      </c>
      <c r="L116" s="102"/>
      <c r="M116" s="102"/>
      <c r="N116" s="177">
        <f t="shared" si="15"/>
        <v>132647</v>
      </c>
      <c r="O116" s="52">
        <v>132647</v>
      </c>
      <c r="P116" s="52"/>
      <c r="Q116" s="52"/>
      <c r="R116" s="151">
        <f t="shared" si="16"/>
        <v>0.3316175</v>
      </c>
      <c r="S116" s="151">
        <f t="shared" si="17"/>
        <v>0.3316175</v>
      </c>
    </row>
    <row r="117" spans="1:19" s="37" customFormat="1" ht="24" customHeight="1">
      <c r="A117" s="29"/>
      <c r="B117" s="41"/>
      <c r="C117" s="58" t="s">
        <v>121</v>
      </c>
      <c r="D117" s="58">
        <f t="shared" si="20"/>
        <v>130000</v>
      </c>
      <c r="E117" s="58">
        <v>130000</v>
      </c>
      <c r="F117" s="58"/>
      <c r="G117" s="109"/>
      <c r="H117" s="58"/>
      <c r="I117" s="58"/>
      <c r="J117" s="58">
        <f t="shared" si="21"/>
        <v>0</v>
      </c>
      <c r="K117" s="58"/>
      <c r="L117" s="109"/>
      <c r="M117" s="109"/>
      <c r="N117" s="183"/>
      <c r="O117" s="58"/>
      <c r="P117" s="58"/>
      <c r="Q117" s="58"/>
      <c r="R117" s="159"/>
      <c r="S117" s="159"/>
    </row>
    <row r="118" spans="1:19" s="34" customFormat="1" ht="24" customHeight="1">
      <c r="A118" s="45"/>
      <c r="B118" s="39">
        <v>85154</v>
      </c>
      <c r="C118" s="40" t="s">
        <v>58</v>
      </c>
      <c r="D118" s="40">
        <f>SUM(D119:D120)</f>
        <v>605000</v>
      </c>
      <c r="E118" s="40" t="e">
        <f>E119+E120</f>
        <v>#REF!</v>
      </c>
      <c r="F118" s="40"/>
      <c r="G118" s="99"/>
      <c r="H118" s="40" t="e">
        <f>H119+H120</f>
        <v>#REF!</v>
      </c>
      <c r="I118" s="40" t="e">
        <f>I119+I120</f>
        <v>#REF!</v>
      </c>
      <c r="J118" s="40">
        <f t="shared" si="21"/>
        <v>789537</v>
      </c>
      <c r="K118" s="40">
        <f>K119+K120</f>
        <v>789537</v>
      </c>
      <c r="L118" s="99"/>
      <c r="M118" s="99"/>
      <c r="N118" s="174">
        <f aca="true" t="shared" si="22" ref="N118:N128">SUM(O118:Q118)</f>
        <v>638200</v>
      </c>
      <c r="O118" s="40">
        <f>O119+O120</f>
        <v>638200</v>
      </c>
      <c r="P118" s="40"/>
      <c r="Q118" s="40"/>
      <c r="R118" s="148">
        <f t="shared" si="16"/>
        <v>0.8083218392551584</v>
      </c>
      <c r="S118" s="148">
        <f t="shared" si="17"/>
        <v>0.8083218392551584</v>
      </c>
    </row>
    <row r="119" spans="1:19" s="37" customFormat="1" ht="21.75" customHeight="1">
      <c r="A119" s="29"/>
      <c r="B119" s="29"/>
      <c r="C119" s="69" t="s">
        <v>59</v>
      </c>
      <c r="D119" s="54">
        <v>550000</v>
      </c>
      <c r="E119" s="54" t="e">
        <f>SUM(#REF!)</f>
        <v>#REF!</v>
      </c>
      <c r="F119" s="54"/>
      <c r="G119" s="103"/>
      <c r="H119" s="54" t="e">
        <f>#REF!+#REF!</f>
        <v>#REF!</v>
      </c>
      <c r="I119" s="54" t="e">
        <f>#REF!+#REF!</f>
        <v>#REF!</v>
      </c>
      <c r="J119" s="54">
        <f t="shared" si="21"/>
        <v>614842</v>
      </c>
      <c r="K119" s="54">
        <v>614842</v>
      </c>
      <c r="L119" s="103"/>
      <c r="M119" s="103"/>
      <c r="N119" s="178">
        <f t="shared" si="22"/>
        <v>478238</v>
      </c>
      <c r="O119" s="54">
        <v>478238</v>
      </c>
      <c r="P119" s="54"/>
      <c r="Q119" s="54"/>
      <c r="R119" s="152">
        <f t="shared" si="16"/>
        <v>0.7778225950732058</v>
      </c>
      <c r="S119" s="152">
        <f t="shared" si="17"/>
        <v>0.7778225950732058</v>
      </c>
    </row>
    <row r="120" spans="1:19" s="37" customFormat="1" ht="21" customHeight="1">
      <c r="A120" s="29"/>
      <c r="B120" s="41"/>
      <c r="C120" s="57" t="s">
        <v>35</v>
      </c>
      <c r="D120" s="58">
        <f t="shared" si="20"/>
        <v>55000</v>
      </c>
      <c r="E120" s="58">
        <v>55000</v>
      </c>
      <c r="F120" s="58"/>
      <c r="G120" s="109"/>
      <c r="H120" s="58"/>
      <c r="I120" s="58">
        <v>95000</v>
      </c>
      <c r="J120" s="58">
        <f t="shared" si="21"/>
        <v>174695</v>
      </c>
      <c r="K120" s="58">
        <v>174695</v>
      </c>
      <c r="L120" s="109"/>
      <c r="M120" s="109"/>
      <c r="N120" s="183">
        <f t="shared" si="22"/>
        <v>159962</v>
      </c>
      <c r="O120" s="58">
        <v>159962</v>
      </c>
      <c r="P120" s="58"/>
      <c r="Q120" s="58"/>
      <c r="R120" s="159">
        <f t="shared" si="16"/>
        <v>0.9156644437448124</v>
      </c>
      <c r="S120" s="159">
        <f t="shared" si="17"/>
        <v>0.9156644437448124</v>
      </c>
    </row>
    <row r="121" spans="1:19" s="34" customFormat="1" ht="24" customHeight="1">
      <c r="A121" s="45"/>
      <c r="B121" s="39">
        <v>85195</v>
      </c>
      <c r="C121" s="40" t="s">
        <v>18</v>
      </c>
      <c r="D121" s="40"/>
      <c r="E121" s="40"/>
      <c r="F121" s="40"/>
      <c r="G121" s="99"/>
      <c r="H121" s="40">
        <f>H122</f>
        <v>0</v>
      </c>
      <c r="I121" s="40">
        <f>I122</f>
        <v>6000</v>
      </c>
      <c r="J121" s="40">
        <f>SUM(K121:M121)</f>
        <v>6000</v>
      </c>
      <c r="K121" s="40">
        <f>SUM(K122)</f>
        <v>6000</v>
      </c>
      <c r="L121" s="99"/>
      <c r="M121" s="99"/>
      <c r="N121" s="197">
        <f t="shared" si="22"/>
        <v>5940</v>
      </c>
      <c r="O121" s="200">
        <f>O122</f>
        <v>5940</v>
      </c>
      <c r="P121" s="200"/>
      <c r="Q121" s="200"/>
      <c r="R121" s="201">
        <f t="shared" si="16"/>
        <v>0.99</v>
      </c>
      <c r="S121" s="201">
        <f t="shared" si="17"/>
        <v>0.99</v>
      </c>
    </row>
    <row r="122" spans="1:19" s="37" customFormat="1" ht="24" customHeight="1">
      <c r="A122" s="41"/>
      <c r="B122" s="41"/>
      <c r="C122" s="57" t="s">
        <v>35</v>
      </c>
      <c r="D122" s="58"/>
      <c r="E122" s="58"/>
      <c r="F122" s="58"/>
      <c r="G122" s="109"/>
      <c r="H122" s="58"/>
      <c r="I122" s="58">
        <v>6000</v>
      </c>
      <c r="J122" s="58">
        <f>SUM(K122:M122)</f>
        <v>6000</v>
      </c>
      <c r="K122" s="58">
        <f>I122</f>
        <v>6000</v>
      </c>
      <c r="L122" s="109"/>
      <c r="M122" s="109"/>
      <c r="N122" s="183">
        <f t="shared" si="22"/>
        <v>5940</v>
      </c>
      <c r="O122" s="58">
        <v>5940</v>
      </c>
      <c r="P122" s="58"/>
      <c r="Q122" s="58"/>
      <c r="R122" s="159">
        <f t="shared" si="16"/>
        <v>0.99</v>
      </c>
      <c r="S122" s="159">
        <f t="shared" si="17"/>
        <v>0.99</v>
      </c>
    </row>
    <row r="123" spans="1:19" s="37" customFormat="1" ht="21" customHeight="1">
      <c r="A123" s="63">
        <v>853</v>
      </c>
      <c r="B123" s="35"/>
      <c r="C123" s="56" t="s">
        <v>60</v>
      </c>
      <c r="D123" s="56">
        <f t="shared" si="20"/>
        <v>1421000</v>
      </c>
      <c r="E123" s="56">
        <f>E124+E127+E132+E137+E135+E139</f>
        <v>1221000</v>
      </c>
      <c r="F123" s="56">
        <f>F124+F127+F132+F135+F137+F139</f>
        <v>200000</v>
      </c>
      <c r="G123" s="108"/>
      <c r="H123" s="56">
        <f>H124+H127+H132+H135+H137+H139</f>
        <v>0</v>
      </c>
      <c r="I123" s="56">
        <f>I124+I127+I132+I135+I137+I139</f>
        <v>749000</v>
      </c>
      <c r="J123" s="56">
        <f t="shared" si="21"/>
        <v>2849515</v>
      </c>
      <c r="K123" s="56">
        <f>K124+K127+K132+K137+K135+K139</f>
        <v>2649515</v>
      </c>
      <c r="L123" s="108">
        <f>L124+L127+L132+L135+L137+L139</f>
        <v>200000</v>
      </c>
      <c r="M123" s="108"/>
      <c r="N123" s="182">
        <f t="shared" si="22"/>
        <v>2805722</v>
      </c>
      <c r="O123" s="56">
        <f>O124+O127+O132+O135+O137+O139</f>
        <v>2646750</v>
      </c>
      <c r="P123" s="56">
        <f>P124+P127+P132+P135+P137+P139</f>
        <v>158972</v>
      </c>
      <c r="Q123" s="56"/>
      <c r="R123" s="158">
        <f t="shared" si="16"/>
        <v>0.9846314197328317</v>
      </c>
      <c r="S123" s="158">
        <f t="shared" si="17"/>
        <v>0.9989564127774329</v>
      </c>
    </row>
    <row r="124" spans="1:19" s="34" customFormat="1" ht="23.25" customHeight="1">
      <c r="A124" s="45"/>
      <c r="B124" s="65">
        <v>85301</v>
      </c>
      <c r="C124" s="47" t="s">
        <v>61</v>
      </c>
      <c r="D124" s="40">
        <f t="shared" si="20"/>
        <v>260000</v>
      </c>
      <c r="E124" s="40">
        <f>SUM(E125:E126)</f>
        <v>260000</v>
      </c>
      <c r="F124" s="40"/>
      <c r="G124" s="99"/>
      <c r="H124" s="40">
        <f>SUM(H125:H126)</f>
        <v>0</v>
      </c>
      <c r="I124" s="40">
        <f>SUM(I125:I126)</f>
        <v>149000</v>
      </c>
      <c r="J124" s="40">
        <f t="shared" si="21"/>
        <v>412421</v>
      </c>
      <c r="K124" s="40">
        <f>SUM(K125:K126)</f>
        <v>412421</v>
      </c>
      <c r="L124" s="99"/>
      <c r="M124" s="99"/>
      <c r="N124" s="174">
        <f t="shared" si="22"/>
        <v>409899</v>
      </c>
      <c r="O124" s="40">
        <f>SUM(O125:O126)</f>
        <v>409899</v>
      </c>
      <c r="P124" s="40"/>
      <c r="Q124" s="40"/>
      <c r="R124" s="148">
        <f t="shared" si="16"/>
        <v>0.9938848894697409</v>
      </c>
      <c r="S124" s="148">
        <f t="shared" si="17"/>
        <v>0.9938848894697409</v>
      </c>
    </row>
    <row r="125" spans="1:19" s="37" customFormat="1" ht="21.75" customHeight="1">
      <c r="A125" s="29"/>
      <c r="B125" s="48"/>
      <c r="C125" s="50" t="s">
        <v>62</v>
      </c>
      <c r="D125" s="50">
        <f t="shared" si="20"/>
        <v>235000</v>
      </c>
      <c r="E125" s="50">
        <v>235000</v>
      </c>
      <c r="F125" s="50"/>
      <c r="G125" s="101"/>
      <c r="H125" s="50"/>
      <c r="I125" s="50">
        <v>115000</v>
      </c>
      <c r="J125" s="50">
        <f t="shared" si="21"/>
        <v>360777</v>
      </c>
      <c r="K125" s="50">
        <v>360777</v>
      </c>
      <c r="L125" s="101"/>
      <c r="M125" s="101"/>
      <c r="N125" s="176">
        <f t="shared" si="22"/>
        <v>358786</v>
      </c>
      <c r="O125" s="50">
        <v>358786</v>
      </c>
      <c r="P125" s="50"/>
      <c r="Q125" s="50"/>
      <c r="R125" s="150">
        <f t="shared" si="16"/>
        <v>0.994481355518783</v>
      </c>
      <c r="S125" s="150">
        <f t="shared" si="17"/>
        <v>0.994481355518783</v>
      </c>
    </row>
    <row r="126" spans="1:19" s="37" customFormat="1" ht="23.25" customHeight="1">
      <c r="A126" s="29"/>
      <c r="B126" s="41"/>
      <c r="C126" s="58" t="s">
        <v>35</v>
      </c>
      <c r="D126" s="58">
        <f t="shared" si="20"/>
        <v>25000</v>
      </c>
      <c r="E126" s="58">
        <v>25000</v>
      </c>
      <c r="F126" s="58"/>
      <c r="G126" s="109"/>
      <c r="H126" s="58"/>
      <c r="I126" s="58">
        <v>34000</v>
      </c>
      <c r="J126" s="58">
        <f t="shared" si="21"/>
        <v>51644</v>
      </c>
      <c r="K126" s="58">
        <v>51644</v>
      </c>
      <c r="L126" s="109"/>
      <c r="M126" s="109"/>
      <c r="N126" s="183">
        <f t="shared" si="22"/>
        <v>51113</v>
      </c>
      <c r="O126" s="58">
        <v>51113</v>
      </c>
      <c r="P126" s="58"/>
      <c r="Q126" s="58"/>
      <c r="R126" s="159">
        <f t="shared" si="16"/>
        <v>0.9897180698629076</v>
      </c>
      <c r="S126" s="159">
        <f t="shared" si="17"/>
        <v>0.9897180698629076</v>
      </c>
    </row>
    <row r="127" spans="1:19" s="34" customFormat="1" ht="23.25" customHeight="1">
      <c r="A127" s="45"/>
      <c r="B127" s="32">
        <v>85302</v>
      </c>
      <c r="C127" s="55" t="s">
        <v>63</v>
      </c>
      <c r="D127" s="55">
        <f t="shared" si="20"/>
        <v>862000</v>
      </c>
      <c r="E127" s="55">
        <f>E128+E131</f>
        <v>662000</v>
      </c>
      <c r="F127" s="55">
        <f>F128+F131</f>
        <v>200000</v>
      </c>
      <c r="G127" s="110"/>
      <c r="H127" s="55">
        <f>H128+H131</f>
        <v>0</v>
      </c>
      <c r="I127" s="55">
        <f>I128+I131</f>
        <v>600000</v>
      </c>
      <c r="J127" s="55">
        <f t="shared" si="21"/>
        <v>2134403</v>
      </c>
      <c r="K127" s="55">
        <f>K128+K131</f>
        <v>1934403</v>
      </c>
      <c r="L127" s="110">
        <f>L128+L131</f>
        <v>200000</v>
      </c>
      <c r="M127" s="110"/>
      <c r="N127" s="184">
        <f t="shared" si="22"/>
        <v>2093236</v>
      </c>
      <c r="O127" s="55">
        <f>SUM(O128:O131)</f>
        <v>1934264</v>
      </c>
      <c r="P127" s="55">
        <f>SUM(P128:P131)</f>
        <v>158972</v>
      </c>
      <c r="Q127" s="55"/>
      <c r="R127" s="160">
        <f t="shared" si="16"/>
        <v>0.9807126395530741</v>
      </c>
      <c r="S127" s="160">
        <f t="shared" si="17"/>
        <v>0.9999281432049061</v>
      </c>
    </row>
    <row r="128" spans="1:19" s="37" customFormat="1" ht="21.75" customHeight="1">
      <c r="A128" s="29"/>
      <c r="B128" s="48"/>
      <c r="C128" s="50" t="s">
        <v>62</v>
      </c>
      <c r="D128" s="50">
        <f t="shared" si="20"/>
        <v>827000</v>
      </c>
      <c r="E128" s="50">
        <f>SUM(E129:E130)</f>
        <v>627000</v>
      </c>
      <c r="F128" s="50">
        <f>SUM(F129:F130)</f>
        <v>200000</v>
      </c>
      <c r="G128" s="50"/>
      <c r="H128" s="50">
        <f>SUM(H129:H130)</f>
        <v>0</v>
      </c>
      <c r="I128" s="50">
        <f>SUM(I129:I130)</f>
        <v>600000</v>
      </c>
      <c r="J128" s="50">
        <f t="shared" si="21"/>
        <v>2040603</v>
      </c>
      <c r="K128" s="50">
        <v>1876628</v>
      </c>
      <c r="L128" s="50">
        <v>163975</v>
      </c>
      <c r="M128" s="101"/>
      <c r="N128" s="176">
        <f t="shared" si="22"/>
        <v>2035589</v>
      </c>
      <c r="O128" s="50">
        <v>1876617</v>
      </c>
      <c r="P128" s="50">
        <v>158972</v>
      </c>
      <c r="Q128" s="50"/>
      <c r="R128" s="150">
        <f t="shared" si="16"/>
        <v>0.9975428831575764</v>
      </c>
      <c r="S128" s="150">
        <v>0.9999</v>
      </c>
    </row>
    <row r="129" spans="1:19" s="37" customFormat="1" ht="21.75" customHeight="1" hidden="1">
      <c r="A129" s="29"/>
      <c r="B129" s="29"/>
      <c r="C129" s="30"/>
      <c r="D129" s="30">
        <f t="shared" si="20"/>
        <v>627000</v>
      </c>
      <c r="E129" s="30">
        <v>627000</v>
      </c>
      <c r="F129" s="30"/>
      <c r="G129" s="96"/>
      <c r="H129" s="30"/>
      <c r="I129" s="30">
        <v>600000</v>
      </c>
      <c r="J129" s="30">
        <f t="shared" si="21"/>
        <v>1227000</v>
      </c>
      <c r="K129" s="30">
        <f>627000+I129</f>
        <v>1227000</v>
      </c>
      <c r="L129" s="96"/>
      <c r="M129" s="96"/>
      <c r="N129" s="171"/>
      <c r="O129" s="30"/>
      <c r="P129" s="30"/>
      <c r="Q129" s="30"/>
      <c r="R129" s="145">
        <f t="shared" si="16"/>
        <v>0</v>
      </c>
      <c r="S129" s="145">
        <f t="shared" si="17"/>
        <v>0</v>
      </c>
    </row>
    <row r="130" spans="1:19" s="37" customFormat="1" ht="21.75" customHeight="1" hidden="1">
      <c r="A130" s="29"/>
      <c r="B130" s="121"/>
      <c r="C130" s="54"/>
      <c r="D130" s="54">
        <f t="shared" si="20"/>
        <v>200000</v>
      </c>
      <c r="E130" s="54"/>
      <c r="F130" s="54">
        <v>200000</v>
      </c>
      <c r="G130" s="103"/>
      <c r="H130" s="54"/>
      <c r="I130" s="54"/>
      <c r="J130" s="54">
        <f t="shared" si="21"/>
        <v>200000</v>
      </c>
      <c r="K130" s="54"/>
      <c r="L130" s="103">
        <v>200000</v>
      </c>
      <c r="M130" s="103"/>
      <c r="N130" s="178"/>
      <c r="O130" s="54"/>
      <c r="P130" s="54"/>
      <c r="Q130" s="54"/>
      <c r="R130" s="152">
        <f aca="true" t="shared" si="23" ref="R130:R170">N130/J130</f>
        <v>0</v>
      </c>
      <c r="S130" s="152"/>
    </row>
    <row r="131" spans="1:19" s="37" customFormat="1" ht="23.25" customHeight="1">
      <c r="A131" s="29"/>
      <c r="B131" s="41"/>
      <c r="C131" s="58" t="s">
        <v>35</v>
      </c>
      <c r="D131" s="58">
        <f t="shared" si="20"/>
        <v>35000</v>
      </c>
      <c r="E131" s="58">
        <v>35000</v>
      </c>
      <c r="F131" s="58"/>
      <c r="G131" s="109"/>
      <c r="H131" s="58"/>
      <c r="I131" s="58"/>
      <c r="J131" s="58">
        <f>SUM(K131:M131)</f>
        <v>93800</v>
      </c>
      <c r="K131" s="58">
        <v>57775</v>
      </c>
      <c r="L131" s="109">
        <v>36025</v>
      </c>
      <c r="M131" s="109"/>
      <c r="N131" s="183">
        <f aca="true" t="shared" si="24" ref="N131:N141">SUM(O131:Q131)</f>
        <v>57647</v>
      </c>
      <c r="O131" s="58">
        <v>57647</v>
      </c>
      <c r="P131" s="58"/>
      <c r="Q131" s="58"/>
      <c r="R131" s="159">
        <f t="shared" si="23"/>
        <v>0.6145735607675906</v>
      </c>
      <c r="S131" s="159">
        <f aca="true" t="shared" si="25" ref="S131:S170">O131/K131</f>
        <v>0.9977845088706188</v>
      </c>
    </row>
    <row r="132" spans="1:19" s="34" customFormat="1" ht="23.25" customHeight="1">
      <c r="A132" s="45"/>
      <c r="B132" s="32">
        <v>85303</v>
      </c>
      <c r="C132" s="55" t="s">
        <v>122</v>
      </c>
      <c r="D132" s="55">
        <f t="shared" si="20"/>
        <v>154000</v>
      </c>
      <c r="E132" s="55">
        <f>SUM(E133:E134)</f>
        <v>154000</v>
      </c>
      <c r="F132" s="55"/>
      <c r="G132" s="110"/>
      <c r="H132" s="55">
        <f>SUM(H133:H134)</f>
        <v>0</v>
      </c>
      <c r="I132" s="55">
        <f>SUM(I133:I134)</f>
        <v>0</v>
      </c>
      <c r="J132" s="55">
        <f>SUM(K132:M132)</f>
        <v>154000</v>
      </c>
      <c r="K132" s="55">
        <f>SUM(K133:K134)</f>
        <v>154000</v>
      </c>
      <c r="L132" s="110"/>
      <c r="M132" s="110"/>
      <c r="N132" s="184">
        <f t="shared" si="24"/>
        <v>154000</v>
      </c>
      <c r="O132" s="55">
        <f>SUM(O133:O134)</f>
        <v>154000</v>
      </c>
      <c r="P132" s="55"/>
      <c r="Q132" s="55"/>
      <c r="R132" s="160">
        <f t="shared" si="23"/>
        <v>1</v>
      </c>
      <c r="S132" s="160">
        <f t="shared" si="25"/>
        <v>1</v>
      </c>
    </row>
    <row r="133" spans="1:19" s="37" customFormat="1" ht="21.75" customHeight="1">
      <c r="A133" s="29"/>
      <c r="B133" s="48"/>
      <c r="C133" s="54" t="s">
        <v>62</v>
      </c>
      <c r="D133" s="54">
        <f t="shared" si="20"/>
        <v>144000</v>
      </c>
      <c r="E133" s="54">
        <v>144000</v>
      </c>
      <c r="F133" s="54"/>
      <c r="G133" s="103"/>
      <c r="H133" s="54"/>
      <c r="I133" s="54"/>
      <c r="J133" s="54">
        <f>SUM(K133:M133)</f>
        <v>144000</v>
      </c>
      <c r="K133" s="54">
        <v>144000</v>
      </c>
      <c r="L133" s="103"/>
      <c r="M133" s="103"/>
      <c r="N133" s="171">
        <f t="shared" si="24"/>
        <v>144000</v>
      </c>
      <c r="O133" s="30">
        <v>144000</v>
      </c>
      <c r="P133" s="30"/>
      <c r="Q133" s="30"/>
      <c r="R133" s="145">
        <f t="shared" si="23"/>
        <v>1</v>
      </c>
      <c r="S133" s="161">
        <f t="shared" si="25"/>
        <v>1</v>
      </c>
    </row>
    <row r="134" spans="1:19" s="37" customFormat="1" ht="21.75" customHeight="1">
      <c r="A134" s="29"/>
      <c r="B134" s="41"/>
      <c r="C134" s="58" t="s">
        <v>35</v>
      </c>
      <c r="D134" s="58">
        <f aca="true" t="shared" si="26" ref="D134:D141">SUM(E134:G134)</f>
        <v>10000</v>
      </c>
      <c r="E134" s="58">
        <v>10000</v>
      </c>
      <c r="F134" s="58"/>
      <c r="G134" s="109"/>
      <c r="H134" s="58"/>
      <c r="I134" s="58"/>
      <c r="J134" s="58">
        <f aca="true" t="shared" si="27" ref="J134:J139">SUM(K134:M134)</f>
        <v>10000</v>
      </c>
      <c r="K134" s="58">
        <v>10000</v>
      </c>
      <c r="L134" s="109"/>
      <c r="M134" s="109"/>
      <c r="N134" s="180">
        <f t="shared" si="24"/>
        <v>10000</v>
      </c>
      <c r="O134" s="53">
        <v>10000</v>
      </c>
      <c r="P134" s="53"/>
      <c r="Q134" s="53"/>
      <c r="R134" s="154">
        <f t="shared" si="23"/>
        <v>1</v>
      </c>
      <c r="S134" s="159">
        <f t="shared" si="25"/>
        <v>1</v>
      </c>
    </row>
    <row r="135" spans="1:19" s="34" customFormat="1" ht="21.75" customHeight="1">
      <c r="A135" s="45"/>
      <c r="B135" s="32">
        <v>85305</v>
      </c>
      <c r="C135" s="55" t="s">
        <v>64</v>
      </c>
      <c r="D135" s="55">
        <f t="shared" si="26"/>
        <v>15000</v>
      </c>
      <c r="E135" s="55">
        <f>E136</f>
        <v>15000</v>
      </c>
      <c r="F135" s="55"/>
      <c r="G135" s="110"/>
      <c r="H135" s="55">
        <f>H136</f>
        <v>0</v>
      </c>
      <c r="I135" s="55">
        <f>I136</f>
        <v>0</v>
      </c>
      <c r="J135" s="55">
        <f t="shared" si="27"/>
        <v>12773</v>
      </c>
      <c r="K135" s="55">
        <f>K136</f>
        <v>12773</v>
      </c>
      <c r="L135" s="110"/>
      <c r="M135" s="110"/>
      <c r="N135" s="197">
        <f t="shared" si="24"/>
        <v>12773</v>
      </c>
      <c r="O135" s="198">
        <f>O136</f>
        <v>12773</v>
      </c>
      <c r="P135" s="198"/>
      <c r="Q135" s="198"/>
      <c r="R135" s="199">
        <f t="shared" si="23"/>
        <v>1</v>
      </c>
      <c r="S135" s="201">
        <f t="shared" si="25"/>
        <v>1</v>
      </c>
    </row>
    <row r="136" spans="1:19" s="37" customFormat="1" ht="21" customHeight="1">
      <c r="A136" s="41"/>
      <c r="B136" s="42"/>
      <c r="C136" s="44" t="s">
        <v>35</v>
      </c>
      <c r="D136" s="44">
        <f t="shared" si="26"/>
        <v>15000</v>
      </c>
      <c r="E136" s="44">
        <v>15000</v>
      </c>
      <c r="F136" s="44"/>
      <c r="G136" s="100"/>
      <c r="H136" s="44"/>
      <c r="I136" s="44"/>
      <c r="J136" s="44">
        <f t="shared" si="27"/>
        <v>12773</v>
      </c>
      <c r="K136" s="44">
        <v>12773</v>
      </c>
      <c r="L136" s="100"/>
      <c r="M136" s="100"/>
      <c r="N136" s="183">
        <f t="shared" si="24"/>
        <v>12773</v>
      </c>
      <c r="O136" s="44">
        <v>12773</v>
      </c>
      <c r="P136" s="44"/>
      <c r="Q136" s="44"/>
      <c r="R136" s="154">
        <f t="shared" si="23"/>
        <v>1</v>
      </c>
      <c r="S136" s="159">
        <f t="shared" si="25"/>
        <v>1</v>
      </c>
    </row>
    <row r="137" spans="1:19" s="34" customFormat="1" ht="24" customHeight="1">
      <c r="A137" s="45"/>
      <c r="B137" s="67">
        <v>85319</v>
      </c>
      <c r="C137" s="61" t="s">
        <v>135</v>
      </c>
      <c r="D137" s="55">
        <f t="shared" si="26"/>
        <v>10000</v>
      </c>
      <c r="E137" s="55">
        <f>E138</f>
        <v>10000</v>
      </c>
      <c r="F137" s="55"/>
      <c r="G137" s="110"/>
      <c r="H137" s="55">
        <f>H138</f>
        <v>0</v>
      </c>
      <c r="I137" s="55">
        <f>I138</f>
        <v>0</v>
      </c>
      <c r="J137" s="55">
        <f t="shared" si="27"/>
        <v>10000</v>
      </c>
      <c r="K137" s="55">
        <f>K138</f>
        <v>10000</v>
      </c>
      <c r="L137" s="110"/>
      <c r="M137" s="110"/>
      <c r="N137" s="197">
        <f t="shared" si="24"/>
        <v>10000</v>
      </c>
      <c r="O137" s="198">
        <f>O138</f>
        <v>10000</v>
      </c>
      <c r="P137" s="198"/>
      <c r="Q137" s="198"/>
      <c r="R137" s="201">
        <f t="shared" si="23"/>
        <v>1</v>
      </c>
      <c r="S137" s="201">
        <f t="shared" si="25"/>
        <v>1</v>
      </c>
    </row>
    <row r="138" spans="1:19" s="37" customFormat="1" ht="24" customHeight="1">
      <c r="A138" s="29"/>
      <c r="B138" s="48"/>
      <c r="C138" s="192" t="s">
        <v>35</v>
      </c>
      <c r="D138" s="192">
        <f t="shared" si="26"/>
        <v>10000</v>
      </c>
      <c r="E138" s="192">
        <v>10000</v>
      </c>
      <c r="F138" s="192"/>
      <c r="G138" s="193"/>
      <c r="H138" s="192"/>
      <c r="I138" s="192"/>
      <c r="J138" s="192">
        <f t="shared" si="27"/>
        <v>10000</v>
      </c>
      <c r="K138" s="192">
        <v>10000</v>
      </c>
      <c r="L138" s="193"/>
      <c r="M138" s="193"/>
      <c r="N138" s="171">
        <f t="shared" si="24"/>
        <v>10000</v>
      </c>
      <c r="O138" s="192">
        <v>10000</v>
      </c>
      <c r="P138" s="192"/>
      <c r="Q138" s="192"/>
      <c r="R138" s="153">
        <f t="shared" si="23"/>
        <v>1</v>
      </c>
      <c r="S138" s="145">
        <f t="shared" si="25"/>
        <v>1</v>
      </c>
    </row>
    <row r="139" spans="1:19" s="34" customFormat="1" ht="24" customHeight="1">
      <c r="A139" s="45"/>
      <c r="B139" s="39">
        <v>85333</v>
      </c>
      <c r="C139" s="47" t="s">
        <v>123</v>
      </c>
      <c r="D139" s="40">
        <f t="shared" si="26"/>
        <v>120000</v>
      </c>
      <c r="E139" s="40">
        <f>SUM(E140:E141)</f>
        <v>120000</v>
      </c>
      <c r="F139" s="40"/>
      <c r="G139" s="99"/>
      <c r="H139" s="40">
        <f>SUM(H140:H141)</f>
        <v>0</v>
      </c>
      <c r="I139" s="40">
        <f>SUM(I140:I141)</f>
        <v>0</v>
      </c>
      <c r="J139" s="40">
        <f t="shared" si="27"/>
        <v>125918</v>
      </c>
      <c r="K139" s="40">
        <f>SUM(K140:K141)</f>
        <v>125918</v>
      </c>
      <c r="L139" s="99"/>
      <c r="M139" s="99"/>
      <c r="N139" s="174">
        <f t="shared" si="24"/>
        <v>125814</v>
      </c>
      <c r="O139" s="40">
        <f>SUM(O140:O141)</f>
        <v>125814</v>
      </c>
      <c r="P139" s="40"/>
      <c r="Q139" s="40"/>
      <c r="R139" s="148">
        <f t="shared" si="23"/>
        <v>0.9991740656617799</v>
      </c>
      <c r="S139" s="148">
        <f t="shared" si="25"/>
        <v>0.9991740656617799</v>
      </c>
    </row>
    <row r="140" spans="1:19" s="34" customFormat="1" ht="24" customHeight="1">
      <c r="A140" s="45"/>
      <c r="B140" s="135"/>
      <c r="C140" s="93" t="s">
        <v>163</v>
      </c>
      <c r="D140" s="94">
        <f>SUM(E140:G140)</f>
        <v>100000</v>
      </c>
      <c r="E140" s="94">
        <v>100000</v>
      </c>
      <c r="F140" s="94"/>
      <c r="G140" s="111"/>
      <c r="H140" s="94"/>
      <c r="I140" s="94"/>
      <c r="J140" s="94">
        <f>SUM(K140:M140)</f>
        <v>105918</v>
      </c>
      <c r="K140" s="94">
        <v>105918</v>
      </c>
      <c r="L140" s="111"/>
      <c r="M140" s="111"/>
      <c r="N140" s="185">
        <f t="shared" si="24"/>
        <v>105910</v>
      </c>
      <c r="O140" s="94">
        <v>105910</v>
      </c>
      <c r="P140" s="94"/>
      <c r="Q140" s="94"/>
      <c r="R140" s="161">
        <f t="shared" si="23"/>
        <v>0.9999244698729206</v>
      </c>
      <c r="S140" s="161">
        <f t="shared" si="25"/>
        <v>0.9999244698729206</v>
      </c>
    </row>
    <row r="141" spans="1:19" s="37" customFormat="1" ht="23.25" customHeight="1">
      <c r="A141" s="41"/>
      <c r="B141" s="41"/>
      <c r="C141" s="58" t="s">
        <v>35</v>
      </c>
      <c r="D141" s="58">
        <f t="shared" si="26"/>
        <v>20000</v>
      </c>
      <c r="E141" s="58">
        <v>20000</v>
      </c>
      <c r="F141" s="58"/>
      <c r="G141" s="109"/>
      <c r="H141" s="58"/>
      <c r="I141" s="58"/>
      <c r="J141" s="58">
        <f>SUM(K141:M141)</f>
        <v>20000</v>
      </c>
      <c r="K141" s="58">
        <v>20000</v>
      </c>
      <c r="L141" s="109"/>
      <c r="M141" s="109"/>
      <c r="N141" s="183">
        <f t="shared" si="24"/>
        <v>19904</v>
      </c>
      <c r="O141" s="58">
        <v>19904</v>
      </c>
      <c r="P141" s="58"/>
      <c r="Q141" s="58"/>
      <c r="R141" s="159">
        <f t="shared" si="23"/>
        <v>0.9952</v>
      </c>
      <c r="S141" s="159">
        <f t="shared" si="25"/>
        <v>0.9952</v>
      </c>
    </row>
    <row r="142" spans="1:19" s="37" customFormat="1" ht="24" customHeight="1">
      <c r="A142" s="63">
        <v>854</v>
      </c>
      <c r="B142" s="35"/>
      <c r="C142" s="56" t="s">
        <v>65</v>
      </c>
      <c r="D142" s="56">
        <f>SUM(E142:G142)</f>
        <v>750000</v>
      </c>
      <c r="E142" s="56">
        <f>E143+E145+E148+E151+E153+E155</f>
        <v>750000</v>
      </c>
      <c r="F142" s="56"/>
      <c r="G142" s="108"/>
      <c r="H142" s="56">
        <f>H143+H145+H148+H151+H153+H155</f>
        <v>59738</v>
      </c>
      <c r="I142" s="56">
        <f>I143+I145+I148+I151+I153+I155</f>
        <v>134000</v>
      </c>
      <c r="J142" s="56">
        <f>SUM(K142:M142)</f>
        <v>920225</v>
      </c>
      <c r="K142" s="56">
        <f>K143+K145+K148+K151+K153+K155</f>
        <v>920225</v>
      </c>
      <c r="L142" s="108"/>
      <c r="M142" s="108"/>
      <c r="N142" s="182">
        <f aca="true" t="shared" si="28" ref="N142:N147">SUM(O142:Q142)</f>
        <v>901754</v>
      </c>
      <c r="O142" s="56">
        <f>O143+O145+O148+O151+O153+O155</f>
        <v>901754</v>
      </c>
      <c r="P142" s="56"/>
      <c r="Q142" s="56"/>
      <c r="R142" s="158">
        <f t="shared" si="23"/>
        <v>0.9799277350647939</v>
      </c>
      <c r="S142" s="158">
        <f t="shared" si="25"/>
        <v>0.9799277350647939</v>
      </c>
    </row>
    <row r="143" spans="1:19" s="34" customFormat="1" ht="29.25" customHeight="1">
      <c r="A143" s="45"/>
      <c r="B143" s="65">
        <v>85403</v>
      </c>
      <c r="C143" s="47" t="s">
        <v>66</v>
      </c>
      <c r="D143" s="40">
        <f aca="true" t="shared" si="29" ref="D143:D149">SUM(E143:G143)</f>
        <v>300000</v>
      </c>
      <c r="E143" s="40">
        <f>SUM(E144:E144)</f>
        <v>300000</v>
      </c>
      <c r="F143" s="40"/>
      <c r="G143" s="99"/>
      <c r="H143" s="40">
        <f>H144</f>
        <v>0</v>
      </c>
      <c r="I143" s="40">
        <f>I144</f>
        <v>0</v>
      </c>
      <c r="J143" s="40">
        <f aca="true" t="shared" si="30" ref="J143:J154">SUM(K143:M143)</f>
        <v>300000</v>
      </c>
      <c r="K143" s="40">
        <f>SUM(K144:K144)</f>
        <v>300000</v>
      </c>
      <c r="L143" s="99"/>
      <c r="M143" s="99"/>
      <c r="N143" s="174">
        <f t="shared" si="28"/>
        <v>300000</v>
      </c>
      <c r="O143" s="40">
        <f>O144</f>
        <v>300000</v>
      </c>
      <c r="P143" s="40"/>
      <c r="Q143" s="40"/>
      <c r="R143" s="148">
        <f t="shared" si="23"/>
        <v>1</v>
      </c>
      <c r="S143" s="148">
        <f t="shared" si="25"/>
        <v>1</v>
      </c>
    </row>
    <row r="144" spans="1:19" s="37" customFormat="1" ht="24" customHeight="1">
      <c r="A144" s="29"/>
      <c r="B144" s="42"/>
      <c r="C144" s="44" t="s">
        <v>62</v>
      </c>
      <c r="D144" s="44">
        <f t="shared" si="29"/>
        <v>300000</v>
      </c>
      <c r="E144" s="44">
        <v>300000</v>
      </c>
      <c r="F144" s="44"/>
      <c r="G144" s="100"/>
      <c r="H144" s="44"/>
      <c r="I144" s="44"/>
      <c r="J144" s="44">
        <f t="shared" si="30"/>
        <v>300000</v>
      </c>
      <c r="K144" s="44">
        <v>300000</v>
      </c>
      <c r="L144" s="100"/>
      <c r="M144" s="100"/>
      <c r="N144" s="175">
        <f t="shared" si="28"/>
        <v>300000</v>
      </c>
      <c r="O144" s="44">
        <v>300000</v>
      </c>
      <c r="P144" s="44"/>
      <c r="Q144" s="44"/>
      <c r="R144" s="149">
        <f t="shared" si="23"/>
        <v>1</v>
      </c>
      <c r="S144" s="149">
        <f t="shared" si="25"/>
        <v>1</v>
      </c>
    </row>
    <row r="145" spans="1:19" s="34" customFormat="1" ht="24" customHeight="1">
      <c r="A145" s="45"/>
      <c r="B145" s="32">
        <v>85404</v>
      </c>
      <c r="C145" s="55" t="s">
        <v>124</v>
      </c>
      <c r="D145" s="55">
        <f t="shared" si="29"/>
        <v>130000</v>
      </c>
      <c r="E145" s="55">
        <f>SUM(E146:E147)</f>
        <v>130000</v>
      </c>
      <c r="F145" s="55"/>
      <c r="G145" s="110"/>
      <c r="H145" s="55">
        <f>SUM(H146:H147)</f>
        <v>21745</v>
      </c>
      <c r="I145" s="55">
        <f>SUM(I146:I147)</f>
        <v>134000</v>
      </c>
      <c r="J145" s="55">
        <f t="shared" si="30"/>
        <v>321238</v>
      </c>
      <c r="K145" s="55">
        <f>SUM(K146:K147)</f>
        <v>321238</v>
      </c>
      <c r="L145" s="110"/>
      <c r="M145" s="110"/>
      <c r="N145" s="184">
        <f t="shared" si="28"/>
        <v>320222</v>
      </c>
      <c r="O145" s="55">
        <f>SUM(O146:O147)</f>
        <v>320222</v>
      </c>
      <c r="P145" s="55"/>
      <c r="Q145" s="55"/>
      <c r="R145" s="160">
        <f t="shared" si="23"/>
        <v>0.9968372359434438</v>
      </c>
      <c r="S145" s="160">
        <f t="shared" si="25"/>
        <v>0.9968372359434438</v>
      </c>
    </row>
    <row r="146" spans="1:19" s="37" customFormat="1" ht="24" customHeight="1">
      <c r="A146" s="29"/>
      <c r="B146" s="48"/>
      <c r="C146" s="50" t="s">
        <v>62</v>
      </c>
      <c r="D146" s="50">
        <f t="shared" si="29"/>
        <v>100000</v>
      </c>
      <c r="E146" s="50">
        <v>100000</v>
      </c>
      <c r="F146" s="50"/>
      <c r="G146" s="101"/>
      <c r="H146" s="50">
        <v>17745</v>
      </c>
      <c r="I146" s="50">
        <v>134000</v>
      </c>
      <c r="J146" s="50">
        <f t="shared" si="30"/>
        <v>217208</v>
      </c>
      <c r="K146" s="50">
        <v>217208</v>
      </c>
      <c r="L146" s="101"/>
      <c r="M146" s="101"/>
      <c r="N146" s="194">
        <f t="shared" si="28"/>
        <v>217204</v>
      </c>
      <c r="O146" s="192">
        <v>217204</v>
      </c>
      <c r="P146" s="192"/>
      <c r="Q146" s="192"/>
      <c r="R146" s="195">
        <v>0.9999</v>
      </c>
      <c r="S146" s="219">
        <v>0.9999</v>
      </c>
    </row>
    <row r="147" spans="1:19" s="37" customFormat="1" ht="24" customHeight="1">
      <c r="A147" s="29"/>
      <c r="B147" s="41"/>
      <c r="C147" s="58" t="s">
        <v>35</v>
      </c>
      <c r="D147" s="58">
        <f t="shared" si="29"/>
        <v>30000</v>
      </c>
      <c r="E147" s="58">
        <v>30000</v>
      </c>
      <c r="F147" s="58"/>
      <c r="G147" s="109"/>
      <c r="H147" s="58">
        <v>4000</v>
      </c>
      <c r="I147" s="58"/>
      <c r="J147" s="58">
        <f t="shared" si="30"/>
        <v>104030</v>
      </c>
      <c r="K147" s="58">
        <v>104030</v>
      </c>
      <c r="L147" s="109"/>
      <c r="M147" s="109"/>
      <c r="N147" s="180">
        <f t="shared" si="28"/>
        <v>103018</v>
      </c>
      <c r="O147" s="53">
        <v>103018</v>
      </c>
      <c r="P147" s="53"/>
      <c r="Q147" s="53"/>
      <c r="R147" s="154">
        <f t="shared" si="23"/>
        <v>0.9902720369124292</v>
      </c>
      <c r="S147" s="220">
        <f t="shared" si="25"/>
        <v>0.9902720369124292</v>
      </c>
    </row>
    <row r="148" spans="1:19" s="34" customFormat="1" ht="30.75" customHeight="1">
      <c r="A148" s="45"/>
      <c r="B148" s="67">
        <v>85406</v>
      </c>
      <c r="C148" s="61" t="s">
        <v>67</v>
      </c>
      <c r="D148" s="55">
        <f t="shared" si="29"/>
        <v>50000</v>
      </c>
      <c r="E148" s="55">
        <f>SUM(E149:E149)</f>
        <v>50000</v>
      </c>
      <c r="F148" s="55"/>
      <c r="G148" s="110"/>
      <c r="H148" s="55">
        <f>H149</f>
        <v>0</v>
      </c>
      <c r="I148" s="55">
        <f>I149</f>
        <v>0</v>
      </c>
      <c r="J148" s="55">
        <f t="shared" si="30"/>
        <v>76269</v>
      </c>
      <c r="K148" s="55">
        <f>SUM(K149:K150)</f>
        <v>76269</v>
      </c>
      <c r="L148" s="110"/>
      <c r="M148" s="110"/>
      <c r="N148" s="184">
        <f aca="true" t="shared" si="31" ref="N148:N154">SUM(O148:Q148)</f>
        <v>67538</v>
      </c>
      <c r="O148" s="55">
        <f>O149+O150</f>
        <v>67538</v>
      </c>
      <c r="P148" s="55"/>
      <c r="Q148" s="55"/>
      <c r="R148" s="160">
        <f t="shared" si="23"/>
        <v>0.8855236072322962</v>
      </c>
      <c r="S148" s="160">
        <f t="shared" si="25"/>
        <v>0.8855236072322962</v>
      </c>
    </row>
    <row r="149" spans="1:19" s="37" customFormat="1" ht="24" customHeight="1">
      <c r="A149" s="29"/>
      <c r="B149" s="29"/>
      <c r="C149" s="30" t="s">
        <v>62</v>
      </c>
      <c r="D149" s="30">
        <f t="shared" si="29"/>
        <v>50000</v>
      </c>
      <c r="E149" s="30">
        <v>50000</v>
      </c>
      <c r="F149" s="30"/>
      <c r="G149" s="96"/>
      <c r="H149" s="30"/>
      <c r="I149" s="30"/>
      <c r="J149" s="30">
        <f t="shared" si="30"/>
        <v>65000</v>
      </c>
      <c r="K149" s="30">
        <v>65000</v>
      </c>
      <c r="L149" s="96"/>
      <c r="M149" s="96"/>
      <c r="N149" s="171">
        <f t="shared" si="31"/>
        <v>59000</v>
      </c>
      <c r="O149" s="30">
        <v>59000</v>
      </c>
      <c r="P149" s="30"/>
      <c r="Q149" s="30"/>
      <c r="R149" s="145">
        <f t="shared" si="23"/>
        <v>0.9076923076923077</v>
      </c>
      <c r="S149" s="145">
        <f t="shared" si="25"/>
        <v>0.9076923076923077</v>
      </c>
    </row>
    <row r="150" spans="1:19" s="37" customFormat="1" ht="21.75" customHeight="1">
      <c r="A150" s="29"/>
      <c r="B150" s="41"/>
      <c r="C150" s="53" t="s">
        <v>35</v>
      </c>
      <c r="D150" s="53"/>
      <c r="E150" s="53"/>
      <c r="F150" s="53"/>
      <c r="G150" s="104"/>
      <c r="H150" s="53"/>
      <c r="I150" s="53"/>
      <c r="J150" s="53">
        <f t="shared" si="30"/>
        <v>11269</v>
      </c>
      <c r="K150" s="53">
        <v>11269</v>
      </c>
      <c r="L150" s="104"/>
      <c r="M150" s="104"/>
      <c r="N150" s="180">
        <f t="shared" si="31"/>
        <v>8538</v>
      </c>
      <c r="O150" s="53">
        <v>8538</v>
      </c>
      <c r="P150" s="53"/>
      <c r="Q150" s="53"/>
      <c r="R150" s="154">
        <f t="shared" si="23"/>
        <v>0.7576537403496317</v>
      </c>
      <c r="S150" s="154">
        <f t="shared" si="25"/>
        <v>0.7576537403496317</v>
      </c>
    </row>
    <row r="151" spans="1:19" s="34" customFormat="1" ht="24" customHeight="1">
      <c r="A151" s="45"/>
      <c r="B151" s="67">
        <v>85407</v>
      </c>
      <c r="C151" s="61" t="s">
        <v>68</v>
      </c>
      <c r="D151" s="55">
        <f aca="true" t="shared" si="32" ref="D151:D169">SUM(E151:G151)</f>
        <v>100000</v>
      </c>
      <c r="E151" s="55">
        <f>SUM(E152:E152)</f>
        <v>100000</v>
      </c>
      <c r="F151" s="55"/>
      <c r="G151" s="110"/>
      <c r="H151" s="55">
        <f>H152</f>
        <v>0</v>
      </c>
      <c r="I151" s="55">
        <f>I152</f>
        <v>0</v>
      </c>
      <c r="J151" s="55">
        <f t="shared" si="30"/>
        <v>69883</v>
      </c>
      <c r="K151" s="55">
        <f>SUM(K152:K152)</f>
        <v>69883</v>
      </c>
      <c r="L151" s="110"/>
      <c r="M151" s="110"/>
      <c r="N151" s="184">
        <f t="shared" si="31"/>
        <v>61235</v>
      </c>
      <c r="O151" s="55">
        <f>O152</f>
        <v>61235</v>
      </c>
      <c r="P151" s="55"/>
      <c r="Q151" s="55"/>
      <c r="R151" s="160">
        <f t="shared" si="23"/>
        <v>0.8762503040796761</v>
      </c>
      <c r="S151" s="160">
        <f t="shared" si="25"/>
        <v>0.8762503040796761</v>
      </c>
    </row>
    <row r="152" spans="1:19" s="37" customFormat="1" ht="24" customHeight="1">
      <c r="A152" s="29"/>
      <c r="B152" s="41"/>
      <c r="C152" s="58" t="s">
        <v>62</v>
      </c>
      <c r="D152" s="58">
        <f t="shared" si="32"/>
        <v>100000</v>
      </c>
      <c r="E152" s="58">
        <v>100000</v>
      </c>
      <c r="F152" s="58"/>
      <c r="G152" s="109"/>
      <c r="H152" s="58"/>
      <c r="I152" s="58"/>
      <c r="J152" s="58">
        <f t="shared" si="30"/>
        <v>69883</v>
      </c>
      <c r="K152" s="58">
        <v>69883</v>
      </c>
      <c r="L152" s="109"/>
      <c r="M152" s="109"/>
      <c r="N152" s="183">
        <f t="shared" si="31"/>
        <v>61235</v>
      </c>
      <c r="O152" s="58">
        <v>61235</v>
      </c>
      <c r="P152" s="58"/>
      <c r="Q152" s="58"/>
      <c r="R152" s="159">
        <f t="shared" si="23"/>
        <v>0.8762503040796761</v>
      </c>
      <c r="S152" s="159">
        <f t="shared" si="25"/>
        <v>0.8762503040796761</v>
      </c>
    </row>
    <row r="153" spans="1:19" s="34" customFormat="1" ht="24" customHeight="1">
      <c r="A153" s="45"/>
      <c r="B153" s="67">
        <v>85410</v>
      </c>
      <c r="C153" s="61" t="s">
        <v>125</v>
      </c>
      <c r="D153" s="55">
        <f t="shared" si="32"/>
        <v>130000</v>
      </c>
      <c r="E153" s="55">
        <f>SUM(E154:E154)</f>
        <v>130000</v>
      </c>
      <c r="F153" s="55"/>
      <c r="G153" s="110"/>
      <c r="H153" s="55">
        <f>H154</f>
        <v>37993</v>
      </c>
      <c r="I153" s="55">
        <f>I154</f>
        <v>0</v>
      </c>
      <c r="J153" s="55">
        <f t="shared" si="30"/>
        <v>94525</v>
      </c>
      <c r="K153" s="55">
        <f>SUM(K154:K154)</f>
        <v>94525</v>
      </c>
      <c r="L153" s="110"/>
      <c r="M153" s="110"/>
      <c r="N153" s="184">
        <f t="shared" si="31"/>
        <v>94524</v>
      </c>
      <c r="O153" s="55">
        <f>O154</f>
        <v>94524</v>
      </c>
      <c r="P153" s="55"/>
      <c r="Q153" s="55"/>
      <c r="R153" s="201">
        <v>0.9999</v>
      </c>
      <c r="S153" s="201">
        <v>0.9999</v>
      </c>
    </row>
    <row r="154" spans="1:19" s="37" customFormat="1" ht="24" customHeight="1">
      <c r="A154" s="29"/>
      <c r="B154" s="42"/>
      <c r="C154" s="44" t="s">
        <v>62</v>
      </c>
      <c r="D154" s="44">
        <f t="shared" si="32"/>
        <v>130000</v>
      </c>
      <c r="E154" s="44">
        <v>130000</v>
      </c>
      <c r="F154" s="44"/>
      <c r="G154" s="100"/>
      <c r="H154" s="44">
        <v>37993</v>
      </c>
      <c r="I154" s="44"/>
      <c r="J154" s="44">
        <f t="shared" si="30"/>
        <v>94525</v>
      </c>
      <c r="K154" s="44">
        <v>94525</v>
      </c>
      <c r="L154" s="100"/>
      <c r="M154" s="100"/>
      <c r="N154" s="175">
        <f t="shared" si="31"/>
        <v>94524</v>
      </c>
      <c r="O154" s="44">
        <v>94524</v>
      </c>
      <c r="P154" s="44"/>
      <c r="Q154" s="44"/>
      <c r="R154" s="221">
        <v>0.9999</v>
      </c>
      <c r="S154" s="221">
        <v>0.9999</v>
      </c>
    </row>
    <row r="155" spans="1:19" s="34" customFormat="1" ht="24" customHeight="1">
      <c r="A155" s="45"/>
      <c r="B155" s="67">
        <v>85495</v>
      </c>
      <c r="C155" s="61" t="s">
        <v>18</v>
      </c>
      <c r="D155" s="55">
        <f>SUM(E155:G155)</f>
        <v>40000</v>
      </c>
      <c r="E155" s="55">
        <f>E156</f>
        <v>40000</v>
      </c>
      <c r="F155" s="55"/>
      <c r="G155" s="110"/>
      <c r="H155" s="55">
        <f>H156</f>
        <v>0</v>
      </c>
      <c r="I155" s="55">
        <f>I156</f>
        <v>0</v>
      </c>
      <c r="J155" s="55">
        <f aca="true" t="shared" si="33" ref="J155:J179">SUM(K155:M155)</f>
        <v>58310</v>
      </c>
      <c r="K155" s="55">
        <f>K156</f>
        <v>58310</v>
      </c>
      <c r="L155" s="110"/>
      <c r="M155" s="110"/>
      <c r="N155" s="184">
        <f>SUM(O155:Q155)</f>
        <v>58235</v>
      </c>
      <c r="O155" s="55">
        <f>O156</f>
        <v>58235</v>
      </c>
      <c r="P155" s="55"/>
      <c r="Q155" s="55"/>
      <c r="R155" s="160">
        <f t="shared" si="23"/>
        <v>0.9987137712227748</v>
      </c>
      <c r="S155" s="160">
        <f t="shared" si="25"/>
        <v>0.9987137712227748</v>
      </c>
    </row>
    <row r="156" spans="1:19" s="37" customFormat="1" ht="24" customHeight="1">
      <c r="A156" s="41"/>
      <c r="B156" s="41"/>
      <c r="C156" s="58" t="s">
        <v>35</v>
      </c>
      <c r="D156" s="58">
        <f>SUM(E156:G156)</f>
        <v>40000</v>
      </c>
      <c r="E156" s="58">
        <v>40000</v>
      </c>
      <c r="F156" s="58"/>
      <c r="G156" s="109"/>
      <c r="H156" s="58"/>
      <c r="I156" s="58"/>
      <c r="J156" s="58">
        <f t="shared" si="33"/>
        <v>58310</v>
      </c>
      <c r="K156" s="58">
        <v>58310</v>
      </c>
      <c r="L156" s="109"/>
      <c r="M156" s="109"/>
      <c r="N156" s="183">
        <f>SUM(O156:Q156)</f>
        <v>58235</v>
      </c>
      <c r="O156" s="58">
        <v>58235</v>
      </c>
      <c r="P156" s="58"/>
      <c r="Q156" s="58"/>
      <c r="R156" s="159">
        <f t="shared" si="23"/>
        <v>0.9987137712227748</v>
      </c>
      <c r="S156" s="159">
        <f t="shared" si="25"/>
        <v>0.9987137712227748</v>
      </c>
    </row>
    <row r="157" spans="1:19" s="37" customFormat="1" ht="30" customHeight="1">
      <c r="A157" s="62">
        <v>900</v>
      </c>
      <c r="B157" s="63"/>
      <c r="C157" s="64" t="s">
        <v>69</v>
      </c>
      <c r="D157" s="36">
        <f>SUM(E157:G157)</f>
        <v>22355000</v>
      </c>
      <c r="E157" s="36">
        <f>E158+E172+E175+E177+E179</f>
        <v>19045000</v>
      </c>
      <c r="F157" s="36">
        <f>F158+F172+F175+F177+F179</f>
        <v>3310000</v>
      </c>
      <c r="G157" s="98"/>
      <c r="H157" s="36">
        <f>H158+H172+H175+H177+H179</f>
        <v>219500</v>
      </c>
      <c r="I157" s="36">
        <f>I158+I172+I175+I177+I179</f>
        <v>1524250</v>
      </c>
      <c r="J157" s="36">
        <f t="shared" si="33"/>
        <v>26056345</v>
      </c>
      <c r="K157" s="36">
        <f>K158+K172+K175+K177+K179</f>
        <v>17442596</v>
      </c>
      <c r="L157" s="98">
        <f>L158+L172+L175+L177+L179</f>
        <v>7794749</v>
      </c>
      <c r="M157" s="98">
        <f>M158+M172+M175+M177+M179</f>
        <v>819000</v>
      </c>
      <c r="N157" s="173">
        <f aca="true" t="shared" si="34" ref="N157:N170">SUM(O157:Q157)</f>
        <v>23676565</v>
      </c>
      <c r="O157" s="36">
        <f>O158+O172+O175+O177+O179</f>
        <v>15900648</v>
      </c>
      <c r="P157" s="36">
        <f>P158+P172+P175+P177+P179</f>
        <v>7680251</v>
      </c>
      <c r="Q157" s="36">
        <f>Q158+Q172+Q175+Q177+Q179</f>
        <v>95666</v>
      </c>
      <c r="R157" s="147">
        <f t="shared" si="23"/>
        <v>0.9086679271402033</v>
      </c>
      <c r="S157" s="147">
        <f t="shared" si="25"/>
        <v>0.9115987092746974</v>
      </c>
    </row>
    <row r="158" spans="1:19" s="34" customFormat="1" ht="24" customHeight="1">
      <c r="A158" s="45"/>
      <c r="B158" s="67">
        <v>90001</v>
      </c>
      <c r="C158" s="61" t="s">
        <v>70</v>
      </c>
      <c r="D158" s="55">
        <f>SUM(E158:G158)</f>
        <v>10320000</v>
      </c>
      <c r="E158" s="55">
        <f>SUM(E159:E169)</f>
        <v>7310000</v>
      </c>
      <c r="F158" s="55">
        <f>SUM(F159:F169)</f>
        <v>3010000</v>
      </c>
      <c r="G158" s="110"/>
      <c r="H158" s="55">
        <f>SUM(H159:H171)</f>
        <v>219500</v>
      </c>
      <c r="I158" s="55">
        <f>SUM(I159:I171)</f>
        <v>503000</v>
      </c>
      <c r="J158" s="55">
        <f t="shared" si="33"/>
        <v>10070830</v>
      </c>
      <c r="K158" s="55">
        <f>SUM(K159:K171)</f>
        <v>6510830</v>
      </c>
      <c r="L158" s="110">
        <f>SUM(L159:L171)</f>
        <v>3560000</v>
      </c>
      <c r="M158" s="110"/>
      <c r="N158" s="184">
        <f t="shared" si="34"/>
        <v>9192606</v>
      </c>
      <c r="O158" s="55">
        <f>SUM(O159:O170)</f>
        <v>5712354</v>
      </c>
      <c r="P158" s="55">
        <f>SUM(P159:P170)</f>
        <v>3480252</v>
      </c>
      <c r="Q158" s="55"/>
      <c r="R158" s="160">
        <f t="shared" si="23"/>
        <v>0.9127952710948353</v>
      </c>
      <c r="S158" s="160">
        <f t="shared" si="25"/>
        <v>0.877361872449442</v>
      </c>
    </row>
    <row r="159" spans="1:19" s="37" customFormat="1" ht="24" customHeight="1">
      <c r="A159" s="29"/>
      <c r="B159" s="48"/>
      <c r="C159" s="52" t="s">
        <v>192</v>
      </c>
      <c r="D159" s="52">
        <f t="shared" si="32"/>
        <v>2700000</v>
      </c>
      <c r="E159" s="52">
        <v>510000</v>
      </c>
      <c r="F159" s="52">
        <v>2190000</v>
      </c>
      <c r="G159" s="102"/>
      <c r="H159" s="52"/>
      <c r="I159" s="52"/>
      <c r="J159" s="52">
        <f t="shared" si="33"/>
        <v>2700000</v>
      </c>
      <c r="K159" s="52">
        <v>510000</v>
      </c>
      <c r="L159" s="102">
        <v>2190000</v>
      </c>
      <c r="M159" s="102"/>
      <c r="N159" s="177">
        <f t="shared" si="34"/>
        <v>2525807</v>
      </c>
      <c r="O159" s="52">
        <v>335807</v>
      </c>
      <c r="P159" s="52">
        <v>2190000</v>
      </c>
      <c r="Q159" s="52"/>
      <c r="R159" s="151">
        <f t="shared" si="23"/>
        <v>0.9354840740740741</v>
      </c>
      <c r="S159" s="151">
        <f t="shared" si="25"/>
        <v>0.6584450980392157</v>
      </c>
    </row>
    <row r="160" spans="1:19" s="37" customFormat="1" ht="23.25" customHeight="1">
      <c r="A160" s="29"/>
      <c r="B160" s="29"/>
      <c r="C160" s="52" t="s">
        <v>71</v>
      </c>
      <c r="D160" s="52">
        <f t="shared" si="32"/>
        <v>370000</v>
      </c>
      <c r="E160" s="52">
        <v>370000</v>
      </c>
      <c r="F160" s="52"/>
      <c r="G160" s="102"/>
      <c r="H160" s="52"/>
      <c r="I160" s="52">
        <v>200000</v>
      </c>
      <c r="J160" s="52">
        <f>SUM(K160:M160)</f>
        <v>527700</v>
      </c>
      <c r="K160" s="52">
        <v>327700</v>
      </c>
      <c r="L160" s="102">
        <f>I160</f>
        <v>200000</v>
      </c>
      <c r="M160" s="102"/>
      <c r="N160" s="177">
        <f t="shared" si="34"/>
        <v>527695</v>
      </c>
      <c r="O160" s="52">
        <v>327695</v>
      </c>
      <c r="P160" s="52">
        <v>200000</v>
      </c>
      <c r="Q160" s="52"/>
      <c r="R160" s="151">
        <v>0.9999</v>
      </c>
      <c r="S160" s="151">
        <v>0.9999</v>
      </c>
    </row>
    <row r="161" spans="1:19" s="37" customFormat="1" ht="42.75" customHeight="1">
      <c r="A161" s="41"/>
      <c r="B161" s="41"/>
      <c r="C161" s="57" t="s">
        <v>151</v>
      </c>
      <c r="D161" s="58">
        <f t="shared" si="32"/>
        <v>500000</v>
      </c>
      <c r="E161" s="58">
        <v>500000</v>
      </c>
      <c r="F161" s="58"/>
      <c r="G161" s="109"/>
      <c r="H161" s="58"/>
      <c r="I161" s="58"/>
      <c r="J161" s="58">
        <f t="shared" si="33"/>
        <v>781000</v>
      </c>
      <c r="K161" s="58">
        <v>431000</v>
      </c>
      <c r="L161" s="109">
        <v>350000</v>
      </c>
      <c r="M161" s="109"/>
      <c r="N161" s="183">
        <f t="shared" si="34"/>
        <v>570271</v>
      </c>
      <c r="O161" s="58">
        <v>300019</v>
      </c>
      <c r="P161" s="58">
        <v>270252</v>
      </c>
      <c r="Q161" s="58"/>
      <c r="R161" s="159">
        <f t="shared" si="23"/>
        <v>0.730180537772087</v>
      </c>
      <c r="S161" s="159">
        <f t="shared" si="25"/>
        <v>0.6960997679814385</v>
      </c>
    </row>
    <row r="162" spans="1:19" s="37" customFormat="1" ht="23.25" customHeight="1">
      <c r="A162" s="29"/>
      <c r="B162" s="29"/>
      <c r="C162" s="69" t="s">
        <v>72</v>
      </c>
      <c r="D162" s="54">
        <f t="shared" si="32"/>
        <v>1450000</v>
      </c>
      <c r="E162" s="54">
        <v>630000</v>
      </c>
      <c r="F162" s="54">
        <v>820000</v>
      </c>
      <c r="G162" s="103"/>
      <c r="H162" s="54"/>
      <c r="I162" s="54"/>
      <c r="J162" s="54">
        <f t="shared" si="33"/>
        <v>1300000</v>
      </c>
      <c r="K162" s="54">
        <v>480000</v>
      </c>
      <c r="L162" s="103">
        <v>820000</v>
      </c>
      <c r="M162" s="103"/>
      <c r="N162" s="178">
        <f t="shared" si="34"/>
        <v>999189</v>
      </c>
      <c r="O162" s="54">
        <v>179189</v>
      </c>
      <c r="P162" s="54">
        <v>820000</v>
      </c>
      <c r="Q162" s="54"/>
      <c r="R162" s="152">
        <f t="shared" si="23"/>
        <v>0.7686069230769231</v>
      </c>
      <c r="S162" s="152">
        <f t="shared" si="25"/>
        <v>0.37331041666666664</v>
      </c>
    </row>
    <row r="163" spans="1:19" s="37" customFormat="1" ht="27.75" customHeight="1">
      <c r="A163" s="29"/>
      <c r="B163" s="29"/>
      <c r="C163" s="51" t="s">
        <v>73</v>
      </c>
      <c r="D163" s="52">
        <f t="shared" si="32"/>
        <v>3800000</v>
      </c>
      <c r="E163" s="52">
        <f>4000000-200000</f>
        <v>3800000</v>
      </c>
      <c r="F163" s="52"/>
      <c r="G163" s="102"/>
      <c r="H163" s="52"/>
      <c r="I163" s="52"/>
      <c r="J163" s="52">
        <f t="shared" si="33"/>
        <v>3800000</v>
      </c>
      <c r="K163" s="52">
        <f>4000000-200000</f>
        <v>3800000</v>
      </c>
      <c r="L163" s="102"/>
      <c r="M163" s="102"/>
      <c r="N163" s="177">
        <f t="shared" si="34"/>
        <v>3779986</v>
      </c>
      <c r="O163" s="52">
        <v>3779986</v>
      </c>
      <c r="P163" s="52"/>
      <c r="Q163" s="52"/>
      <c r="R163" s="151">
        <f t="shared" si="23"/>
        <v>0.9947331578947368</v>
      </c>
      <c r="S163" s="151">
        <f t="shared" si="25"/>
        <v>0.9947331578947368</v>
      </c>
    </row>
    <row r="164" spans="1:19" s="37" customFormat="1" ht="42.75" customHeight="1">
      <c r="A164" s="29"/>
      <c r="B164" s="29"/>
      <c r="C164" s="69" t="s">
        <v>184</v>
      </c>
      <c r="D164" s="54">
        <f t="shared" si="32"/>
        <v>800000</v>
      </c>
      <c r="E164" s="54">
        <v>800000</v>
      </c>
      <c r="F164" s="54"/>
      <c r="G164" s="103"/>
      <c r="H164" s="54">
        <v>219500</v>
      </c>
      <c r="I164" s="54"/>
      <c r="J164" s="54">
        <f t="shared" si="33"/>
        <v>433930</v>
      </c>
      <c r="K164" s="54">
        <v>433930</v>
      </c>
      <c r="L164" s="103"/>
      <c r="M164" s="103"/>
      <c r="N164" s="178">
        <f t="shared" si="34"/>
        <v>297330</v>
      </c>
      <c r="O164" s="54">
        <v>297330</v>
      </c>
      <c r="P164" s="54"/>
      <c r="Q164" s="54"/>
      <c r="R164" s="152">
        <f t="shared" si="23"/>
        <v>0.6852026824603047</v>
      </c>
      <c r="S164" s="152">
        <f t="shared" si="25"/>
        <v>0.6852026824603047</v>
      </c>
    </row>
    <row r="165" spans="1:19" s="37" customFormat="1" ht="30" customHeight="1">
      <c r="A165" s="29"/>
      <c r="B165" s="29"/>
      <c r="C165" s="51" t="s">
        <v>74</v>
      </c>
      <c r="D165" s="52">
        <f t="shared" si="32"/>
        <v>100000</v>
      </c>
      <c r="E165" s="52">
        <v>100000</v>
      </c>
      <c r="F165" s="52"/>
      <c r="G165" s="102"/>
      <c r="H165" s="52"/>
      <c r="I165" s="52"/>
      <c r="J165" s="52">
        <f t="shared" si="33"/>
        <v>22300</v>
      </c>
      <c r="K165" s="52">
        <v>22300</v>
      </c>
      <c r="L165" s="102"/>
      <c r="M165" s="102"/>
      <c r="N165" s="178"/>
      <c r="O165" s="52"/>
      <c r="P165" s="52"/>
      <c r="Q165" s="52"/>
      <c r="R165" s="152"/>
      <c r="S165" s="152"/>
    </row>
    <row r="166" spans="1:19" s="37" customFormat="1" ht="32.25" customHeight="1">
      <c r="A166" s="29"/>
      <c r="B166" s="29"/>
      <c r="C166" s="51" t="s">
        <v>75</v>
      </c>
      <c r="D166" s="52">
        <f t="shared" si="32"/>
        <v>100000</v>
      </c>
      <c r="E166" s="52">
        <v>100000</v>
      </c>
      <c r="F166" s="52"/>
      <c r="G166" s="102"/>
      <c r="H166" s="52"/>
      <c r="I166" s="52"/>
      <c r="J166" s="52">
        <f t="shared" si="33"/>
        <v>60600</v>
      </c>
      <c r="K166" s="52">
        <v>60600</v>
      </c>
      <c r="L166" s="102"/>
      <c r="M166" s="102"/>
      <c r="N166" s="177">
        <f t="shared" si="34"/>
        <v>60541</v>
      </c>
      <c r="O166" s="52">
        <v>60541</v>
      </c>
      <c r="P166" s="52"/>
      <c r="Q166" s="52"/>
      <c r="R166" s="151">
        <f t="shared" si="23"/>
        <v>0.999026402640264</v>
      </c>
      <c r="S166" s="151">
        <f t="shared" si="25"/>
        <v>0.999026402640264</v>
      </c>
    </row>
    <row r="167" spans="1:19" s="37" customFormat="1" ht="23.25" customHeight="1">
      <c r="A167" s="29"/>
      <c r="B167" s="29"/>
      <c r="C167" s="51" t="s">
        <v>76</v>
      </c>
      <c r="D167" s="52">
        <f t="shared" si="32"/>
        <v>100000</v>
      </c>
      <c r="E167" s="52">
        <v>100000</v>
      </c>
      <c r="F167" s="52"/>
      <c r="G167" s="102"/>
      <c r="H167" s="52"/>
      <c r="I167" s="52"/>
      <c r="J167" s="52">
        <v>0</v>
      </c>
      <c r="K167" s="52"/>
      <c r="L167" s="102"/>
      <c r="M167" s="102"/>
      <c r="N167" s="177"/>
      <c r="O167" s="52"/>
      <c r="P167" s="52"/>
      <c r="Q167" s="52"/>
      <c r="R167" s="151"/>
      <c r="S167" s="151"/>
    </row>
    <row r="168" spans="1:19" s="37" customFormat="1" ht="23.25" customHeight="1">
      <c r="A168" s="29"/>
      <c r="B168" s="29"/>
      <c r="C168" s="70" t="s">
        <v>158</v>
      </c>
      <c r="D168" s="71">
        <f>SUM(E168:G168)</f>
        <v>200000</v>
      </c>
      <c r="E168" s="71">
        <v>200000</v>
      </c>
      <c r="F168" s="71"/>
      <c r="G168" s="105"/>
      <c r="H168" s="71"/>
      <c r="I168" s="71"/>
      <c r="J168" s="71">
        <f t="shared" si="33"/>
        <v>23800</v>
      </c>
      <c r="K168" s="71">
        <v>23800</v>
      </c>
      <c r="L168" s="105"/>
      <c r="M168" s="105"/>
      <c r="N168" s="179">
        <f t="shared" si="34"/>
        <v>23790</v>
      </c>
      <c r="O168" s="71">
        <v>23790</v>
      </c>
      <c r="P168" s="71"/>
      <c r="Q168" s="71"/>
      <c r="R168" s="153">
        <f t="shared" si="23"/>
        <v>0.9995798319327731</v>
      </c>
      <c r="S168" s="153">
        <f t="shared" si="25"/>
        <v>0.9995798319327731</v>
      </c>
    </row>
    <row r="169" spans="1:19" s="37" customFormat="1" ht="24" customHeight="1">
      <c r="A169" s="29"/>
      <c r="B169" s="29"/>
      <c r="C169" s="71" t="s">
        <v>77</v>
      </c>
      <c r="D169" s="71">
        <f t="shared" si="32"/>
        <v>200000</v>
      </c>
      <c r="E169" s="71">
        <v>200000</v>
      </c>
      <c r="F169" s="71"/>
      <c r="G169" s="105"/>
      <c r="H169" s="71"/>
      <c r="I169" s="71">
        <v>57000</v>
      </c>
      <c r="J169" s="71">
        <f t="shared" si="33"/>
        <v>249000</v>
      </c>
      <c r="K169" s="71">
        <v>249000</v>
      </c>
      <c r="L169" s="105"/>
      <c r="M169" s="105"/>
      <c r="N169" s="179">
        <f t="shared" si="34"/>
        <v>248938</v>
      </c>
      <c r="O169" s="71">
        <v>248938</v>
      </c>
      <c r="P169" s="71"/>
      <c r="Q169" s="71"/>
      <c r="R169" s="153">
        <f t="shared" si="23"/>
        <v>0.9997510040160642</v>
      </c>
      <c r="S169" s="153">
        <f t="shared" si="25"/>
        <v>0.9997510040160642</v>
      </c>
    </row>
    <row r="170" spans="1:19" s="37" customFormat="1" ht="32.25" customHeight="1">
      <c r="A170" s="29"/>
      <c r="B170" s="29"/>
      <c r="C170" s="70" t="s">
        <v>187</v>
      </c>
      <c r="D170" s="71"/>
      <c r="E170" s="71"/>
      <c r="F170" s="71"/>
      <c r="G170" s="71"/>
      <c r="H170" s="71"/>
      <c r="I170" s="71">
        <v>180000</v>
      </c>
      <c r="J170" s="71">
        <f>SUM(K170:M170)</f>
        <v>172500</v>
      </c>
      <c r="K170" s="71">
        <v>172500</v>
      </c>
      <c r="L170" s="71"/>
      <c r="M170" s="105"/>
      <c r="N170" s="179">
        <f t="shared" si="34"/>
        <v>159059</v>
      </c>
      <c r="O170" s="71">
        <v>159059</v>
      </c>
      <c r="P170" s="71"/>
      <c r="Q170" s="71"/>
      <c r="R170" s="153">
        <f t="shared" si="23"/>
        <v>0.9220811594202899</v>
      </c>
      <c r="S170" s="153">
        <f t="shared" si="25"/>
        <v>0.9220811594202899</v>
      </c>
    </row>
    <row r="171" spans="1:19" s="37" customFormat="1" ht="27" customHeight="1" hidden="1">
      <c r="A171" s="29"/>
      <c r="B171" s="41"/>
      <c r="C171" s="57"/>
      <c r="D171" s="58"/>
      <c r="E171" s="58"/>
      <c r="F171" s="58"/>
      <c r="G171" s="109"/>
      <c r="H171" s="58"/>
      <c r="I171" s="58">
        <v>66000</v>
      </c>
      <c r="J171" s="58"/>
      <c r="K171" s="58"/>
      <c r="L171" s="109"/>
      <c r="M171" s="109"/>
      <c r="N171" s="183"/>
      <c r="O171" s="58"/>
      <c r="P171" s="58"/>
      <c r="Q171" s="58"/>
      <c r="R171" s="159"/>
      <c r="S171" s="159"/>
    </row>
    <row r="172" spans="1:19" s="34" customFormat="1" ht="22.5" customHeight="1">
      <c r="A172" s="45"/>
      <c r="B172" s="39">
        <v>90003</v>
      </c>
      <c r="C172" s="40" t="s">
        <v>126</v>
      </c>
      <c r="D172" s="40">
        <f aca="true" t="shared" si="35" ref="D172:D193">SUM(E172:G172)</f>
        <v>200000</v>
      </c>
      <c r="E172" s="40">
        <f>E173</f>
        <v>200000</v>
      </c>
      <c r="F172" s="40"/>
      <c r="G172" s="99"/>
      <c r="H172" s="40">
        <f>SUM(H173:H174)</f>
        <v>0</v>
      </c>
      <c r="I172" s="40">
        <f>SUM(I173:I174)</f>
        <v>503500</v>
      </c>
      <c r="J172" s="40">
        <f t="shared" si="33"/>
        <v>1522500</v>
      </c>
      <c r="K172" s="40">
        <f>K173</f>
        <v>362500</v>
      </c>
      <c r="L172" s="99">
        <f>L173</f>
        <v>341000</v>
      </c>
      <c r="M172" s="99">
        <f>M173</f>
        <v>819000</v>
      </c>
      <c r="N172" s="174">
        <f>SUM(O172:Q172)</f>
        <v>483077</v>
      </c>
      <c r="O172" s="40">
        <f>O173</f>
        <v>46411</v>
      </c>
      <c r="P172" s="40">
        <f>P173</f>
        <v>341000</v>
      </c>
      <c r="Q172" s="40">
        <f>Q173</f>
        <v>95666</v>
      </c>
      <c r="R172" s="148">
        <f>N172/J172</f>
        <v>0.3172919540229885</v>
      </c>
      <c r="S172" s="148">
        <f>O172/K172</f>
        <v>0.1280303448275862</v>
      </c>
    </row>
    <row r="173" spans="1:19" s="37" customFormat="1" ht="22.5" customHeight="1">
      <c r="A173" s="29"/>
      <c r="B173" s="42"/>
      <c r="C173" s="136" t="s">
        <v>161</v>
      </c>
      <c r="D173" s="44">
        <f t="shared" si="35"/>
        <v>200000</v>
      </c>
      <c r="E173" s="44">
        <v>200000</v>
      </c>
      <c r="F173" s="44"/>
      <c r="G173" s="44"/>
      <c r="H173" s="44"/>
      <c r="I173" s="44">
        <v>341000</v>
      </c>
      <c r="J173" s="44">
        <f t="shared" si="33"/>
        <v>1522500</v>
      </c>
      <c r="K173" s="44">
        <f>200000+I174</f>
        <v>362500</v>
      </c>
      <c r="L173" s="44">
        <v>341000</v>
      </c>
      <c r="M173" s="100">
        <v>819000</v>
      </c>
      <c r="N173" s="175">
        <f>SUM(O173:Q173)</f>
        <v>483077</v>
      </c>
      <c r="O173" s="44">
        <v>46411</v>
      </c>
      <c r="P173" s="44">
        <v>341000</v>
      </c>
      <c r="Q173" s="44">
        <v>95666</v>
      </c>
      <c r="R173" s="149">
        <f>N173/J173</f>
        <v>0.3172919540229885</v>
      </c>
      <c r="S173" s="149">
        <f>O173/K173</f>
        <v>0.1280303448275862</v>
      </c>
    </row>
    <row r="174" spans="1:19" s="37" customFormat="1" ht="22.5" customHeight="1">
      <c r="A174" s="29"/>
      <c r="B174" s="41"/>
      <c r="C174" s="80"/>
      <c r="D174" s="58"/>
      <c r="E174" s="58"/>
      <c r="F174" s="58"/>
      <c r="G174" s="109"/>
      <c r="H174" s="58"/>
      <c r="I174" s="58">
        <v>162500</v>
      </c>
      <c r="J174" s="58"/>
      <c r="K174" s="58"/>
      <c r="L174" s="109"/>
      <c r="M174" s="109"/>
      <c r="N174" s="183"/>
      <c r="O174" s="58"/>
      <c r="P174" s="58"/>
      <c r="Q174" s="58"/>
      <c r="R174" s="159"/>
      <c r="S174" s="159"/>
    </row>
    <row r="175" spans="1:19" s="34" customFormat="1" ht="22.5" customHeight="1">
      <c r="A175" s="45"/>
      <c r="B175" s="67">
        <v>90004</v>
      </c>
      <c r="C175" s="61" t="s">
        <v>78</v>
      </c>
      <c r="D175" s="55">
        <f>SUM(E175:G175)</f>
        <v>200000</v>
      </c>
      <c r="E175" s="55">
        <f>SUM(E176:E176)</f>
        <v>200000</v>
      </c>
      <c r="F175" s="55"/>
      <c r="G175" s="110"/>
      <c r="H175" s="55">
        <f>H176</f>
        <v>0</v>
      </c>
      <c r="I175" s="55">
        <f>I176</f>
        <v>0</v>
      </c>
      <c r="J175" s="55">
        <f t="shared" si="33"/>
        <v>204000</v>
      </c>
      <c r="K175" s="55">
        <f>SUM(K176:K176)</f>
        <v>204000</v>
      </c>
      <c r="L175" s="110"/>
      <c r="M175" s="110"/>
      <c r="N175" s="184">
        <f aca="true" t="shared" si="36" ref="N175:N183">SUM(O175:Q175)</f>
        <v>203283</v>
      </c>
      <c r="O175" s="55">
        <f>O176</f>
        <v>203283</v>
      </c>
      <c r="P175" s="55"/>
      <c r="Q175" s="55"/>
      <c r="R175" s="160">
        <f aca="true" t="shared" si="37" ref="R175:R195">N175/J175</f>
        <v>0.9964852941176471</v>
      </c>
      <c r="S175" s="160">
        <f aca="true" t="shared" si="38" ref="S175:S200">O175/K175</f>
        <v>0.9964852941176471</v>
      </c>
    </row>
    <row r="176" spans="1:19" s="37" customFormat="1" ht="22.5" customHeight="1">
      <c r="A176" s="29"/>
      <c r="B176" s="41"/>
      <c r="C176" s="58" t="s">
        <v>160</v>
      </c>
      <c r="D176" s="58">
        <f>SUM(E176:G176)</f>
        <v>200000</v>
      </c>
      <c r="E176" s="58">
        <v>200000</v>
      </c>
      <c r="F176" s="58"/>
      <c r="G176" s="109"/>
      <c r="H176" s="58"/>
      <c r="I176" s="58"/>
      <c r="J176" s="58">
        <f t="shared" si="33"/>
        <v>204000</v>
      </c>
      <c r="K176" s="58">
        <v>204000</v>
      </c>
      <c r="L176" s="109"/>
      <c r="M176" s="109"/>
      <c r="N176" s="183">
        <f t="shared" si="36"/>
        <v>203283</v>
      </c>
      <c r="O176" s="58">
        <v>203283</v>
      </c>
      <c r="P176" s="58"/>
      <c r="Q176" s="58"/>
      <c r="R176" s="159">
        <f t="shared" si="37"/>
        <v>0.9964852941176471</v>
      </c>
      <c r="S176" s="159">
        <f t="shared" si="38"/>
        <v>0.9964852941176471</v>
      </c>
    </row>
    <row r="177" spans="1:19" s="34" customFormat="1" ht="22.5" customHeight="1">
      <c r="A177" s="45"/>
      <c r="B177" s="32">
        <v>90015</v>
      </c>
      <c r="C177" s="55" t="s">
        <v>79</v>
      </c>
      <c r="D177" s="55">
        <f t="shared" si="35"/>
        <v>250000</v>
      </c>
      <c r="E177" s="55">
        <f>SUM(E178:E178)</f>
        <v>250000</v>
      </c>
      <c r="F177" s="55"/>
      <c r="G177" s="110"/>
      <c r="H177" s="55">
        <f>H178</f>
        <v>0</v>
      </c>
      <c r="I177" s="55">
        <f>I178</f>
        <v>0</v>
      </c>
      <c r="J177" s="55">
        <f t="shared" si="33"/>
        <v>257500</v>
      </c>
      <c r="K177" s="55">
        <f>SUM(K178:K178)</f>
        <v>257500</v>
      </c>
      <c r="L177" s="110"/>
      <c r="M177" s="110"/>
      <c r="N177" s="184">
        <f t="shared" si="36"/>
        <v>251701</v>
      </c>
      <c r="O177" s="55">
        <f>O178</f>
        <v>251701</v>
      </c>
      <c r="P177" s="55"/>
      <c r="Q177" s="55"/>
      <c r="R177" s="160">
        <f t="shared" si="37"/>
        <v>0.9774796116504855</v>
      </c>
      <c r="S177" s="160">
        <f t="shared" si="38"/>
        <v>0.9774796116504855</v>
      </c>
    </row>
    <row r="178" spans="1:19" s="37" customFormat="1" ht="22.5" customHeight="1">
      <c r="A178" s="29"/>
      <c r="B178" s="42"/>
      <c r="C178" s="44" t="s">
        <v>80</v>
      </c>
      <c r="D178" s="44">
        <f t="shared" si="35"/>
        <v>250000</v>
      </c>
      <c r="E178" s="44">
        <v>250000</v>
      </c>
      <c r="F178" s="44"/>
      <c r="G178" s="100"/>
      <c r="H178" s="44"/>
      <c r="I178" s="44"/>
      <c r="J178" s="44">
        <f t="shared" si="33"/>
        <v>257500</v>
      </c>
      <c r="K178" s="44">
        <v>257500</v>
      </c>
      <c r="L178" s="100"/>
      <c r="M178" s="100"/>
      <c r="N178" s="175">
        <f t="shared" si="36"/>
        <v>251701</v>
      </c>
      <c r="O178" s="44">
        <v>251701</v>
      </c>
      <c r="P178" s="44"/>
      <c r="Q178" s="44"/>
      <c r="R178" s="149">
        <f t="shared" si="37"/>
        <v>0.9774796116504855</v>
      </c>
      <c r="S178" s="149">
        <f t="shared" si="38"/>
        <v>0.9774796116504855</v>
      </c>
    </row>
    <row r="179" spans="1:19" s="34" customFormat="1" ht="22.5" customHeight="1">
      <c r="A179" s="45"/>
      <c r="B179" s="32">
        <v>90095</v>
      </c>
      <c r="C179" s="55" t="s">
        <v>18</v>
      </c>
      <c r="D179" s="55">
        <f>SUM(E179:G179)</f>
        <v>11385000</v>
      </c>
      <c r="E179" s="55">
        <f>SUM(E180:E187)</f>
        <v>11085000</v>
      </c>
      <c r="F179" s="55">
        <f>SUM(F180:F187)</f>
        <v>300000</v>
      </c>
      <c r="G179" s="110"/>
      <c r="H179" s="55">
        <f>SUM(H180:H187)</f>
        <v>0</v>
      </c>
      <c r="I179" s="55">
        <f>SUM(I180:I187)</f>
        <v>517750</v>
      </c>
      <c r="J179" s="55">
        <f t="shared" si="33"/>
        <v>14001515</v>
      </c>
      <c r="K179" s="110">
        <f>SUM(K180:K187)-K182-K184</f>
        <v>10107766</v>
      </c>
      <c r="L179" s="110">
        <f>SUM(L180:L187)-L182-L184</f>
        <v>3893749</v>
      </c>
      <c r="M179" s="110"/>
      <c r="N179" s="184">
        <f t="shared" si="36"/>
        <v>13545898</v>
      </c>
      <c r="O179" s="55">
        <f>SUM(O180:O187)-O182-O184</f>
        <v>9686899</v>
      </c>
      <c r="P179" s="55">
        <f>SUM(P180:P187)-P182-P184</f>
        <v>3858999</v>
      </c>
      <c r="Q179" s="55"/>
      <c r="R179" s="160">
        <f t="shared" si="37"/>
        <v>0.9674594499238118</v>
      </c>
      <c r="S179" s="160">
        <f t="shared" si="38"/>
        <v>0.9583620158994579</v>
      </c>
    </row>
    <row r="180" spans="1:19" s="37" customFormat="1" ht="22.5" customHeight="1">
      <c r="A180" s="29"/>
      <c r="B180" s="48"/>
      <c r="C180" s="50" t="s">
        <v>81</v>
      </c>
      <c r="D180" s="50">
        <f t="shared" si="35"/>
        <v>4500000</v>
      </c>
      <c r="E180" s="50">
        <v>4500000</v>
      </c>
      <c r="F180" s="50"/>
      <c r="G180" s="101"/>
      <c r="H180" s="50"/>
      <c r="I180" s="50"/>
      <c r="J180" s="50">
        <f aca="true" t="shared" si="39" ref="J180:J190">SUM(K180:M180)</f>
        <v>2723595</v>
      </c>
      <c r="K180" s="50">
        <v>2723595</v>
      </c>
      <c r="L180" s="101"/>
      <c r="M180" s="101"/>
      <c r="N180" s="176">
        <f t="shared" si="36"/>
        <v>2723432</v>
      </c>
      <c r="O180" s="50">
        <v>2723432</v>
      </c>
      <c r="P180" s="50"/>
      <c r="Q180" s="50"/>
      <c r="R180" s="150">
        <f t="shared" si="37"/>
        <v>0.9999401526291537</v>
      </c>
      <c r="S180" s="150">
        <f t="shared" si="38"/>
        <v>0.9999401526291537</v>
      </c>
    </row>
    <row r="181" spans="1:19" s="37" customFormat="1" ht="33" customHeight="1">
      <c r="A181" s="29"/>
      <c r="B181" s="29"/>
      <c r="C181" s="70" t="s">
        <v>82</v>
      </c>
      <c r="D181" s="71">
        <f t="shared" si="35"/>
        <v>1850000</v>
      </c>
      <c r="E181" s="71">
        <v>1850000</v>
      </c>
      <c r="F181" s="71"/>
      <c r="G181" s="105"/>
      <c r="H181" s="71"/>
      <c r="I181" s="71">
        <v>517750</v>
      </c>
      <c r="J181" s="71">
        <f t="shared" si="39"/>
        <v>4205920</v>
      </c>
      <c r="K181" s="71">
        <v>2378170</v>
      </c>
      <c r="L181" s="105">
        <v>1827750</v>
      </c>
      <c r="M181" s="105"/>
      <c r="N181" s="179">
        <f t="shared" si="36"/>
        <v>4071170</v>
      </c>
      <c r="O181" s="71">
        <v>2278170</v>
      </c>
      <c r="P181" s="71">
        <v>1793000</v>
      </c>
      <c r="Q181" s="71"/>
      <c r="R181" s="153">
        <f t="shared" si="37"/>
        <v>0.9679618252368091</v>
      </c>
      <c r="S181" s="153">
        <f t="shared" si="38"/>
        <v>0.9579508613766047</v>
      </c>
    </row>
    <row r="182" spans="1:19" s="224" customFormat="1" ht="21" customHeight="1">
      <c r="A182" s="223"/>
      <c r="B182" s="223"/>
      <c r="C182" s="237" t="s">
        <v>198</v>
      </c>
      <c r="D182" s="238"/>
      <c r="E182" s="238"/>
      <c r="F182" s="238"/>
      <c r="G182" s="239"/>
      <c r="H182" s="238"/>
      <c r="I182" s="238"/>
      <c r="J182" s="238">
        <f t="shared" si="39"/>
        <v>2200000</v>
      </c>
      <c r="K182" s="238">
        <v>890000</v>
      </c>
      <c r="L182" s="239">
        <v>1310000</v>
      </c>
      <c r="M182" s="239"/>
      <c r="N182" s="240">
        <f>SUM(O182:Q182)</f>
        <v>2200000</v>
      </c>
      <c r="O182" s="238">
        <v>890000</v>
      </c>
      <c r="P182" s="238">
        <v>1310000</v>
      </c>
      <c r="Q182" s="238"/>
      <c r="R182" s="241">
        <f t="shared" si="37"/>
        <v>1</v>
      </c>
      <c r="S182" s="241">
        <f t="shared" si="38"/>
        <v>1</v>
      </c>
    </row>
    <row r="183" spans="1:19" s="37" customFormat="1" ht="30.75" customHeight="1">
      <c r="A183" s="29"/>
      <c r="B183" s="29"/>
      <c r="C183" s="81" t="s">
        <v>83</v>
      </c>
      <c r="D183" s="30">
        <f t="shared" si="35"/>
        <v>4335000</v>
      </c>
      <c r="E183" s="30">
        <v>4035000</v>
      </c>
      <c r="F183" s="30">
        <v>300000</v>
      </c>
      <c r="G183" s="96"/>
      <c r="H183" s="30"/>
      <c r="I183" s="30"/>
      <c r="J183" s="30">
        <f t="shared" si="39"/>
        <v>6401000</v>
      </c>
      <c r="K183" s="30">
        <v>4335001</v>
      </c>
      <c r="L183" s="96">
        <v>2065999</v>
      </c>
      <c r="M183" s="96"/>
      <c r="N183" s="171">
        <f t="shared" si="36"/>
        <v>6389102</v>
      </c>
      <c r="O183" s="30">
        <v>4323103</v>
      </c>
      <c r="P183" s="30">
        <v>2065999</v>
      </c>
      <c r="Q183" s="30"/>
      <c r="R183" s="145">
        <f t="shared" si="37"/>
        <v>0.9981412279331354</v>
      </c>
      <c r="S183" s="145">
        <f t="shared" si="38"/>
        <v>0.9972553639549333</v>
      </c>
    </row>
    <row r="184" spans="1:19" s="224" customFormat="1" ht="21" customHeight="1">
      <c r="A184" s="223"/>
      <c r="B184" s="223"/>
      <c r="C184" s="237" t="s">
        <v>198</v>
      </c>
      <c r="D184" s="238"/>
      <c r="E184" s="238"/>
      <c r="F184" s="238"/>
      <c r="G184" s="239"/>
      <c r="H184" s="238"/>
      <c r="I184" s="238"/>
      <c r="J184" s="238">
        <f>SUM(K184:M184)</f>
        <v>4266801</v>
      </c>
      <c r="K184" s="238">
        <v>2346434</v>
      </c>
      <c r="L184" s="239">
        <v>1920367</v>
      </c>
      <c r="M184" s="239"/>
      <c r="N184" s="240">
        <f>SUM(O184:Q184)</f>
        <v>4266801</v>
      </c>
      <c r="O184" s="238">
        <v>2346434</v>
      </c>
      <c r="P184" s="238">
        <v>1920367</v>
      </c>
      <c r="Q184" s="238"/>
      <c r="R184" s="241">
        <f t="shared" si="37"/>
        <v>1</v>
      </c>
      <c r="S184" s="241">
        <f t="shared" si="38"/>
        <v>1</v>
      </c>
    </row>
    <row r="185" spans="1:19" s="37" customFormat="1" ht="21" customHeight="1">
      <c r="A185" s="29"/>
      <c r="B185" s="29"/>
      <c r="C185" s="54" t="s">
        <v>84</v>
      </c>
      <c r="D185" s="54">
        <f t="shared" si="35"/>
        <v>350000</v>
      </c>
      <c r="E185" s="54">
        <v>350000</v>
      </c>
      <c r="F185" s="54"/>
      <c r="G185" s="103"/>
      <c r="H185" s="54"/>
      <c r="I185" s="54"/>
      <c r="J185" s="54">
        <f t="shared" si="39"/>
        <v>240000</v>
      </c>
      <c r="K185" s="54">
        <v>240000</v>
      </c>
      <c r="L185" s="103"/>
      <c r="M185" s="103"/>
      <c r="N185" s="178">
        <f>SUM(O185:Q185)</f>
        <v>104638</v>
      </c>
      <c r="O185" s="54">
        <v>104638</v>
      </c>
      <c r="P185" s="54"/>
      <c r="Q185" s="54"/>
      <c r="R185" s="152">
        <f t="shared" si="37"/>
        <v>0.43599166666666667</v>
      </c>
      <c r="S185" s="152">
        <f t="shared" si="38"/>
        <v>0.43599166666666667</v>
      </c>
    </row>
    <row r="186" spans="1:19" s="37" customFormat="1" ht="29.25" customHeight="1">
      <c r="A186" s="29"/>
      <c r="B186" s="29"/>
      <c r="C186" s="69" t="s">
        <v>86</v>
      </c>
      <c r="D186" s="54">
        <f t="shared" si="35"/>
        <v>50000</v>
      </c>
      <c r="E186" s="54">
        <v>50000</v>
      </c>
      <c r="F186" s="54"/>
      <c r="G186" s="103"/>
      <c r="H186" s="54"/>
      <c r="I186" s="54"/>
      <c r="J186" s="54">
        <f t="shared" si="39"/>
        <v>141000</v>
      </c>
      <c r="K186" s="54">
        <v>141000</v>
      </c>
      <c r="L186" s="103"/>
      <c r="M186" s="103"/>
      <c r="N186" s="178">
        <f aca="true" t="shared" si="40" ref="N186:N226">SUM(O186:Q186)</f>
        <v>140069</v>
      </c>
      <c r="O186" s="54">
        <v>140069</v>
      </c>
      <c r="P186" s="54"/>
      <c r="Q186" s="54"/>
      <c r="R186" s="152">
        <f t="shared" si="37"/>
        <v>0.9933971631205674</v>
      </c>
      <c r="S186" s="152">
        <f t="shared" si="38"/>
        <v>0.9933971631205674</v>
      </c>
    </row>
    <row r="187" spans="1:19" s="37" customFormat="1" ht="21" customHeight="1">
      <c r="A187" s="41"/>
      <c r="B187" s="41"/>
      <c r="C187" s="76" t="s">
        <v>152</v>
      </c>
      <c r="D187" s="53">
        <f t="shared" si="35"/>
        <v>300000</v>
      </c>
      <c r="E187" s="53">
        <v>300000</v>
      </c>
      <c r="F187" s="53"/>
      <c r="G187" s="104"/>
      <c r="H187" s="53"/>
      <c r="I187" s="53"/>
      <c r="J187" s="53">
        <f t="shared" si="39"/>
        <v>290000</v>
      </c>
      <c r="K187" s="53">
        <v>290000</v>
      </c>
      <c r="L187" s="104"/>
      <c r="M187" s="104"/>
      <c r="N187" s="180">
        <f t="shared" si="40"/>
        <v>117487</v>
      </c>
      <c r="O187" s="53">
        <v>117487</v>
      </c>
      <c r="P187" s="53"/>
      <c r="Q187" s="53"/>
      <c r="R187" s="154">
        <f t="shared" si="37"/>
        <v>0.40512758620689654</v>
      </c>
      <c r="S187" s="154">
        <f t="shared" si="38"/>
        <v>0.40512758620689654</v>
      </c>
    </row>
    <row r="188" spans="1:19" s="37" customFormat="1" ht="32.25" customHeight="1">
      <c r="A188" s="83">
        <v>921</v>
      </c>
      <c r="B188" s="35"/>
      <c r="C188" s="59" t="s">
        <v>87</v>
      </c>
      <c r="D188" s="56">
        <f t="shared" si="35"/>
        <v>3685000</v>
      </c>
      <c r="E188" s="56">
        <f>E189+E191</f>
        <v>2000000</v>
      </c>
      <c r="F188" s="56">
        <f>F189+F191</f>
        <v>1685000</v>
      </c>
      <c r="G188" s="108"/>
      <c r="H188" s="56">
        <f>H189+H191</f>
        <v>100000</v>
      </c>
      <c r="I188" s="56">
        <f>I189+I191</f>
        <v>100000</v>
      </c>
      <c r="J188" s="56">
        <f t="shared" si="39"/>
        <v>2241836</v>
      </c>
      <c r="K188" s="56">
        <f>K189+K191</f>
        <v>1974216</v>
      </c>
      <c r="L188" s="108">
        <f>L189+L191</f>
        <v>267620</v>
      </c>
      <c r="M188" s="108"/>
      <c r="N188" s="182">
        <f t="shared" si="40"/>
        <v>2122029</v>
      </c>
      <c r="O188" s="56">
        <f>O189+O191</f>
        <v>1854409</v>
      </c>
      <c r="P188" s="56">
        <f>P189+P191</f>
        <v>267620</v>
      </c>
      <c r="Q188" s="56"/>
      <c r="R188" s="158">
        <f t="shared" si="37"/>
        <v>0.9465585350578722</v>
      </c>
      <c r="S188" s="158">
        <f t="shared" si="38"/>
        <v>0.9393141378653602</v>
      </c>
    </row>
    <row r="189" spans="1:19" s="34" customFormat="1" ht="21.75" customHeight="1">
      <c r="A189" s="45"/>
      <c r="B189" s="67">
        <v>92105</v>
      </c>
      <c r="C189" s="61" t="s">
        <v>88</v>
      </c>
      <c r="D189" s="55">
        <f t="shared" si="35"/>
        <v>400000</v>
      </c>
      <c r="E189" s="55">
        <f>E190</f>
        <v>400000</v>
      </c>
      <c r="F189" s="55"/>
      <c r="G189" s="110"/>
      <c r="H189" s="55">
        <f>H190</f>
        <v>0</v>
      </c>
      <c r="I189" s="55">
        <f>I190</f>
        <v>0</v>
      </c>
      <c r="J189" s="55">
        <f t="shared" si="39"/>
        <v>350000</v>
      </c>
      <c r="K189" s="55">
        <f>K190</f>
        <v>350000</v>
      </c>
      <c r="L189" s="110"/>
      <c r="M189" s="110"/>
      <c r="N189" s="184">
        <f t="shared" si="40"/>
        <v>230930</v>
      </c>
      <c r="O189" s="55">
        <f>O190</f>
        <v>230930</v>
      </c>
      <c r="P189" s="55"/>
      <c r="Q189" s="55"/>
      <c r="R189" s="160">
        <f t="shared" si="37"/>
        <v>0.6598</v>
      </c>
      <c r="S189" s="160">
        <f t="shared" si="38"/>
        <v>0.6598</v>
      </c>
    </row>
    <row r="190" spans="1:19" s="37" customFormat="1" ht="21" customHeight="1">
      <c r="A190" s="29"/>
      <c r="B190" s="42"/>
      <c r="C190" s="44" t="s">
        <v>89</v>
      </c>
      <c r="D190" s="44">
        <f t="shared" si="35"/>
        <v>400000</v>
      </c>
      <c r="E190" s="44">
        <v>400000</v>
      </c>
      <c r="F190" s="44"/>
      <c r="G190" s="100"/>
      <c r="H190" s="44"/>
      <c r="I190" s="44"/>
      <c r="J190" s="44">
        <f t="shared" si="39"/>
        <v>350000</v>
      </c>
      <c r="K190" s="44">
        <v>350000</v>
      </c>
      <c r="L190" s="100"/>
      <c r="M190" s="100"/>
      <c r="N190" s="175">
        <f t="shared" si="40"/>
        <v>230930</v>
      </c>
      <c r="O190" s="44">
        <v>230930</v>
      </c>
      <c r="P190" s="44"/>
      <c r="Q190" s="44"/>
      <c r="R190" s="149">
        <f t="shared" si="37"/>
        <v>0.6598</v>
      </c>
      <c r="S190" s="149">
        <f t="shared" si="38"/>
        <v>0.6598</v>
      </c>
    </row>
    <row r="191" spans="1:19" s="34" customFormat="1" ht="21.75" customHeight="1">
      <c r="A191" s="45"/>
      <c r="B191" s="67">
        <v>92120</v>
      </c>
      <c r="C191" s="61" t="s">
        <v>90</v>
      </c>
      <c r="D191" s="55">
        <f>SUM(E191:G191)</f>
        <v>3285000</v>
      </c>
      <c r="E191" s="55">
        <f>SUM(E192:E202)</f>
        <v>1600000</v>
      </c>
      <c r="F191" s="55">
        <f>SUM(F192:F202)</f>
        <v>1685000</v>
      </c>
      <c r="G191" s="110"/>
      <c r="H191" s="55">
        <f>SUM(H192:H202)</f>
        <v>100000</v>
      </c>
      <c r="I191" s="55">
        <f>SUM(I192:I202)</f>
        <v>100000</v>
      </c>
      <c r="J191" s="55">
        <f>SUM(K191:M191)</f>
        <v>1891836</v>
      </c>
      <c r="K191" s="55">
        <f>SUM(K192:K202)</f>
        <v>1624216</v>
      </c>
      <c r="L191" s="110">
        <f>SUM(L192:L202)</f>
        <v>267620</v>
      </c>
      <c r="M191" s="110"/>
      <c r="N191" s="184">
        <f t="shared" si="40"/>
        <v>1891099</v>
      </c>
      <c r="O191" s="55">
        <f>SUM(O192:O202)</f>
        <v>1623479</v>
      </c>
      <c r="P191" s="55">
        <f>SUM(P192:P202)</f>
        <v>267620</v>
      </c>
      <c r="Q191" s="55"/>
      <c r="R191" s="160">
        <f t="shared" si="37"/>
        <v>0.9996104313481718</v>
      </c>
      <c r="S191" s="160">
        <f t="shared" si="38"/>
        <v>0.9995462426179769</v>
      </c>
    </row>
    <row r="192" spans="1:19" s="37" customFormat="1" ht="21.75" customHeight="1">
      <c r="A192" s="29"/>
      <c r="B192" s="48"/>
      <c r="C192" s="50" t="s">
        <v>91</v>
      </c>
      <c r="D192" s="50">
        <f t="shared" si="35"/>
        <v>100000</v>
      </c>
      <c r="E192" s="50">
        <v>100000</v>
      </c>
      <c r="F192" s="50"/>
      <c r="G192" s="101"/>
      <c r="H192" s="50">
        <v>78000</v>
      </c>
      <c r="I192" s="50"/>
      <c r="J192" s="50">
        <f>SUM(K192:M192)</f>
        <v>22000</v>
      </c>
      <c r="K192" s="50">
        <f>100000-H192</f>
        <v>22000</v>
      </c>
      <c r="L192" s="101"/>
      <c r="M192" s="101"/>
      <c r="N192" s="177">
        <f t="shared" si="40"/>
        <v>22000</v>
      </c>
      <c r="O192" s="50">
        <v>22000</v>
      </c>
      <c r="P192" s="50"/>
      <c r="Q192" s="50"/>
      <c r="R192" s="151">
        <f t="shared" si="37"/>
        <v>1</v>
      </c>
      <c r="S192" s="151">
        <f t="shared" si="38"/>
        <v>1</v>
      </c>
    </row>
    <row r="193" spans="1:19" s="37" customFormat="1" ht="21.75" customHeight="1">
      <c r="A193" s="29"/>
      <c r="B193" s="29"/>
      <c r="C193" s="52" t="s">
        <v>92</v>
      </c>
      <c r="D193" s="52">
        <f t="shared" si="35"/>
        <v>100000</v>
      </c>
      <c r="E193" s="52">
        <v>100000</v>
      </c>
      <c r="F193" s="52"/>
      <c r="G193" s="102"/>
      <c r="H193" s="52"/>
      <c r="I193" s="52"/>
      <c r="J193" s="52">
        <f>SUM(K193:M193)</f>
        <v>83000</v>
      </c>
      <c r="K193" s="52">
        <v>83000</v>
      </c>
      <c r="L193" s="102"/>
      <c r="M193" s="102"/>
      <c r="N193" s="177">
        <f t="shared" si="40"/>
        <v>83000</v>
      </c>
      <c r="O193" s="52">
        <v>83000</v>
      </c>
      <c r="P193" s="52"/>
      <c r="Q193" s="52"/>
      <c r="R193" s="151">
        <f t="shared" si="37"/>
        <v>1</v>
      </c>
      <c r="S193" s="151">
        <f t="shared" si="38"/>
        <v>1</v>
      </c>
    </row>
    <row r="194" spans="1:19" s="37" customFormat="1" ht="21.75" customHeight="1">
      <c r="A194" s="29"/>
      <c r="B194" s="29"/>
      <c r="C194" s="54" t="s">
        <v>131</v>
      </c>
      <c r="D194" s="54">
        <f aca="true" t="shared" si="41" ref="D194:D202">SUM(E194:G194)</f>
        <v>100000</v>
      </c>
      <c r="E194" s="54">
        <v>100000</v>
      </c>
      <c r="F194" s="54"/>
      <c r="G194" s="103"/>
      <c r="H194" s="54"/>
      <c r="I194" s="54"/>
      <c r="J194" s="54">
        <f aca="true" t="shared" si="42" ref="J194:J202">SUM(K194:M194)</f>
        <v>100000</v>
      </c>
      <c r="K194" s="54">
        <v>100000</v>
      </c>
      <c r="L194" s="103"/>
      <c r="M194" s="103"/>
      <c r="N194" s="178">
        <f t="shared" si="40"/>
        <v>99943</v>
      </c>
      <c r="O194" s="54">
        <v>99943</v>
      </c>
      <c r="P194" s="54"/>
      <c r="Q194" s="54"/>
      <c r="R194" s="152">
        <f t="shared" si="37"/>
        <v>0.99943</v>
      </c>
      <c r="S194" s="152">
        <f t="shared" si="38"/>
        <v>0.99943</v>
      </c>
    </row>
    <row r="195" spans="1:19" s="37" customFormat="1" ht="21.75" customHeight="1">
      <c r="A195" s="29"/>
      <c r="B195" s="29"/>
      <c r="C195" s="54" t="s">
        <v>93</v>
      </c>
      <c r="D195" s="54">
        <f t="shared" si="41"/>
        <v>100000</v>
      </c>
      <c r="E195" s="54">
        <v>100000</v>
      </c>
      <c r="F195" s="54"/>
      <c r="G195" s="103"/>
      <c r="H195" s="54"/>
      <c r="I195" s="54"/>
      <c r="J195" s="54">
        <f t="shared" si="42"/>
        <v>94900</v>
      </c>
      <c r="K195" s="54">
        <v>94900</v>
      </c>
      <c r="L195" s="103"/>
      <c r="M195" s="103"/>
      <c r="N195" s="178">
        <f t="shared" si="40"/>
        <v>94900</v>
      </c>
      <c r="O195" s="54">
        <v>94900</v>
      </c>
      <c r="P195" s="54"/>
      <c r="Q195" s="54"/>
      <c r="R195" s="152">
        <f t="shared" si="37"/>
        <v>1</v>
      </c>
      <c r="S195" s="152">
        <f t="shared" si="38"/>
        <v>1</v>
      </c>
    </row>
    <row r="196" spans="1:19" s="37" customFormat="1" ht="21.75" customHeight="1">
      <c r="A196" s="29"/>
      <c r="B196" s="29"/>
      <c r="C196" s="54" t="s">
        <v>94</v>
      </c>
      <c r="D196" s="54">
        <f t="shared" si="41"/>
        <v>295000</v>
      </c>
      <c r="E196" s="54"/>
      <c r="F196" s="54">
        <v>295000</v>
      </c>
      <c r="G196" s="103"/>
      <c r="H196" s="54"/>
      <c r="I196" s="54"/>
      <c r="J196" s="54">
        <f t="shared" si="42"/>
        <v>16469</v>
      </c>
      <c r="K196" s="54"/>
      <c r="L196" s="103">
        <v>16469</v>
      </c>
      <c r="M196" s="103"/>
      <c r="N196" s="178">
        <f t="shared" si="40"/>
        <v>16469</v>
      </c>
      <c r="O196" s="54"/>
      <c r="P196" s="54">
        <v>16469</v>
      </c>
      <c r="Q196" s="54"/>
      <c r="R196" s="152">
        <f aca="true" t="shared" si="43" ref="R196:R226">N196/J196</f>
        <v>1</v>
      </c>
      <c r="S196" s="152"/>
    </row>
    <row r="197" spans="1:19" s="37" customFormat="1" ht="21.75" customHeight="1">
      <c r="A197" s="29"/>
      <c r="B197" s="29"/>
      <c r="C197" s="52" t="s">
        <v>95</v>
      </c>
      <c r="D197" s="52">
        <f t="shared" si="41"/>
        <v>345000</v>
      </c>
      <c r="E197" s="52"/>
      <c r="F197" s="52">
        <v>345000</v>
      </c>
      <c r="G197" s="102"/>
      <c r="H197" s="52"/>
      <c r="I197" s="52"/>
      <c r="J197" s="52">
        <f t="shared" si="42"/>
        <v>170940</v>
      </c>
      <c r="K197" s="52"/>
      <c r="L197" s="102">
        <v>170940</v>
      </c>
      <c r="M197" s="102"/>
      <c r="N197" s="177">
        <f t="shared" si="40"/>
        <v>170940</v>
      </c>
      <c r="O197" s="52"/>
      <c r="P197" s="52">
        <v>170940</v>
      </c>
      <c r="Q197" s="52"/>
      <c r="R197" s="151">
        <f t="shared" si="43"/>
        <v>1</v>
      </c>
      <c r="S197" s="152"/>
    </row>
    <row r="198" spans="1:19" s="37" customFormat="1" ht="21.75" customHeight="1">
      <c r="A198" s="29"/>
      <c r="B198" s="29"/>
      <c r="C198" s="54" t="s">
        <v>96</v>
      </c>
      <c r="D198" s="54">
        <f t="shared" si="41"/>
        <v>535000</v>
      </c>
      <c r="E198" s="54"/>
      <c r="F198" s="54">
        <v>535000</v>
      </c>
      <c r="G198" s="103"/>
      <c r="H198" s="54"/>
      <c r="I198" s="54"/>
      <c r="J198" s="54">
        <f t="shared" si="42"/>
        <v>20327</v>
      </c>
      <c r="K198" s="54"/>
      <c r="L198" s="103">
        <v>20327</v>
      </c>
      <c r="M198" s="103"/>
      <c r="N198" s="178">
        <f t="shared" si="40"/>
        <v>20327</v>
      </c>
      <c r="O198" s="54"/>
      <c r="P198" s="54">
        <v>20327</v>
      </c>
      <c r="Q198" s="54"/>
      <c r="R198" s="152">
        <f t="shared" si="43"/>
        <v>1</v>
      </c>
      <c r="S198" s="152"/>
    </row>
    <row r="199" spans="1:19" s="37" customFormat="1" ht="21.75" customHeight="1">
      <c r="A199" s="29"/>
      <c r="B199" s="29"/>
      <c r="C199" s="51" t="s">
        <v>98</v>
      </c>
      <c r="D199" s="52">
        <f>SUM(E199:G199)</f>
        <v>510000</v>
      </c>
      <c r="E199" s="52"/>
      <c r="F199" s="52">
        <v>510000</v>
      </c>
      <c r="G199" s="102"/>
      <c r="H199" s="52"/>
      <c r="I199" s="52"/>
      <c r="J199" s="52">
        <f>SUM(K199:M199)</f>
        <v>59884</v>
      </c>
      <c r="K199" s="52"/>
      <c r="L199" s="102">
        <v>59884</v>
      </c>
      <c r="M199" s="102"/>
      <c r="N199" s="177">
        <f>SUM(O199:Q199)</f>
        <v>59884</v>
      </c>
      <c r="O199" s="52"/>
      <c r="P199" s="52">
        <v>59884</v>
      </c>
      <c r="Q199" s="52"/>
      <c r="R199" s="151">
        <f>N199/J199</f>
        <v>1</v>
      </c>
      <c r="S199" s="152"/>
    </row>
    <row r="200" spans="1:19" s="37" customFormat="1" ht="21.75" customHeight="1">
      <c r="A200" s="29"/>
      <c r="B200" s="29"/>
      <c r="C200" s="52" t="s">
        <v>97</v>
      </c>
      <c r="D200" s="52">
        <f t="shared" si="41"/>
        <v>900000</v>
      </c>
      <c r="E200" s="52">
        <v>900000</v>
      </c>
      <c r="F200" s="52"/>
      <c r="G200" s="102"/>
      <c r="H200" s="52"/>
      <c r="I200" s="52"/>
      <c r="J200" s="52">
        <f t="shared" si="42"/>
        <v>915216</v>
      </c>
      <c r="K200" s="52">
        <v>915216</v>
      </c>
      <c r="L200" s="102"/>
      <c r="M200" s="102"/>
      <c r="N200" s="177">
        <f t="shared" si="40"/>
        <v>914776</v>
      </c>
      <c r="O200" s="52">
        <v>914776</v>
      </c>
      <c r="P200" s="52"/>
      <c r="Q200" s="52"/>
      <c r="R200" s="151">
        <f t="shared" si="43"/>
        <v>0.9995192391741403</v>
      </c>
      <c r="S200" s="152">
        <f t="shared" si="38"/>
        <v>0.9995192391741403</v>
      </c>
    </row>
    <row r="201" spans="1:19" s="37" customFormat="1" ht="31.5" customHeight="1">
      <c r="A201" s="29"/>
      <c r="B201" s="29"/>
      <c r="C201" s="51" t="s">
        <v>99</v>
      </c>
      <c r="D201" s="52">
        <f t="shared" si="41"/>
        <v>200000</v>
      </c>
      <c r="E201" s="52">
        <v>200000</v>
      </c>
      <c r="F201" s="52"/>
      <c r="G201" s="102"/>
      <c r="H201" s="52"/>
      <c r="I201" s="52">
        <v>100000</v>
      </c>
      <c r="J201" s="52">
        <f t="shared" si="42"/>
        <v>331100</v>
      </c>
      <c r="K201" s="52">
        <v>331100</v>
      </c>
      <c r="L201" s="102"/>
      <c r="M201" s="102"/>
      <c r="N201" s="177">
        <f t="shared" si="40"/>
        <v>331099</v>
      </c>
      <c r="O201" s="52">
        <v>331099</v>
      </c>
      <c r="P201" s="52"/>
      <c r="Q201" s="52"/>
      <c r="R201" s="151">
        <v>0.9999</v>
      </c>
      <c r="S201" s="151">
        <v>0.9999</v>
      </c>
    </row>
    <row r="202" spans="1:19" s="37" customFormat="1" ht="21.75" customHeight="1">
      <c r="A202" s="41"/>
      <c r="B202" s="29"/>
      <c r="C202" s="57" t="s">
        <v>100</v>
      </c>
      <c r="D202" s="58">
        <f t="shared" si="41"/>
        <v>100000</v>
      </c>
      <c r="E202" s="58">
        <v>100000</v>
      </c>
      <c r="F202" s="58"/>
      <c r="G202" s="109"/>
      <c r="H202" s="58">
        <v>22000</v>
      </c>
      <c r="I202" s="58"/>
      <c r="J202" s="58">
        <f t="shared" si="42"/>
        <v>78000</v>
      </c>
      <c r="K202" s="58">
        <f>100000-H202</f>
        <v>78000</v>
      </c>
      <c r="L202" s="109"/>
      <c r="M202" s="109"/>
      <c r="N202" s="183">
        <f t="shared" si="40"/>
        <v>77761</v>
      </c>
      <c r="O202" s="58">
        <v>77761</v>
      </c>
      <c r="P202" s="58"/>
      <c r="Q202" s="58"/>
      <c r="R202" s="159">
        <f t="shared" si="43"/>
        <v>0.9969358974358974</v>
      </c>
      <c r="S202" s="159">
        <f aca="true" t="shared" si="44" ref="S202:S211">O202/K202</f>
        <v>0.9969358974358974</v>
      </c>
    </row>
    <row r="203" spans="1:19" s="37" customFormat="1" ht="22.5" customHeight="1">
      <c r="A203" s="35">
        <v>926</v>
      </c>
      <c r="B203" s="35"/>
      <c r="C203" s="56" t="s">
        <v>101</v>
      </c>
      <c r="D203" s="56">
        <f>SUM(E203:G203)</f>
        <v>4200000</v>
      </c>
      <c r="E203" s="56">
        <f>E204+E210+E207</f>
        <v>3800000</v>
      </c>
      <c r="F203" s="56">
        <f>F204+F210+F207</f>
        <v>400000</v>
      </c>
      <c r="G203" s="108"/>
      <c r="H203" s="56">
        <f>H204+H207+H210</f>
        <v>0</v>
      </c>
      <c r="I203" s="56">
        <f>I204+I207+I210</f>
        <v>0</v>
      </c>
      <c r="J203" s="56">
        <f aca="true" t="shared" si="45" ref="J203:J218">SUM(K203:M203)</f>
        <v>4200000</v>
      </c>
      <c r="K203" s="56">
        <f>K204+K210+K207</f>
        <v>3600000</v>
      </c>
      <c r="L203" s="108">
        <f>L204+L210+L207</f>
        <v>600000</v>
      </c>
      <c r="M203" s="108"/>
      <c r="N203" s="182">
        <f t="shared" si="40"/>
        <v>4187233</v>
      </c>
      <c r="O203" s="56">
        <f>O204+O207+O210</f>
        <v>3587101</v>
      </c>
      <c r="P203" s="56">
        <f>P204+P207+P210</f>
        <v>600132</v>
      </c>
      <c r="Q203" s="56"/>
      <c r="R203" s="158">
        <f t="shared" si="43"/>
        <v>0.9969602380952381</v>
      </c>
      <c r="S203" s="158">
        <f t="shared" si="44"/>
        <v>0.9964169444444444</v>
      </c>
    </row>
    <row r="204" spans="1:19" s="34" customFormat="1" ht="24" customHeight="1">
      <c r="A204" s="38"/>
      <c r="B204" s="39">
        <v>92601</v>
      </c>
      <c r="C204" s="40" t="s">
        <v>102</v>
      </c>
      <c r="D204" s="40">
        <f aca="true" t="shared" si="46" ref="D204:D211">SUM(E204:G204)</f>
        <v>450000</v>
      </c>
      <c r="E204" s="40">
        <f>SUM(E205:E206)</f>
        <v>450000</v>
      </c>
      <c r="F204" s="40"/>
      <c r="G204" s="99"/>
      <c r="H204" s="40">
        <f>SUM(H205:H206)</f>
        <v>0</v>
      </c>
      <c r="I204" s="40">
        <f>SUM(I205:I206)</f>
        <v>0</v>
      </c>
      <c r="J204" s="40">
        <f t="shared" si="45"/>
        <v>250000</v>
      </c>
      <c r="K204" s="40">
        <f>SUM(K205:K206)</f>
        <v>250000</v>
      </c>
      <c r="L204" s="99"/>
      <c r="M204" s="99"/>
      <c r="N204" s="174">
        <f t="shared" si="40"/>
        <v>245903</v>
      </c>
      <c r="O204" s="40">
        <f>SUM(O205:O206)</f>
        <v>245903</v>
      </c>
      <c r="P204" s="40"/>
      <c r="Q204" s="40"/>
      <c r="R204" s="148">
        <f t="shared" si="43"/>
        <v>0.983612</v>
      </c>
      <c r="S204" s="148">
        <f t="shared" si="44"/>
        <v>0.983612</v>
      </c>
    </row>
    <row r="205" spans="1:19" s="37" customFormat="1" ht="21.75" customHeight="1">
      <c r="A205" s="29"/>
      <c r="B205" s="29"/>
      <c r="C205" s="81" t="s">
        <v>103</v>
      </c>
      <c r="D205" s="54">
        <f t="shared" si="46"/>
        <v>200000</v>
      </c>
      <c r="E205" s="30">
        <v>200000</v>
      </c>
      <c r="F205" s="30"/>
      <c r="G205" s="96"/>
      <c r="H205" s="30"/>
      <c r="I205" s="30"/>
      <c r="J205" s="54">
        <f t="shared" si="45"/>
        <v>0</v>
      </c>
      <c r="K205" s="30"/>
      <c r="L205" s="96"/>
      <c r="M205" s="96"/>
      <c r="N205" s="171"/>
      <c r="O205" s="30"/>
      <c r="P205" s="30"/>
      <c r="Q205" s="30"/>
      <c r="R205" s="145"/>
      <c r="S205" s="145"/>
    </row>
    <row r="206" spans="1:19" s="37" customFormat="1" ht="21.75" customHeight="1">
      <c r="A206" s="29"/>
      <c r="B206" s="41"/>
      <c r="C206" s="53" t="s">
        <v>104</v>
      </c>
      <c r="D206" s="53">
        <f t="shared" si="46"/>
        <v>250000</v>
      </c>
      <c r="E206" s="53">
        <v>250000</v>
      </c>
      <c r="F206" s="53"/>
      <c r="G206" s="104"/>
      <c r="H206" s="53"/>
      <c r="I206" s="53"/>
      <c r="J206" s="53">
        <f t="shared" si="45"/>
        <v>250000</v>
      </c>
      <c r="K206" s="53">
        <v>250000</v>
      </c>
      <c r="L206" s="104"/>
      <c r="M206" s="104"/>
      <c r="N206" s="180">
        <f t="shared" si="40"/>
        <v>245903</v>
      </c>
      <c r="O206" s="53">
        <v>245903</v>
      </c>
      <c r="P206" s="53"/>
      <c r="Q206" s="53"/>
      <c r="R206" s="154">
        <f t="shared" si="43"/>
        <v>0.983612</v>
      </c>
      <c r="S206" s="154">
        <f t="shared" si="44"/>
        <v>0.983612</v>
      </c>
    </row>
    <row r="207" spans="1:19" s="34" customFormat="1" ht="24" customHeight="1">
      <c r="A207" s="45"/>
      <c r="B207" s="32">
        <v>92604</v>
      </c>
      <c r="C207" s="55" t="s">
        <v>105</v>
      </c>
      <c r="D207" s="55">
        <f>SUM(E207:G207)</f>
        <v>3600000</v>
      </c>
      <c r="E207" s="55">
        <f>SUM(E208:E209)</f>
        <v>3200000</v>
      </c>
      <c r="F207" s="55">
        <f>SUM(F208:F209)</f>
        <v>400000</v>
      </c>
      <c r="G207" s="110"/>
      <c r="H207" s="55">
        <f>SUM(H208:H209)</f>
        <v>0</v>
      </c>
      <c r="I207" s="55">
        <f>SUM(I208:I209)</f>
        <v>0</v>
      </c>
      <c r="J207" s="55">
        <f t="shared" si="45"/>
        <v>3800000</v>
      </c>
      <c r="K207" s="55">
        <f>SUM(K208:K209)</f>
        <v>3200000</v>
      </c>
      <c r="L207" s="110">
        <f>SUM(L208:L209)</f>
        <v>600000</v>
      </c>
      <c r="M207" s="110"/>
      <c r="N207" s="184">
        <f t="shared" si="40"/>
        <v>3800000</v>
      </c>
      <c r="O207" s="55">
        <f>SUM(O208:O209)</f>
        <v>3199868</v>
      </c>
      <c r="P207" s="55">
        <f>SUM(P208:P209)</f>
        <v>600132</v>
      </c>
      <c r="Q207" s="55"/>
      <c r="R207" s="160">
        <f t="shared" si="43"/>
        <v>1</v>
      </c>
      <c r="S207" s="160">
        <v>0.9999</v>
      </c>
    </row>
    <row r="208" spans="1:19" s="37" customFormat="1" ht="30.75" customHeight="1">
      <c r="A208" s="29"/>
      <c r="B208" s="48"/>
      <c r="C208" s="49" t="s">
        <v>185</v>
      </c>
      <c r="D208" s="50">
        <f>SUM(E208:G208)</f>
        <v>3400000</v>
      </c>
      <c r="E208" s="50">
        <v>3000000</v>
      </c>
      <c r="F208" s="50">
        <v>400000</v>
      </c>
      <c r="G208" s="101"/>
      <c r="H208" s="50"/>
      <c r="I208" s="50"/>
      <c r="J208" s="50">
        <f t="shared" si="45"/>
        <v>3600000</v>
      </c>
      <c r="K208" s="50">
        <v>3000000</v>
      </c>
      <c r="L208" s="101">
        <v>600000</v>
      </c>
      <c r="M208" s="101"/>
      <c r="N208" s="176">
        <f>SUM(O208:Q208)</f>
        <v>3600000</v>
      </c>
      <c r="O208" s="50">
        <v>2999868</v>
      </c>
      <c r="P208" s="50">
        <v>600132</v>
      </c>
      <c r="Q208" s="50"/>
      <c r="R208" s="150">
        <f t="shared" si="43"/>
        <v>1</v>
      </c>
      <c r="S208" s="150">
        <v>0.9999</v>
      </c>
    </row>
    <row r="209" spans="1:19" s="37" customFormat="1" ht="29.25" customHeight="1">
      <c r="A209" s="29"/>
      <c r="B209" s="41"/>
      <c r="C209" s="76" t="s">
        <v>147</v>
      </c>
      <c r="D209" s="53">
        <f>SUM(E209:G209)</f>
        <v>200000</v>
      </c>
      <c r="E209" s="53">
        <v>200000</v>
      </c>
      <c r="F209" s="53"/>
      <c r="G209" s="104"/>
      <c r="H209" s="53"/>
      <c r="I209" s="53"/>
      <c r="J209" s="53">
        <f t="shared" si="45"/>
        <v>200000</v>
      </c>
      <c r="K209" s="53">
        <v>200000</v>
      </c>
      <c r="L209" s="104"/>
      <c r="M209" s="104"/>
      <c r="N209" s="180">
        <f t="shared" si="40"/>
        <v>200000</v>
      </c>
      <c r="O209" s="53">
        <v>200000</v>
      </c>
      <c r="P209" s="53"/>
      <c r="Q209" s="53"/>
      <c r="R209" s="154">
        <f t="shared" si="43"/>
        <v>1</v>
      </c>
      <c r="S209" s="154">
        <f t="shared" si="44"/>
        <v>1</v>
      </c>
    </row>
    <row r="210" spans="1:19" s="34" customFormat="1" ht="33" customHeight="1">
      <c r="A210" s="45"/>
      <c r="B210" s="60">
        <v>92605</v>
      </c>
      <c r="C210" s="61" t="s">
        <v>186</v>
      </c>
      <c r="D210" s="55">
        <f t="shared" si="46"/>
        <v>150000</v>
      </c>
      <c r="E210" s="55">
        <f>E211</f>
        <v>150000</v>
      </c>
      <c r="F210" s="55"/>
      <c r="G210" s="110"/>
      <c r="H210" s="55">
        <f>H211</f>
        <v>0</v>
      </c>
      <c r="I210" s="55">
        <f>I211</f>
        <v>0</v>
      </c>
      <c r="J210" s="55">
        <f t="shared" si="45"/>
        <v>150000</v>
      </c>
      <c r="K210" s="55">
        <f>K211</f>
        <v>150000</v>
      </c>
      <c r="L210" s="110"/>
      <c r="M210" s="110"/>
      <c r="N210" s="184">
        <f t="shared" si="40"/>
        <v>141330</v>
      </c>
      <c r="O210" s="55">
        <f>O211</f>
        <v>141330</v>
      </c>
      <c r="P210" s="55"/>
      <c r="Q210" s="55"/>
      <c r="R210" s="160">
        <f t="shared" si="43"/>
        <v>0.9422</v>
      </c>
      <c r="S210" s="160">
        <f t="shared" si="44"/>
        <v>0.9422</v>
      </c>
    </row>
    <row r="211" spans="1:19" s="37" customFormat="1" ht="30.75" customHeight="1">
      <c r="A211" s="41"/>
      <c r="B211" s="42"/>
      <c r="C211" s="43" t="s">
        <v>136</v>
      </c>
      <c r="D211" s="44">
        <f t="shared" si="46"/>
        <v>150000</v>
      </c>
      <c r="E211" s="44">
        <v>150000</v>
      </c>
      <c r="F211" s="44"/>
      <c r="G211" s="100"/>
      <c r="H211" s="44"/>
      <c r="I211" s="44"/>
      <c r="J211" s="44">
        <f t="shared" si="45"/>
        <v>150000</v>
      </c>
      <c r="K211" s="44">
        <v>150000</v>
      </c>
      <c r="L211" s="100"/>
      <c r="M211" s="100"/>
      <c r="N211" s="175">
        <f>SUM(O211:Q211)</f>
        <v>141330</v>
      </c>
      <c r="O211" s="44">
        <v>141330</v>
      </c>
      <c r="P211" s="44"/>
      <c r="Q211" s="44"/>
      <c r="R211" s="149">
        <f t="shared" si="43"/>
        <v>0.9422</v>
      </c>
      <c r="S211" s="149">
        <f t="shared" si="44"/>
        <v>0.9422</v>
      </c>
    </row>
    <row r="212" spans="1:19" s="37" customFormat="1" ht="23.25" customHeight="1">
      <c r="A212" s="230"/>
      <c r="B212" s="230"/>
      <c r="C212" s="231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3"/>
      <c r="S212" s="233"/>
    </row>
    <row r="213" spans="1:19" s="37" customFormat="1" ht="18.75" customHeight="1">
      <c r="A213" s="234"/>
      <c r="B213" s="234"/>
      <c r="C213" s="235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236"/>
      <c r="S213" s="236"/>
    </row>
    <row r="214" spans="1:19" s="75" customFormat="1" ht="30" customHeight="1" thickBot="1">
      <c r="A214" s="72"/>
      <c r="B214" s="72"/>
      <c r="C214" s="225" t="s">
        <v>193</v>
      </c>
      <c r="D214" s="226"/>
      <c r="E214" s="226"/>
      <c r="F214" s="226"/>
      <c r="G214" s="227">
        <f aca="true" t="shared" si="47" ref="G214:I216">G215</f>
        <v>404243</v>
      </c>
      <c r="H214" s="226">
        <f t="shared" si="47"/>
        <v>404243</v>
      </c>
      <c r="I214" s="226">
        <f t="shared" si="47"/>
        <v>0</v>
      </c>
      <c r="J214" s="226">
        <f>SUM(K214:M214)</f>
        <v>111000</v>
      </c>
      <c r="K214" s="226"/>
      <c r="L214" s="227">
        <f>L215</f>
        <v>111000</v>
      </c>
      <c r="M214" s="227"/>
      <c r="N214" s="228">
        <f>SUM(O214:Q214)</f>
        <v>111000</v>
      </c>
      <c r="O214" s="226"/>
      <c r="P214" s="226">
        <f>P215</f>
        <v>111000</v>
      </c>
      <c r="Q214" s="226"/>
      <c r="R214" s="229">
        <f t="shared" si="43"/>
        <v>1</v>
      </c>
      <c r="S214" s="226"/>
    </row>
    <row r="215" spans="1:19" s="37" customFormat="1" ht="30.75" customHeight="1" thickTop="1">
      <c r="A215" s="83">
        <v>754</v>
      </c>
      <c r="B215" s="35"/>
      <c r="C215" s="64" t="s">
        <v>42</v>
      </c>
      <c r="D215" s="36"/>
      <c r="E215" s="36"/>
      <c r="F215" s="36"/>
      <c r="G215" s="98">
        <f t="shared" si="47"/>
        <v>404243</v>
      </c>
      <c r="H215" s="36">
        <f t="shared" si="47"/>
        <v>404243</v>
      </c>
      <c r="I215" s="36">
        <f t="shared" si="47"/>
        <v>0</v>
      </c>
      <c r="J215" s="36">
        <f>SUM(K215:M215)</f>
        <v>111000</v>
      </c>
      <c r="K215" s="36"/>
      <c r="L215" s="98">
        <f>L216</f>
        <v>111000</v>
      </c>
      <c r="M215" s="98"/>
      <c r="N215" s="213">
        <f>SUM(O215:Q215)</f>
        <v>111000</v>
      </c>
      <c r="O215" s="77"/>
      <c r="P215" s="77">
        <f>P216</f>
        <v>111000</v>
      </c>
      <c r="Q215" s="77"/>
      <c r="R215" s="222">
        <f t="shared" si="43"/>
        <v>1</v>
      </c>
      <c r="S215" s="77"/>
    </row>
    <row r="216" spans="1:19" s="34" customFormat="1" ht="30.75" customHeight="1">
      <c r="A216" s="45"/>
      <c r="B216" s="45">
        <v>75411</v>
      </c>
      <c r="C216" s="61" t="s">
        <v>44</v>
      </c>
      <c r="D216" s="55"/>
      <c r="E216" s="55"/>
      <c r="F216" s="55"/>
      <c r="G216" s="110">
        <f t="shared" si="47"/>
        <v>404243</v>
      </c>
      <c r="H216" s="55">
        <f t="shared" si="47"/>
        <v>404243</v>
      </c>
      <c r="I216" s="55">
        <f t="shared" si="47"/>
        <v>0</v>
      </c>
      <c r="J216" s="55">
        <f>SUM(K216:M216)</f>
        <v>111000</v>
      </c>
      <c r="K216" s="55"/>
      <c r="L216" s="110">
        <f>L217</f>
        <v>111000</v>
      </c>
      <c r="M216" s="110"/>
      <c r="N216" s="206">
        <f>SUM(O216:Q216)</f>
        <v>111000</v>
      </c>
      <c r="O216" s="198"/>
      <c r="P216" s="198">
        <f>P217</f>
        <v>111000</v>
      </c>
      <c r="Q216" s="198"/>
      <c r="R216" s="207">
        <f t="shared" si="43"/>
        <v>1</v>
      </c>
      <c r="S216" s="198"/>
    </row>
    <row r="217" spans="1:19" s="37" customFormat="1" ht="27.75" customHeight="1">
      <c r="A217" s="29"/>
      <c r="B217" s="48"/>
      <c r="C217" s="43" t="s">
        <v>194</v>
      </c>
      <c r="D217" s="44"/>
      <c r="E217" s="44"/>
      <c r="F217" s="44"/>
      <c r="G217" s="100">
        <v>404243</v>
      </c>
      <c r="H217" s="44">
        <v>404243</v>
      </c>
      <c r="I217" s="44"/>
      <c r="J217" s="44">
        <f>SUM(K217:M217)</f>
        <v>111000</v>
      </c>
      <c r="K217" s="44"/>
      <c r="L217" s="100">
        <v>111000</v>
      </c>
      <c r="M217" s="100"/>
      <c r="N217" s="175">
        <f>SUM(O217:Q217)</f>
        <v>111000</v>
      </c>
      <c r="O217" s="44"/>
      <c r="P217" s="44">
        <v>111000</v>
      </c>
      <c r="Q217" s="44"/>
      <c r="R217" s="149">
        <f t="shared" si="43"/>
        <v>1</v>
      </c>
      <c r="S217" s="124"/>
    </row>
    <row r="218" spans="1:19" s="34" customFormat="1" ht="21" customHeight="1" thickBot="1">
      <c r="A218" s="45"/>
      <c r="B218" s="45"/>
      <c r="C218" s="33" t="s">
        <v>106</v>
      </c>
      <c r="D218" s="33">
        <f>SUM(E218:G218)</f>
        <v>767243</v>
      </c>
      <c r="E218" s="33"/>
      <c r="F218" s="33"/>
      <c r="G218" s="97">
        <f>G220+G227</f>
        <v>767243</v>
      </c>
      <c r="H218" s="33">
        <f>H220+H227</f>
        <v>506243</v>
      </c>
      <c r="I218" s="33">
        <f>I220+I227</f>
        <v>0</v>
      </c>
      <c r="J218" s="33">
        <f t="shared" si="45"/>
        <v>392917</v>
      </c>
      <c r="K218" s="33"/>
      <c r="L218" s="97"/>
      <c r="M218" s="97">
        <f>M220+M227</f>
        <v>392917</v>
      </c>
      <c r="N218" s="172">
        <f t="shared" si="40"/>
        <v>368003</v>
      </c>
      <c r="O218" s="33"/>
      <c r="P218" s="33"/>
      <c r="Q218" s="33">
        <f>Q220+Q227</f>
        <v>368003</v>
      </c>
      <c r="R218" s="146">
        <f t="shared" si="43"/>
        <v>0.9365922064965374</v>
      </c>
      <c r="S218" s="33"/>
    </row>
    <row r="219" spans="1:19" s="31" customFormat="1" ht="14.25" customHeight="1" thickTop="1">
      <c r="A219" s="29"/>
      <c r="B219" s="29"/>
      <c r="C219" s="30" t="s">
        <v>107</v>
      </c>
      <c r="D219" s="30"/>
      <c r="E219" s="30"/>
      <c r="F219" s="30"/>
      <c r="G219" s="96"/>
      <c r="H219" s="30"/>
      <c r="I219" s="30"/>
      <c r="J219" s="30"/>
      <c r="K219" s="30"/>
      <c r="L219" s="96"/>
      <c r="M219" s="96"/>
      <c r="N219" s="202"/>
      <c r="O219" s="30"/>
      <c r="P219" s="30"/>
      <c r="Q219" s="30"/>
      <c r="R219" s="204"/>
      <c r="S219" s="30"/>
    </row>
    <row r="220" spans="1:19" s="75" customFormat="1" ht="29.25" customHeight="1">
      <c r="A220" s="72"/>
      <c r="B220" s="72"/>
      <c r="C220" s="73" t="s">
        <v>108</v>
      </c>
      <c r="D220" s="74">
        <f>SUM(E220:G220)</f>
        <v>404243</v>
      </c>
      <c r="E220" s="74"/>
      <c r="F220" s="74"/>
      <c r="G220" s="112">
        <f>G224</f>
        <v>404243</v>
      </c>
      <c r="H220" s="74">
        <f>H224</f>
        <v>404243</v>
      </c>
      <c r="I220" s="74">
        <f>I224</f>
        <v>0</v>
      </c>
      <c r="J220" s="74">
        <f aca="true" t="shared" si="48" ref="J220:J236">SUM(K220:M220)</f>
        <v>128917</v>
      </c>
      <c r="K220" s="74"/>
      <c r="L220" s="112"/>
      <c r="M220" s="112">
        <f>M221+M224</f>
        <v>128917</v>
      </c>
      <c r="N220" s="184">
        <f t="shared" si="40"/>
        <v>104256</v>
      </c>
      <c r="O220" s="74"/>
      <c r="P220" s="74"/>
      <c r="Q220" s="74">
        <f>Q221+Q224</f>
        <v>104256</v>
      </c>
      <c r="R220" s="160">
        <f t="shared" si="43"/>
        <v>0.8087063769712296</v>
      </c>
      <c r="S220" s="74"/>
    </row>
    <row r="221" spans="1:19" s="37" customFormat="1" ht="21" customHeight="1">
      <c r="A221" s="83">
        <v>853</v>
      </c>
      <c r="B221" s="35"/>
      <c r="C221" s="59" t="s">
        <v>60</v>
      </c>
      <c r="D221" s="56"/>
      <c r="E221" s="56"/>
      <c r="F221" s="56"/>
      <c r="G221" s="108">
        <f aca="true" t="shared" si="49" ref="G221:I222">G222</f>
        <v>404243</v>
      </c>
      <c r="H221" s="56">
        <f t="shared" si="49"/>
        <v>404243</v>
      </c>
      <c r="I221" s="56">
        <f t="shared" si="49"/>
        <v>0</v>
      </c>
      <c r="J221" s="56">
        <f>SUM(K221:M221)</f>
        <v>20000</v>
      </c>
      <c r="K221" s="56"/>
      <c r="L221" s="108"/>
      <c r="M221" s="108">
        <f>M222</f>
        <v>20000</v>
      </c>
      <c r="N221" s="182">
        <f t="shared" si="40"/>
        <v>20000</v>
      </c>
      <c r="O221" s="56"/>
      <c r="P221" s="56"/>
      <c r="Q221" s="56">
        <f>Q222</f>
        <v>20000</v>
      </c>
      <c r="R221" s="158">
        <f t="shared" si="43"/>
        <v>1</v>
      </c>
      <c r="S221" s="56"/>
    </row>
    <row r="222" spans="1:19" s="34" customFormat="1" ht="21" customHeight="1">
      <c r="A222" s="45"/>
      <c r="B222" s="32">
        <v>85303</v>
      </c>
      <c r="C222" s="55" t="s">
        <v>122</v>
      </c>
      <c r="D222" s="55"/>
      <c r="E222" s="55"/>
      <c r="F222" s="55"/>
      <c r="G222" s="110">
        <f t="shared" si="49"/>
        <v>404243</v>
      </c>
      <c r="H222" s="55">
        <f t="shared" si="49"/>
        <v>404243</v>
      </c>
      <c r="I222" s="55">
        <f t="shared" si="49"/>
        <v>0</v>
      </c>
      <c r="J222" s="55">
        <f>SUM(K222:M222)</f>
        <v>20000</v>
      </c>
      <c r="K222" s="55"/>
      <c r="L222" s="110"/>
      <c r="M222" s="110">
        <f>M223</f>
        <v>20000</v>
      </c>
      <c r="N222" s="174">
        <f t="shared" si="40"/>
        <v>20000</v>
      </c>
      <c r="O222" s="55"/>
      <c r="P222" s="55"/>
      <c r="Q222" s="55">
        <f>Q223</f>
        <v>20000</v>
      </c>
      <c r="R222" s="148">
        <f t="shared" si="43"/>
        <v>1</v>
      </c>
      <c r="S222" s="55"/>
    </row>
    <row r="223" spans="1:19" s="37" customFormat="1" ht="40.5" customHeight="1">
      <c r="A223" s="29"/>
      <c r="B223" s="48"/>
      <c r="C223" s="43" t="s">
        <v>195</v>
      </c>
      <c r="D223" s="44"/>
      <c r="E223" s="44"/>
      <c r="F223" s="44"/>
      <c r="G223" s="100">
        <v>404243</v>
      </c>
      <c r="H223" s="44">
        <v>404243</v>
      </c>
      <c r="I223" s="44"/>
      <c r="J223" s="44">
        <f>SUM(K223:M223)</f>
        <v>20000</v>
      </c>
      <c r="K223" s="44"/>
      <c r="L223" s="100"/>
      <c r="M223" s="100">
        <v>20000</v>
      </c>
      <c r="N223" s="203">
        <f t="shared" si="40"/>
        <v>20000</v>
      </c>
      <c r="O223" s="44"/>
      <c r="P223" s="44"/>
      <c r="Q223" s="44">
        <v>20000</v>
      </c>
      <c r="R223" s="209">
        <f t="shared" si="43"/>
        <v>1</v>
      </c>
      <c r="S223" s="124"/>
    </row>
    <row r="224" spans="1:19" s="37" customFormat="1" ht="28.5" customHeight="1">
      <c r="A224" s="83">
        <v>900</v>
      </c>
      <c r="B224" s="35"/>
      <c r="C224" s="59" t="s">
        <v>69</v>
      </c>
      <c r="D224" s="56">
        <f aca="true" t="shared" si="50" ref="D224:D236">SUM(E224:G224)</f>
        <v>404243</v>
      </c>
      <c r="E224" s="56"/>
      <c r="F224" s="56"/>
      <c r="G224" s="108">
        <f aca="true" t="shared" si="51" ref="G224:I225">G225</f>
        <v>404243</v>
      </c>
      <c r="H224" s="56">
        <f t="shared" si="51"/>
        <v>404243</v>
      </c>
      <c r="I224" s="56">
        <f t="shared" si="51"/>
        <v>0</v>
      </c>
      <c r="J224" s="56">
        <f t="shared" si="48"/>
        <v>108917</v>
      </c>
      <c r="K224" s="56"/>
      <c r="L224" s="108"/>
      <c r="M224" s="108">
        <f>M225</f>
        <v>108917</v>
      </c>
      <c r="N224" s="182">
        <f t="shared" si="40"/>
        <v>84256</v>
      </c>
      <c r="O224" s="56"/>
      <c r="P224" s="56"/>
      <c r="Q224" s="56">
        <f>Q225</f>
        <v>84256</v>
      </c>
      <c r="R224" s="158">
        <f t="shared" si="43"/>
        <v>0.773579881928441</v>
      </c>
      <c r="S224" s="56"/>
    </row>
    <row r="225" spans="1:19" s="34" customFormat="1" ht="21.75" customHeight="1">
      <c r="A225" s="45"/>
      <c r="B225" s="32">
        <v>90015</v>
      </c>
      <c r="C225" s="55" t="s">
        <v>79</v>
      </c>
      <c r="D225" s="55">
        <f t="shared" si="50"/>
        <v>404243</v>
      </c>
      <c r="E225" s="55"/>
      <c r="F225" s="55"/>
      <c r="G225" s="110">
        <f t="shared" si="51"/>
        <v>404243</v>
      </c>
      <c r="H225" s="55">
        <f t="shared" si="51"/>
        <v>404243</v>
      </c>
      <c r="I225" s="55">
        <f t="shared" si="51"/>
        <v>0</v>
      </c>
      <c r="J225" s="55">
        <f t="shared" si="48"/>
        <v>108917</v>
      </c>
      <c r="K225" s="55"/>
      <c r="L225" s="110"/>
      <c r="M225" s="110">
        <f>M226</f>
        <v>108917</v>
      </c>
      <c r="N225" s="174">
        <f t="shared" si="40"/>
        <v>84256</v>
      </c>
      <c r="O225" s="55"/>
      <c r="P225" s="55"/>
      <c r="Q225" s="55">
        <f>Q226</f>
        <v>84256</v>
      </c>
      <c r="R225" s="148">
        <f t="shared" si="43"/>
        <v>0.773579881928441</v>
      </c>
      <c r="S225" s="55"/>
    </row>
    <row r="226" spans="1:19" s="37" customFormat="1" ht="21.75" customHeight="1">
      <c r="A226" s="29"/>
      <c r="B226" s="48"/>
      <c r="C226" s="44" t="s">
        <v>109</v>
      </c>
      <c r="D226" s="44">
        <f t="shared" si="50"/>
        <v>404243</v>
      </c>
      <c r="E226" s="44"/>
      <c r="F226" s="44"/>
      <c r="G226" s="100">
        <v>404243</v>
      </c>
      <c r="H226" s="44">
        <v>404243</v>
      </c>
      <c r="I226" s="44"/>
      <c r="J226" s="44">
        <f t="shared" si="48"/>
        <v>108917</v>
      </c>
      <c r="K226" s="44"/>
      <c r="L226" s="100"/>
      <c r="M226" s="100">
        <v>108917</v>
      </c>
      <c r="N226" s="203">
        <f t="shared" si="40"/>
        <v>84256</v>
      </c>
      <c r="O226" s="44"/>
      <c r="P226" s="44"/>
      <c r="Q226" s="44">
        <v>84256</v>
      </c>
      <c r="R226" s="209">
        <f t="shared" si="43"/>
        <v>0.773579881928441</v>
      </c>
      <c r="S226" s="124"/>
    </row>
    <row r="227" spans="1:19" s="75" customFormat="1" ht="40.5" customHeight="1">
      <c r="A227" s="72"/>
      <c r="B227" s="72"/>
      <c r="C227" s="73" t="s">
        <v>110</v>
      </c>
      <c r="D227" s="74">
        <f t="shared" si="50"/>
        <v>363000</v>
      </c>
      <c r="E227" s="74"/>
      <c r="F227" s="74"/>
      <c r="G227" s="112">
        <f>G231+G228+G234</f>
        <v>363000</v>
      </c>
      <c r="H227" s="74">
        <f>H228+H231+H234</f>
        <v>102000</v>
      </c>
      <c r="I227" s="74">
        <f>I228+I231+I234</f>
        <v>0</v>
      </c>
      <c r="J227" s="74">
        <f t="shared" si="48"/>
        <v>264000</v>
      </c>
      <c r="K227" s="74"/>
      <c r="L227" s="112"/>
      <c r="M227" s="112">
        <f>M231+M228+M234</f>
        <v>264000</v>
      </c>
      <c r="N227" s="186">
        <f>SUM(O227:Q227)</f>
        <v>263747</v>
      </c>
      <c r="O227" s="74"/>
      <c r="P227" s="74"/>
      <c r="Q227" s="74">
        <f>Q228+Q231+Q234</f>
        <v>263747</v>
      </c>
      <c r="R227" s="162">
        <f aca="true" t="shared" si="52" ref="R227:R237">N227/J227</f>
        <v>0.9990416666666667</v>
      </c>
      <c r="S227" s="74"/>
    </row>
    <row r="228" spans="1:19" s="37" customFormat="1" ht="21" customHeight="1">
      <c r="A228" s="83">
        <v>700</v>
      </c>
      <c r="B228" s="35"/>
      <c r="C228" s="59" t="s">
        <v>36</v>
      </c>
      <c r="D228" s="56">
        <f t="shared" si="50"/>
        <v>6000</v>
      </c>
      <c r="E228" s="56"/>
      <c r="F228" s="56"/>
      <c r="G228" s="108">
        <f aca="true" t="shared" si="53" ref="G228:I229">G229</f>
        <v>6000</v>
      </c>
      <c r="H228" s="56">
        <f t="shared" si="53"/>
        <v>2000</v>
      </c>
      <c r="I228" s="56">
        <f t="shared" si="53"/>
        <v>0</v>
      </c>
      <c r="J228" s="56">
        <f t="shared" si="48"/>
        <v>4000</v>
      </c>
      <c r="K228" s="56"/>
      <c r="L228" s="108"/>
      <c r="M228" s="108">
        <f>M229</f>
        <v>4000</v>
      </c>
      <c r="N228" s="211">
        <f>SUM(O228:Q228)</f>
        <v>3747</v>
      </c>
      <c r="O228" s="56"/>
      <c r="P228" s="56"/>
      <c r="Q228" s="56">
        <f>Q229</f>
        <v>3747</v>
      </c>
      <c r="R228" s="242">
        <f t="shared" si="52"/>
        <v>0.93675</v>
      </c>
      <c r="S228" s="56"/>
    </row>
    <row r="229" spans="1:19" s="34" customFormat="1" ht="21" customHeight="1">
      <c r="A229" s="45"/>
      <c r="B229" s="67">
        <v>70005</v>
      </c>
      <c r="C229" s="61" t="s">
        <v>148</v>
      </c>
      <c r="D229" s="55">
        <f t="shared" si="50"/>
        <v>6000</v>
      </c>
      <c r="E229" s="55"/>
      <c r="F229" s="55"/>
      <c r="G229" s="110">
        <f t="shared" si="53"/>
        <v>6000</v>
      </c>
      <c r="H229" s="55">
        <f t="shared" si="53"/>
        <v>2000</v>
      </c>
      <c r="I229" s="55">
        <f t="shared" si="53"/>
        <v>0</v>
      </c>
      <c r="J229" s="55">
        <f t="shared" si="48"/>
        <v>4000</v>
      </c>
      <c r="K229" s="55"/>
      <c r="L229" s="110"/>
      <c r="M229" s="110">
        <f>M230</f>
        <v>4000</v>
      </c>
      <c r="N229" s="206">
        <f>SUM(O229:Q229)</f>
        <v>3747</v>
      </c>
      <c r="O229" s="55"/>
      <c r="P229" s="55"/>
      <c r="Q229" s="55">
        <f>Q230</f>
        <v>3747</v>
      </c>
      <c r="R229" s="207">
        <f t="shared" si="52"/>
        <v>0.93675</v>
      </c>
      <c r="S229" s="55"/>
    </row>
    <row r="230" spans="1:19" s="34" customFormat="1" ht="21" customHeight="1">
      <c r="A230" s="45"/>
      <c r="B230" s="120"/>
      <c r="C230" s="79" t="s">
        <v>35</v>
      </c>
      <c r="D230" s="78">
        <f t="shared" si="50"/>
        <v>6000</v>
      </c>
      <c r="E230" s="78"/>
      <c r="F230" s="78"/>
      <c r="G230" s="113">
        <v>6000</v>
      </c>
      <c r="H230" s="78">
        <v>2000</v>
      </c>
      <c r="I230" s="78"/>
      <c r="J230" s="78">
        <f t="shared" si="48"/>
        <v>4000</v>
      </c>
      <c r="K230" s="78"/>
      <c r="L230" s="113"/>
      <c r="M230" s="113">
        <f>6000-H230</f>
        <v>4000</v>
      </c>
      <c r="N230" s="203">
        <f>SUM(O230:Q230)</f>
        <v>3747</v>
      </c>
      <c r="O230" s="78"/>
      <c r="P230" s="78"/>
      <c r="Q230" s="78">
        <v>3747</v>
      </c>
      <c r="R230" s="209">
        <f t="shared" si="52"/>
        <v>0.93675</v>
      </c>
      <c r="S230" s="125"/>
    </row>
    <row r="231" spans="1:19" s="37" customFormat="1" ht="29.25" customHeight="1">
      <c r="A231" s="83">
        <v>754</v>
      </c>
      <c r="B231" s="35"/>
      <c r="C231" s="59" t="s">
        <v>42</v>
      </c>
      <c r="D231" s="56">
        <f t="shared" si="50"/>
        <v>300000</v>
      </c>
      <c r="E231" s="56"/>
      <c r="F231" s="56"/>
      <c r="G231" s="108">
        <f>G232</f>
        <v>300000</v>
      </c>
      <c r="H231" s="56">
        <f>H232</f>
        <v>100000</v>
      </c>
      <c r="I231" s="56">
        <f>I232</f>
        <v>0</v>
      </c>
      <c r="J231" s="56">
        <f t="shared" si="48"/>
        <v>200000</v>
      </c>
      <c r="K231" s="56"/>
      <c r="L231" s="108"/>
      <c r="M231" s="108">
        <f>M232</f>
        <v>200000</v>
      </c>
      <c r="N231" s="182">
        <f aca="true" t="shared" si="54" ref="N231:N237">SUM(O231:Q231)</f>
        <v>200000</v>
      </c>
      <c r="O231" s="56"/>
      <c r="P231" s="56"/>
      <c r="Q231" s="56">
        <f>Q232</f>
        <v>200000</v>
      </c>
      <c r="R231" s="158">
        <f t="shared" si="52"/>
        <v>1</v>
      </c>
      <c r="S231" s="56"/>
    </row>
    <row r="232" spans="1:19" s="34" customFormat="1" ht="30" customHeight="1">
      <c r="A232" s="45"/>
      <c r="B232" s="67">
        <v>75411</v>
      </c>
      <c r="C232" s="61" t="s">
        <v>44</v>
      </c>
      <c r="D232" s="55">
        <f t="shared" si="50"/>
        <v>300000</v>
      </c>
      <c r="E232" s="55"/>
      <c r="F232" s="55"/>
      <c r="G232" s="110">
        <f>SUM(G233:G233)</f>
        <v>300000</v>
      </c>
      <c r="H232" s="55">
        <f>H233</f>
        <v>100000</v>
      </c>
      <c r="I232" s="55">
        <f>I233</f>
        <v>0</v>
      </c>
      <c r="J232" s="55">
        <f t="shared" si="48"/>
        <v>200000</v>
      </c>
      <c r="K232" s="55"/>
      <c r="L232" s="110"/>
      <c r="M232" s="110">
        <f>SUM(M233:M233)</f>
        <v>200000</v>
      </c>
      <c r="N232" s="184">
        <f t="shared" si="54"/>
        <v>200000</v>
      </c>
      <c r="O232" s="55"/>
      <c r="P232" s="55"/>
      <c r="Q232" s="55">
        <f>Q233</f>
        <v>200000</v>
      </c>
      <c r="R232" s="160">
        <f t="shared" si="52"/>
        <v>1</v>
      </c>
      <c r="S232" s="55"/>
    </row>
    <row r="233" spans="1:19" s="37" customFormat="1" ht="20.25" customHeight="1">
      <c r="A233" s="41"/>
      <c r="B233" s="41"/>
      <c r="C233" s="58" t="s">
        <v>62</v>
      </c>
      <c r="D233" s="58">
        <f t="shared" si="50"/>
        <v>300000</v>
      </c>
      <c r="E233" s="58"/>
      <c r="F233" s="58"/>
      <c r="G233" s="109">
        <v>300000</v>
      </c>
      <c r="H233" s="58">
        <v>100000</v>
      </c>
      <c r="I233" s="58"/>
      <c r="J233" s="58">
        <f t="shared" si="48"/>
        <v>200000</v>
      </c>
      <c r="K233" s="58"/>
      <c r="L233" s="109"/>
      <c r="M233" s="109">
        <f>300000-H233</f>
        <v>200000</v>
      </c>
      <c r="N233" s="183">
        <f t="shared" si="54"/>
        <v>200000</v>
      </c>
      <c r="O233" s="58"/>
      <c r="P233" s="58"/>
      <c r="Q233" s="58">
        <v>200000</v>
      </c>
      <c r="R233" s="159">
        <f t="shared" si="52"/>
        <v>1</v>
      </c>
      <c r="S233" s="126"/>
    </row>
    <row r="234" spans="1:19" s="37" customFormat="1" ht="18.75" customHeight="1">
      <c r="A234" s="83">
        <v>853</v>
      </c>
      <c r="B234" s="35"/>
      <c r="C234" s="59" t="s">
        <v>60</v>
      </c>
      <c r="D234" s="56">
        <f t="shared" si="50"/>
        <v>57000</v>
      </c>
      <c r="E234" s="56"/>
      <c r="F234" s="56"/>
      <c r="G234" s="108">
        <f aca="true" t="shared" si="55" ref="G234:I235">G235</f>
        <v>57000</v>
      </c>
      <c r="H234" s="56">
        <f t="shared" si="55"/>
        <v>0</v>
      </c>
      <c r="I234" s="56">
        <f t="shared" si="55"/>
        <v>0</v>
      </c>
      <c r="J234" s="56">
        <f t="shared" si="48"/>
        <v>60000</v>
      </c>
      <c r="K234" s="56"/>
      <c r="L234" s="108"/>
      <c r="M234" s="108">
        <f>M235</f>
        <v>60000</v>
      </c>
      <c r="N234" s="213">
        <f t="shared" si="54"/>
        <v>60000</v>
      </c>
      <c r="O234" s="212"/>
      <c r="P234" s="212"/>
      <c r="Q234" s="212">
        <f>Q235</f>
        <v>60000</v>
      </c>
      <c r="R234" s="222">
        <f t="shared" si="52"/>
        <v>1</v>
      </c>
      <c r="S234" s="212"/>
    </row>
    <row r="235" spans="1:19" s="34" customFormat="1" ht="18.75" customHeight="1">
      <c r="A235" s="45"/>
      <c r="B235" s="67">
        <v>85303</v>
      </c>
      <c r="C235" s="61" t="s">
        <v>122</v>
      </c>
      <c r="D235" s="55">
        <f t="shared" si="50"/>
        <v>57000</v>
      </c>
      <c r="E235" s="55"/>
      <c r="F235" s="55"/>
      <c r="G235" s="110">
        <f t="shared" si="55"/>
        <v>57000</v>
      </c>
      <c r="H235" s="55">
        <f t="shared" si="55"/>
        <v>0</v>
      </c>
      <c r="I235" s="55">
        <f t="shared" si="55"/>
        <v>0</v>
      </c>
      <c r="J235" s="55">
        <f t="shared" si="48"/>
        <v>60000</v>
      </c>
      <c r="K235" s="55"/>
      <c r="L235" s="110"/>
      <c r="M235" s="110">
        <f>M236+M237</f>
        <v>60000</v>
      </c>
      <c r="N235" s="197">
        <f t="shared" si="54"/>
        <v>60000</v>
      </c>
      <c r="O235" s="198"/>
      <c r="P235" s="198"/>
      <c r="Q235" s="198">
        <f>Q236+Q237</f>
        <v>60000</v>
      </c>
      <c r="R235" s="201">
        <f t="shared" si="52"/>
        <v>1</v>
      </c>
      <c r="S235" s="198"/>
    </row>
    <row r="236" spans="1:19" s="37" customFormat="1" ht="41.25" customHeight="1">
      <c r="A236" s="29"/>
      <c r="B236" s="29"/>
      <c r="C236" s="49" t="s">
        <v>153</v>
      </c>
      <c r="D236" s="50">
        <f t="shared" si="50"/>
        <v>57000</v>
      </c>
      <c r="E236" s="50"/>
      <c r="F236" s="50"/>
      <c r="G236" s="101">
        <v>57000</v>
      </c>
      <c r="H236" s="50"/>
      <c r="I236" s="50"/>
      <c r="J236" s="50">
        <f t="shared" si="48"/>
        <v>57000</v>
      </c>
      <c r="K236" s="50"/>
      <c r="L236" s="101"/>
      <c r="M236" s="101">
        <v>57000</v>
      </c>
      <c r="N236" s="176">
        <f t="shared" si="54"/>
        <v>57000</v>
      </c>
      <c r="O236" s="50"/>
      <c r="P236" s="50"/>
      <c r="Q236" s="50">
        <v>57000</v>
      </c>
      <c r="R236" s="150">
        <f t="shared" si="52"/>
        <v>1</v>
      </c>
      <c r="S236" s="50"/>
    </row>
    <row r="237" spans="1:19" s="37" customFormat="1" ht="42" customHeight="1">
      <c r="A237" s="41"/>
      <c r="B237" s="41"/>
      <c r="C237" s="57" t="s">
        <v>200</v>
      </c>
      <c r="D237" s="58"/>
      <c r="E237" s="58"/>
      <c r="F237" s="58"/>
      <c r="G237" s="109">
        <v>57000</v>
      </c>
      <c r="H237" s="58"/>
      <c r="I237" s="58"/>
      <c r="J237" s="58">
        <f>SUM(K237:M237)</f>
        <v>3000</v>
      </c>
      <c r="K237" s="58"/>
      <c r="L237" s="109"/>
      <c r="M237" s="109">
        <v>3000</v>
      </c>
      <c r="N237" s="183">
        <f t="shared" si="54"/>
        <v>3000</v>
      </c>
      <c r="O237" s="58"/>
      <c r="P237" s="58"/>
      <c r="Q237" s="58">
        <v>3000</v>
      </c>
      <c r="R237" s="159">
        <f t="shared" si="52"/>
        <v>1</v>
      </c>
      <c r="S237" s="58"/>
    </row>
  </sheetData>
  <mergeCells count="1">
    <mergeCell ref="H7:I7"/>
  </mergeCells>
  <printOptions horizontalCentered="1"/>
  <pageMargins left="0.3937007874015748" right="0.3937007874015748" top="0.7086614173228347" bottom="0.6692913385826772" header="0.5118110236220472" footer="0.5118110236220472"/>
  <pageSetup firstPageNumber="41" useFirstPageNumber="1" horizontalDpi="300" verticalDpi="3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Urząd Miejski w Lublinie Urzą</cp:lastModifiedBy>
  <cp:lastPrinted>2003-04-28T07:11:51Z</cp:lastPrinted>
  <dcterms:created xsi:type="dcterms:W3CDTF">2001-09-17T12:27:57Z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